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4.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5.xml" ContentType="application/vnd.openxmlformats-officedocument.drawing+xml"/>
  <Override PartName="/xl/embeddings/oleObject3.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6.xml" ContentType="application/vnd.openxmlformats-officedocument.drawing+xml"/>
  <Override PartName="/xl/embeddings/oleObject4.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7.xml" ContentType="application/vnd.openxmlformats-officedocument.drawing+xml"/>
  <Override PartName="/xl/embeddings/oleObject5.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8.xml" ContentType="application/vnd.openxmlformats-officedocument.drawing+xml"/>
  <Override PartName="/xl/embeddings/oleObject6.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9.xml" ContentType="application/vnd.openxmlformats-officedocument.drawing+xml"/>
  <Override PartName="/xl/embeddings/oleObject7.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10.xml" ContentType="application/vnd.openxmlformats-officedocument.drawing+xml"/>
  <Override PartName="/xl/embeddings/oleObject8.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1.xml" ContentType="application/vnd.openxmlformats-officedocument.drawing+xml"/>
  <Override PartName="/xl/embeddings/oleObject9.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2.xml" ContentType="application/vnd.openxmlformats-officedocument.drawing+xml"/>
  <Override PartName="/xl/embeddings/oleObject10.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3.xml" ContentType="application/vnd.openxmlformats-officedocument.drawing+xml"/>
  <Override PartName="/xl/embeddings/oleObject11.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4.xml" ContentType="application/vnd.openxmlformats-officedocument.drawing+xml"/>
  <Override PartName="/xl/embeddings/oleObject12.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5.xml" ContentType="application/vnd.openxmlformats-officedocument.drawing+xml"/>
  <Override PartName="/xl/embeddings/oleObject13.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6.xml" ContentType="application/vnd.openxmlformats-officedocument.drawing+xml"/>
  <Override PartName="/xl/embeddings/oleObject14.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7.xml" ContentType="application/vnd.openxmlformats-officedocument.drawing+xml"/>
  <Override PartName="/xl/embeddings/oleObject15.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8.xml" ContentType="application/vnd.openxmlformats-officedocument.drawing+xml"/>
  <Override PartName="/xl/embeddings/oleObject16.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9.xml" ContentType="application/vnd.openxmlformats-officedocument.drawing+xml"/>
  <Override PartName="/xl/embeddings/oleObject17.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20.xml" ContentType="application/vnd.openxmlformats-officedocument.drawing+xml"/>
  <Override PartName="/xl/embeddings/oleObject18.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1.xml" ContentType="application/vnd.openxmlformats-officedocument.drawing+xml"/>
  <Override PartName="/xl/embeddings/oleObject19.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2.xml" ContentType="application/vnd.openxmlformats-officedocument.drawing+xml"/>
  <Override PartName="/xl/embeddings/oleObject20.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3.xml" ContentType="application/vnd.openxmlformats-officedocument.drawing+xml"/>
  <Override PartName="/xl/embeddings/oleObject21.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4.xml" ContentType="application/vnd.openxmlformats-officedocument.drawing+xml"/>
  <Override PartName="/xl/embeddings/oleObject22.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5.xml" ContentType="application/vnd.openxmlformats-officedocument.drawing+xml"/>
  <Override PartName="/xl/embeddings/oleObject23.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6.xml" ContentType="application/vnd.openxmlformats-officedocument.drawing+xml"/>
  <Override PartName="/xl/embeddings/oleObject24.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7.xml" ContentType="application/vnd.openxmlformats-officedocument.drawing+xml"/>
  <Override PartName="/xl/embeddings/oleObject25.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8.xml" ContentType="application/vnd.openxmlformats-officedocument.drawing+xml"/>
  <Override PartName="/xl/embeddings/oleObject26.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9.xml" ContentType="application/vnd.openxmlformats-officedocument.drawing+xml"/>
  <Override PartName="/xl/embeddings/oleObject27.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embeddings/oleObject28.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3.xml" ContentType="application/vnd.openxmlformats-officedocument.drawing+xml"/>
  <Override PartName="/xl/embeddings/oleObject29.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4.xml" ContentType="application/vnd.openxmlformats-officedocument.drawing+xml"/>
  <Override PartName="/xl/embeddings/oleObject30.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5.xml" ContentType="application/vnd.openxmlformats-officedocument.drawing+xml"/>
  <Override PartName="/xl/embeddings/oleObject31.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6.xml" ContentType="application/vnd.openxmlformats-officedocument.drawing+xml"/>
  <Override PartName="/xl/embeddings/oleObject32.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7.xml" ContentType="application/vnd.openxmlformats-officedocument.drawing+xml"/>
  <Override PartName="/xl/embeddings/oleObject33.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8.xml" ContentType="application/vnd.openxmlformats-officedocument.drawing+xml"/>
  <Override PartName="/xl/embeddings/oleObject34.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9.xml" ContentType="application/vnd.openxmlformats-officedocument.drawing+xml"/>
  <Override PartName="/xl/embeddings/oleObject35.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40.xml" ContentType="application/vnd.openxmlformats-officedocument.drawing+xml"/>
  <Override PartName="/xl/embeddings/oleObject36.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41.xml" ContentType="application/vnd.openxmlformats-officedocument.drawing+xml"/>
  <Override PartName="/xl/embeddings/oleObject37.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42.xml" ContentType="application/vnd.openxmlformats-officedocument.drawing+xml"/>
  <Override PartName="/xl/embeddings/oleObject38.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43.xml" ContentType="application/vnd.openxmlformats-officedocument.drawing+xml"/>
  <Override PartName="/xl/embeddings/oleObject39.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4.xml" ContentType="application/vnd.openxmlformats-officedocument.drawing+xml"/>
  <Override PartName="/xl/embeddings/oleObject40.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5.xml" ContentType="application/vnd.openxmlformats-officedocument.drawing+xml"/>
  <Override PartName="/xl/embeddings/oleObject41.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6.xml" ContentType="application/vnd.openxmlformats-officedocument.drawing+xml"/>
  <Override PartName="/xl/embeddings/oleObject42.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7.xml" ContentType="application/vnd.openxmlformats-officedocument.drawing+xml"/>
  <Override PartName="/xl/embeddings/oleObject43.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8.xml" ContentType="application/vnd.openxmlformats-officedocument.drawing+xml"/>
  <Override PartName="/xl/embeddings/oleObject44.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9.xml" ContentType="application/vnd.openxmlformats-officedocument.drawing+xml"/>
  <Override PartName="/xl/embeddings/oleObject45.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50.xml" ContentType="application/vnd.openxmlformats-officedocument.drawing+xml"/>
  <Override PartName="/xl/embeddings/oleObject46.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51.xml" ContentType="application/vnd.openxmlformats-officedocument.drawing+xml"/>
  <Override PartName="/xl/embeddings/oleObject47.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52.xml" ContentType="application/vnd.openxmlformats-officedocument.drawing+xml"/>
  <Override PartName="/xl/embeddings/oleObject48.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53.xml" ContentType="application/vnd.openxmlformats-officedocument.drawing+xml"/>
  <Override PartName="/xl/embeddings/oleObject49.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4.xml" ContentType="application/vnd.openxmlformats-officedocument.drawing+xml"/>
  <Override PartName="/xl/embeddings/oleObject50.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5.xml" ContentType="application/vnd.openxmlformats-officedocument.drawing+xml"/>
  <Override PartName="/xl/embeddings/oleObject51.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6.xml" ContentType="application/vnd.openxmlformats-officedocument.drawing+xml"/>
  <Override PartName="/xl/embeddings/oleObject52.bin" ContentType="application/vnd.openxmlformats-officedocument.oleObject"/>
  <Override PartName="/xl/ctrlProps/ctrlProp101.xml" ContentType="application/vnd.ms-excel.controlproperties+xml"/>
  <Override PartName="/xl/ctrlProps/ctrlProp10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paezc\Desktop\DEFINITIVOS RS MARZO Valores\"/>
    </mc:Choice>
  </mc:AlternateContent>
  <bookViews>
    <workbookView xWindow="0" yWindow="0" windowWidth="15360" windowHeight="8160" tabRatio="906"/>
  </bookViews>
  <sheets>
    <sheet name="PRESUPUESTO OFICIAL" sheetId="265" r:id="rId1"/>
    <sheet name="PPTO CONSTRUCCION" sheetId="476" state="hidden" r:id="rId2"/>
    <sheet name="PRESUPUESTO ACUMULADO" sheetId="450" state="hidden" r:id="rId3"/>
    <sheet name="CANTIDADES Fase II todo" sheetId="464" state="hidden" r:id="rId4"/>
    <sheet name="Acarreos Tramo 2 Fase I" sheetId="465" state="hidden" r:id="rId5"/>
    <sheet name="Acarreos Tramo 7 Fase I" sheetId="467" state="hidden" r:id="rId6"/>
    <sheet name="Acarreos Tramo 2 Fase II" sheetId="468" state="hidden" r:id="rId7"/>
    <sheet name="Acarreos Tramo 7 Fase II" sheetId="470" state="hidden" r:id="rId8"/>
    <sheet name="CANTIDADES TOTALIZADAS" sheetId="456" state="hidden" r:id="rId9"/>
    <sheet name="OBRAS PUNTUALES TRANSVERSAL" sheetId="457" state="hidden" r:id="rId10"/>
    <sheet name="Acarreos Tramo 2" sheetId="458" state="hidden" r:id="rId11"/>
    <sheet name="Acarreos Tramo 7" sheetId="460" state="hidden" r:id="rId12"/>
    <sheet name="FACTORES" sheetId="461" state="hidden" r:id="rId13"/>
    <sheet name="RESUMEN PRESUPUESTO" sheetId="269" state="hidden" r:id="rId14"/>
    <sheet name="200.2" sheetId="11" r:id="rId15"/>
    <sheet name="210.2.1" sheetId="29" r:id="rId16"/>
    <sheet name="210.2.2" sheetId="252" r:id="rId17"/>
    <sheet name="220.1" sheetId="33" r:id="rId18"/>
    <sheet name="220.1 P" sheetId="462" r:id="rId19"/>
    <sheet name="221.1P" sheetId="478" state="hidden" r:id="rId20"/>
    <sheet name="230.1P" sheetId="38" r:id="rId21"/>
    <sheet name="200P" sheetId="477" r:id="rId22"/>
    <sheet name="A BASE" sheetId="484" state="hidden" r:id="rId23"/>
    <sheet name="351.10" sheetId="448" r:id="rId24"/>
    <sheet name="aux base " sheetId="481" state="hidden" r:id="rId25"/>
    <sheet name="A BSBACH" sheetId="485" state="hidden" r:id="rId26"/>
    <sheet name="351.12" sheetId="309" r:id="rId27"/>
    <sheet name="420.2" sheetId="68" r:id="rId28"/>
    <sheet name="421.1" sheetId="347" r:id="rId29"/>
    <sheet name="450.2P" sheetId="328" r:id="rId30"/>
    <sheet name="A MDC19" sheetId="486" state="hidden" r:id="rId31"/>
    <sheet name="450.2.1P" sheetId="449" r:id="rId32"/>
    <sheet name="450.9 P" sheetId="379" r:id="rId33"/>
    <sheet name="460.1P" sheetId="116" r:id="rId34"/>
    <sheet name="466.1P" sheetId="273" r:id="rId35"/>
    <sheet name="600.1.1" sheetId="130" r:id="rId36"/>
    <sheet name="600.2.1" sheetId="131" r:id="rId37"/>
    <sheet name="600.2.3" sheetId="271" r:id="rId38"/>
    <sheet name="610.1" sheetId="266" r:id="rId39"/>
    <sheet name="610.3" sheetId="428" r:id="rId40"/>
    <sheet name="621,1 CLASE C" sheetId="400" state="hidden" r:id="rId41"/>
    <sheet name="621,1 D=1,25 CLASE C (2)" sheetId="401" state="hidden" r:id="rId42"/>
    <sheet name="630.1.1P" sheetId="276" r:id="rId43"/>
    <sheet name="630.3.4P" sheetId="395" r:id="rId44"/>
    <sheet name="630.4" sheetId="160" r:id="rId45"/>
    <sheet name="640.1" sheetId="172" r:id="rId46"/>
    <sheet name="661.1" sheetId="185" r:id="rId47"/>
    <sheet name="671.1" sheetId="190" r:id="rId48"/>
    <sheet name="673.1" sheetId="259" r:id="rId49"/>
    <sheet name="673.2" sheetId="138" r:id="rId50"/>
    <sheet name="673.3" sheetId="195" r:id="rId51"/>
    <sheet name="673.3P" sheetId="267" r:id="rId52"/>
    <sheet name="1p." sheetId="207" r:id="rId53"/>
    <sheet name="2p." sheetId="208" r:id="rId54"/>
    <sheet name="4p." sheetId="210" r:id="rId55"/>
    <sheet name="5p." sheetId="211" r:id="rId56"/>
    <sheet name="7p." sheetId="292" r:id="rId57"/>
    <sheet name="720.1" sheetId="216" r:id="rId58"/>
    <sheet name="730.1" sheetId="218" r:id="rId59"/>
    <sheet name="730.2" sheetId="219" r:id="rId60"/>
    <sheet name="740.1" sheetId="220" r:id="rId61"/>
    <sheet name="800.2" sheetId="222" r:id="rId62"/>
    <sheet name="810.1" sheetId="225" r:id="rId63"/>
    <sheet name="810.2" sheetId="303" r:id="rId64"/>
    <sheet name="820.1" sheetId="410" r:id="rId65"/>
    <sheet name="900.1" sheetId="339" r:id="rId66"/>
    <sheet name="900.2" sheetId="230" r:id="rId67"/>
  </sheets>
  <externalReferences>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s>
  <definedNames>
    <definedName name="\0" localSheetId="18">#REF!</definedName>
    <definedName name="\0" localSheetId="1">#REF!</definedName>
    <definedName name="\0">#REF!</definedName>
    <definedName name="\00" localSheetId="18">#REF!</definedName>
    <definedName name="\00" localSheetId="1">#REF!</definedName>
    <definedName name="\00">#REF!</definedName>
    <definedName name="\a" localSheetId="18">#REF!</definedName>
    <definedName name="\a" localSheetId="32">#REF!</definedName>
    <definedName name="\a" localSheetId="40">#REF!</definedName>
    <definedName name="\a" localSheetId="41">#REF!</definedName>
    <definedName name="\a" localSheetId="43">#REF!</definedName>
    <definedName name="\a" localSheetId="64">#REF!</definedName>
    <definedName name="\a" localSheetId="1">#REF!</definedName>
    <definedName name="\a" localSheetId="2">#REF!</definedName>
    <definedName name="\a">#REF!</definedName>
    <definedName name="\AA" localSheetId="18">[1]LIQUIDACION!#REF!</definedName>
    <definedName name="\AA" localSheetId="1">[1]LIQUIDACION!#REF!</definedName>
    <definedName name="\AA">[1]LIQUIDACION!#REF!</definedName>
    <definedName name="\b" localSheetId="18">[2]STRSUMM0!#REF!</definedName>
    <definedName name="\b" localSheetId="1">[2]STRSUMM0!#REF!</definedName>
    <definedName name="\b">[2]STRSUMM0!#REF!</definedName>
    <definedName name="\bb" localSheetId="18">[2]STRSUMM0!#REF!</definedName>
    <definedName name="\bb" localSheetId="1">[2]STRSUMM0!#REF!</definedName>
    <definedName name="\bb">[2]STRSUMM0!#REF!</definedName>
    <definedName name="\E" localSheetId="18">#REF!</definedName>
    <definedName name="\E" localSheetId="1">#REF!</definedName>
    <definedName name="\E">#REF!</definedName>
    <definedName name="\EE" localSheetId="18">#REF!</definedName>
    <definedName name="\EE" localSheetId="1">#REF!</definedName>
    <definedName name="\EE">#REF!</definedName>
    <definedName name="\G" localSheetId="18">#REF!</definedName>
    <definedName name="\G" localSheetId="1">#REF!</definedName>
    <definedName name="\G">#REF!</definedName>
    <definedName name="\k" localSheetId="18">'[3]7422CW00'!#REF!</definedName>
    <definedName name="\k" localSheetId="1">'[3]7422CW00'!#REF!</definedName>
    <definedName name="\k">'[3]7422CW00'!#REF!</definedName>
    <definedName name="\l" localSheetId="18">[4]STRSUMM0!#REF!</definedName>
    <definedName name="\l" localSheetId="1">[4]STRSUMM0!#REF!</definedName>
    <definedName name="\l">[4]STRSUMM0!#REF!</definedName>
    <definedName name="\M" localSheetId="18">#REF!</definedName>
    <definedName name="\M" localSheetId="1">#REF!</definedName>
    <definedName name="\M">#REF!</definedName>
    <definedName name="\ñ" localSheetId="18">'[5]7422CW00'!#REF!</definedName>
    <definedName name="\ñ" localSheetId="1">'[5]7422CW00'!#REF!</definedName>
    <definedName name="\ñ">'[5]7422CW00'!#REF!</definedName>
    <definedName name="\P" localSheetId="18">#REF!</definedName>
    <definedName name="\P" localSheetId="1">#REF!</definedName>
    <definedName name="\P">#REF!</definedName>
    <definedName name="\R" localSheetId="18">#REF!</definedName>
    <definedName name="\R" localSheetId="1">#REF!</definedName>
    <definedName name="\R">#REF!</definedName>
    <definedName name="\s" localSheetId="18">#REF!</definedName>
    <definedName name="\s" localSheetId="32">#REF!</definedName>
    <definedName name="\s" localSheetId="40">#REF!</definedName>
    <definedName name="\s" localSheetId="41">#REF!</definedName>
    <definedName name="\s" localSheetId="43">#REF!</definedName>
    <definedName name="\s" localSheetId="64">#REF!</definedName>
    <definedName name="\s" localSheetId="1">#REF!</definedName>
    <definedName name="\s" localSheetId="2">#REF!</definedName>
    <definedName name="\s">#REF!</definedName>
    <definedName name="\V" localSheetId="18">#REF!</definedName>
    <definedName name="\V" localSheetId="1">#REF!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8" hidden="1">[7]INST!#REF!</definedName>
    <definedName name="_________key2" localSheetId="1" hidden="1">[7]INST!#REF!</definedName>
    <definedName name="_________key2" hidden="1">[7]INST!#REF!</definedName>
    <definedName name="_________PJ50" localSheetId="18">#REF!</definedName>
    <definedName name="_________PJ50" localSheetId="32">#REF!</definedName>
    <definedName name="_________PJ50" localSheetId="40">#REF!</definedName>
    <definedName name="_________PJ50" localSheetId="41">#REF!</definedName>
    <definedName name="_________PJ50" localSheetId="43">#REF!</definedName>
    <definedName name="_________PJ50" localSheetId="64">#REF!</definedName>
    <definedName name="_________PJ50" localSheetId="1">#REF!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8" hidden="1">[8]INST!#REF!</definedName>
    <definedName name="________key2" localSheetId="1" hidden="1">[8]INST!#REF!</definedName>
    <definedName name="________key2" hidden="1">[8]INST!#REF!</definedName>
    <definedName name="________key3" localSheetId="18" hidden="1">#REF!</definedName>
    <definedName name="________key3" localSheetId="1" hidden="1">#REF!</definedName>
    <definedName name="________key3" hidden="1">#REF!</definedName>
    <definedName name="________MA2" localSheetId="18">#REF!</definedName>
    <definedName name="________MA2" localSheetId="32">#REF!</definedName>
    <definedName name="________MA2" localSheetId="40">#REF!</definedName>
    <definedName name="________MA2" localSheetId="41">#REF!</definedName>
    <definedName name="________MA2" localSheetId="43">#REF!</definedName>
    <definedName name="________MA2" localSheetId="64">#REF!</definedName>
    <definedName name="________MA2" localSheetId="1">#REF!</definedName>
    <definedName name="________MA2" localSheetId="2">#REF!</definedName>
    <definedName name="________MA2">#REF!</definedName>
    <definedName name="________PJ50" localSheetId="18">#REF!</definedName>
    <definedName name="________PJ50" localSheetId="32">#REF!</definedName>
    <definedName name="________PJ50" localSheetId="40">#REF!</definedName>
    <definedName name="________PJ50" localSheetId="41">#REF!</definedName>
    <definedName name="________PJ50" localSheetId="43">#REF!</definedName>
    <definedName name="________PJ50" localSheetId="64">#REF!</definedName>
    <definedName name="________PJ50" localSheetId="1">#REF!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8">#REF!</definedName>
    <definedName name="_______MA2" localSheetId="32">#REF!</definedName>
    <definedName name="_______MA2" localSheetId="40">#REF!</definedName>
    <definedName name="_______MA2" localSheetId="41">#REF!</definedName>
    <definedName name="_______MA2" localSheetId="43">#REF!</definedName>
    <definedName name="_______MA2" localSheetId="64">#REF!</definedName>
    <definedName name="_______MA2" localSheetId="1">#REF!</definedName>
    <definedName name="_______MA2" localSheetId="2">#REF!</definedName>
    <definedName name="_______MA2">#REF!</definedName>
    <definedName name="_______PJ50" localSheetId="18">#REF!</definedName>
    <definedName name="_______PJ50" localSheetId="32">#REF!</definedName>
    <definedName name="_______PJ50" localSheetId="40">#REF!</definedName>
    <definedName name="_______PJ50" localSheetId="41">#REF!</definedName>
    <definedName name="_______PJ50" localSheetId="43">#REF!</definedName>
    <definedName name="_______PJ50" localSheetId="64">#REF!</definedName>
    <definedName name="_______PJ50" localSheetId="1">#REF!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8">#REF!</definedName>
    <definedName name="______MA2" localSheetId="32">#REF!</definedName>
    <definedName name="______MA2" localSheetId="40">#REF!</definedName>
    <definedName name="______MA2" localSheetId="41">#REF!</definedName>
    <definedName name="______MA2" localSheetId="43">#REF!</definedName>
    <definedName name="______MA2" localSheetId="64">#REF!</definedName>
    <definedName name="______MA2" localSheetId="1">#REF!</definedName>
    <definedName name="______MA2" localSheetId="2">#REF!</definedName>
    <definedName name="______MA2">#REF!</definedName>
    <definedName name="______PJ50" localSheetId="18">#REF!</definedName>
    <definedName name="______PJ50" localSheetId="32">#REF!</definedName>
    <definedName name="______PJ50" localSheetId="40">#REF!</definedName>
    <definedName name="______PJ50" localSheetId="41">#REF!</definedName>
    <definedName name="______PJ50" localSheetId="43">#REF!</definedName>
    <definedName name="______PJ50" localSheetId="64">#REF!</definedName>
    <definedName name="______PJ50" localSheetId="1">#REF!</definedName>
    <definedName name="______PJ50" localSheetId="2">#REF!</definedName>
    <definedName name="______PJ50">#REF!</definedName>
    <definedName name="______pr01" localSheetId="18">#REF!</definedName>
    <definedName name="______pr01" localSheetId="1">#REF!</definedName>
    <definedName name="______pr01">#REF!</definedName>
    <definedName name="______pr02" localSheetId="18">#REF!</definedName>
    <definedName name="______pr02" localSheetId="1">#REF!</definedName>
    <definedName name="______pr02">#REF!</definedName>
    <definedName name="______pr03" localSheetId="18">#REF!</definedName>
    <definedName name="______pr03" localSheetId="1">#REF!</definedName>
    <definedName name="______pr03">#REF!</definedName>
    <definedName name="______pr04" localSheetId="18">#REF!</definedName>
    <definedName name="______pr04" localSheetId="1">#REF!</definedName>
    <definedName name="______pr04">#REF!</definedName>
    <definedName name="______pr05" localSheetId="18">#REF!</definedName>
    <definedName name="______pr05" localSheetId="1">#REF!</definedName>
    <definedName name="______pr05">#REF!</definedName>
    <definedName name="______pr06" localSheetId="18">#REF!</definedName>
    <definedName name="______pr06" localSheetId="1">#REF!</definedName>
    <definedName name="______pr06">#REF!</definedName>
    <definedName name="______pr07" localSheetId="18">#REF!</definedName>
    <definedName name="______pr07" localSheetId="1">#REF!</definedName>
    <definedName name="______pr07">#REF!</definedName>
    <definedName name="______pr08" localSheetId="18">#REF!</definedName>
    <definedName name="______pr08" localSheetId="1">#REF!</definedName>
    <definedName name="______pr08">#REF!</definedName>
    <definedName name="______pr09" localSheetId="18">#REF!</definedName>
    <definedName name="______pr09" localSheetId="1">#REF!</definedName>
    <definedName name="______pr09">#REF!</definedName>
    <definedName name="______pr10" localSheetId="18">#REF!</definedName>
    <definedName name="______pr10" localSheetId="1">#REF!</definedName>
    <definedName name="______pr10">#REF!</definedName>
    <definedName name="______pr11" localSheetId="18">#REF!</definedName>
    <definedName name="______pr11" localSheetId="1">#REF!</definedName>
    <definedName name="______pr11">#REF!</definedName>
    <definedName name="______pr12" localSheetId="18">#REF!</definedName>
    <definedName name="______pr12" localSheetId="1">#REF!</definedName>
    <definedName name="______pr12">#REF!</definedName>
    <definedName name="______pr13" localSheetId="18">#REF!</definedName>
    <definedName name="______pr13" localSheetId="1">#REF!</definedName>
    <definedName name="______pr13">#REF!</definedName>
    <definedName name="______pr14" localSheetId="18">#REF!</definedName>
    <definedName name="______pr14" localSheetId="1">#REF!</definedName>
    <definedName name="______pr14">#REF!</definedName>
    <definedName name="______pr15" localSheetId="18">#REF!</definedName>
    <definedName name="______pr15" localSheetId="1">#REF!</definedName>
    <definedName name="______pr15">#REF!</definedName>
    <definedName name="______pr16" localSheetId="18">#REF!</definedName>
    <definedName name="______pr16" localSheetId="1">#REF!</definedName>
    <definedName name="______pr16">#REF!</definedName>
    <definedName name="______pr17" localSheetId="18">#REF!</definedName>
    <definedName name="______pr17" localSheetId="1">#REF!</definedName>
    <definedName name="______pr17">#REF!</definedName>
    <definedName name="______pr18" localSheetId="18">#REF!</definedName>
    <definedName name="______pr18" localSheetId="1">#REF!</definedName>
    <definedName name="______pr18">#REF!</definedName>
    <definedName name="______pr19" localSheetId="18">#REF!</definedName>
    <definedName name="______pr19" localSheetId="1">#REF!</definedName>
    <definedName name="______pr19">#REF!</definedName>
    <definedName name="______pr20" localSheetId="18">#REF!</definedName>
    <definedName name="______pr20" localSheetId="1">#REF!</definedName>
    <definedName name="______pr20">#REF!</definedName>
    <definedName name="______pr21" localSheetId="18">#REF!</definedName>
    <definedName name="______pr21" localSheetId="1">#REF!</definedName>
    <definedName name="______pr21">#REF!</definedName>
    <definedName name="______pr22" localSheetId="18">#REF!</definedName>
    <definedName name="______pr22" localSheetId="1">#REF!</definedName>
    <definedName name="______pr22">#REF!</definedName>
    <definedName name="______pr23" localSheetId="18">#REF!</definedName>
    <definedName name="______pr23" localSheetId="1">#REF!</definedName>
    <definedName name="______pr23">#REF!</definedName>
    <definedName name="______pr24" localSheetId="18">#REF!</definedName>
    <definedName name="______pr24" localSheetId="1">#REF!</definedName>
    <definedName name="______pr24">#REF!</definedName>
    <definedName name="______pr25" localSheetId="18">#REF!</definedName>
    <definedName name="______pr25" localSheetId="1">#REF!</definedName>
    <definedName name="______pr25">#REF!</definedName>
    <definedName name="______pr26" localSheetId="18">#REF!</definedName>
    <definedName name="______pr26" localSheetId="1">#REF!</definedName>
    <definedName name="______pr26">#REF!</definedName>
    <definedName name="______pr27" localSheetId="18">#REF!</definedName>
    <definedName name="______pr27" localSheetId="1">#REF!</definedName>
    <definedName name="______pr27">#REF!</definedName>
    <definedName name="______pr28" localSheetId="18">#REF!</definedName>
    <definedName name="______pr28" localSheetId="1">#REF!</definedName>
    <definedName name="______pr28">#REF!</definedName>
    <definedName name="______pr29" localSheetId="18">#REF!</definedName>
    <definedName name="______pr29" localSheetId="1">#REF!</definedName>
    <definedName name="______pr29">#REF!</definedName>
    <definedName name="______pr30" localSheetId="18">#REF!</definedName>
    <definedName name="______pr30" localSheetId="1">#REF!</definedName>
    <definedName name="______pr30">#REF!</definedName>
    <definedName name="______pr31" localSheetId="18">#REF!</definedName>
    <definedName name="______pr31" localSheetId="1">#REF!</definedName>
    <definedName name="______pr31">#REF!</definedName>
    <definedName name="______pr32" localSheetId="18">#REF!</definedName>
    <definedName name="______pr32" localSheetId="1">#REF!</definedName>
    <definedName name="______pr32">#REF!</definedName>
    <definedName name="______pr33" localSheetId="18">#REF!</definedName>
    <definedName name="______pr33" localSheetId="1">#REF!</definedName>
    <definedName name="______pr33">#REF!</definedName>
    <definedName name="______pr34" localSheetId="18">#REF!</definedName>
    <definedName name="______pr34" localSheetId="1">#REF!</definedName>
    <definedName name="______pr34">#REF!</definedName>
    <definedName name="______pr35" localSheetId="18">#REF!</definedName>
    <definedName name="______pr35" localSheetId="1">#REF!</definedName>
    <definedName name="______pr35">#REF!</definedName>
    <definedName name="______pr36" localSheetId="18">#REF!</definedName>
    <definedName name="______pr36" localSheetId="1">#REF!</definedName>
    <definedName name="______pr36">#REF!</definedName>
    <definedName name="______pr37" localSheetId="18">#REF!</definedName>
    <definedName name="______pr37" localSheetId="1">#REF!</definedName>
    <definedName name="______pr37">#REF!</definedName>
    <definedName name="______pr38" localSheetId="18">#REF!</definedName>
    <definedName name="______pr38" localSheetId="1">#REF!</definedName>
    <definedName name="______pr38">#REF!</definedName>
    <definedName name="______pr39" localSheetId="18">#REF!</definedName>
    <definedName name="______pr39" localSheetId="1">#REF!</definedName>
    <definedName name="______pr39">#REF!</definedName>
    <definedName name="______pr40" localSheetId="18">#REF!</definedName>
    <definedName name="______pr40" localSheetId="1">#REF!</definedName>
    <definedName name="______pr40">#REF!</definedName>
    <definedName name="______pr41" localSheetId="18">#REF!</definedName>
    <definedName name="______pr41" localSheetId="1">#REF!</definedName>
    <definedName name="______pr41">#REF!</definedName>
    <definedName name="______pr42" localSheetId="18">#REF!</definedName>
    <definedName name="______pr42" localSheetId="1">#REF!</definedName>
    <definedName name="______pr42">#REF!</definedName>
    <definedName name="______pr43" localSheetId="18">#REF!</definedName>
    <definedName name="______pr43" localSheetId="1">#REF!</definedName>
    <definedName name="______pr43">#REF!</definedName>
    <definedName name="______pr44" localSheetId="18">#REF!</definedName>
    <definedName name="______pr44" localSheetId="1">#REF!</definedName>
    <definedName name="______pr44">#REF!</definedName>
    <definedName name="______pr45" localSheetId="18">#REF!</definedName>
    <definedName name="______pr45" localSheetId="1">#REF!</definedName>
    <definedName name="______pr45">#REF!</definedName>
    <definedName name="______pr46" localSheetId="18">#REF!</definedName>
    <definedName name="______pr46" localSheetId="1">#REF!</definedName>
    <definedName name="______pr46">#REF!</definedName>
    <definedName name="______pr47" localSheetId="18">#REF!</definedName>
    <definedName name="______pr47" localSheetId="1">#REF!</definedName>
    <definedName name="______pr47">#REF!</definedName>
    <definedName name="______pr48" localSheetId="18">#REF!</definedName>
    <definedName name="______pr48" localSheetId="1">#REF!</definedName>
    <definedName name="______pr48">#REF!</definedName>
    <definedName name="______pr49" localSheetId="18">#REF!</definedName>
    <definedName name="______pr49" localSheetId="1">#REF!</definedName>
    <definedName name="______pr49">#REF!</definedName>
    <definedName name="______pr50" localSheetId="18">#REF!</definedName>
    <definedName name="______pr50" localSheetId="1">#REF!</definedName>
    <definedName name="______pr50">#REF!</definedName>
    <definedName name="______pr51" localSheetId="18">#REF!</definedName>
    <definedName name="______pr51" localSheetId="1">#REF!</definedName>
    <definedName name="______pr51">#REF!</definedName>
    <definedName name="______pr52" localSheetId="18">#REF!</definedName>
    <definedName name="______pr52" localSheetId="1">#REF!</definedName>
    <definedName name="______pr52">#REF!</definedName>
    <definedName name="______pr53" localSheetId="18">#REF!</definedName>
    <definedName name="______pr53" localSheetId="1">#REF!</definedName>
    <definedName name="______pr53">#REF!</definedName>
    <definedName name="______pr54" localSheetId="18">#REF!</definedName>
    <definedName name="______pr54" localSheetId="1">#REF!</definedName>
    <definedName name="______pr54">#REF!</definedName>
    <definedName name="______pr55" localSheetId="18">#REF!</definedName>
    <definedName name="______pr55" localSheetId="1">#REF!</definedName>
    <definedName name="______pr55">#REF!</definedName>
    <definedName name="______pr56" localSheetId="18">#REF!</definedName>
    <definedName name="______pr56" localSheetId="1">#REF!</definedName>
    <definedName name="______pr56">#REF!</definedName>
    <definedName name="______pr57" localSheetId="18">#REF!</definedName>
    <definedName name="______pr57" localSheetId="1">#REF!</definedName>
    <definedName name="______pr57">#REF!</definedName>
    <definedName name="______pr58" localSheetId="18">#REF!</definedName>
    <definedName name="______pr58" localSheetId="1">#REF!</definedName>
    <definedName name="______pr58">#REF!</definedName>
    <definedName name="______pr59" localSheetId="18">#REF!</definedName>
    <definedName name="______pr59" localSheetId="1">#REF!</definedName>
    <definedName name="______pr59">#REF!</definedName>
    <definedName name="______pr60" localSheetId="18">#REF!</definedName>
    <definedName name="______pr60" localSheetId="1">#REF!</definedName>
    <definedName name="______pr60">#REF!</definedName>
    <definedName name="______pr61" localSheetId="18">#REF!</definedName>
    <definedName name="______pr61" localSheetId="1">#REF!</definedName>
    <definedName name="______pr61">#REF!</definedName>
    <definedName name="______pr62" localSheetId="18">#REF!</definedName>
    <definedName name="______pr62" localSheetId="1">#REF!</definedName>
    <definedName name="______pr62">#REF!</definedName>
    <definedName name="______pr63" localSheetId="18">#REF!</definedName>
    <definedName name="______pr63" localSheetId="1">#REF!</definedName>
    <definedName name="______pr63">#REF!</definedName>
    <definedName name="______pr64" localSheetId="18">#REF!</definedName>
    <definedName name="______pr64" localSheetId="1">#REF!</definedName>
    <definedName name="______pr64">#REF!</definedName>
    <definedName name="______pr65" localSheetId="18">#REF!</definedName>
    <definedName name="______pr65" localSheetId="1">#REF!</definedName>
    <definedName name="______pr65">#REF!</definedName>
    <definedName name="______pr66" localSheetId="18">#REF!</definedName>
    <definedName name="______pr66" localSheetId="1">#REF!</definedName>
    <definedName name="______pr66">#REF!</definedName>
    <definedName name="______pr67" localSheetId="18">#REF!</definedName>
    <definedName name="______pr67" localSheetId="1">#REF!</definedName>
    <definedName name="______pr67">#REF!</definedName>
    <definedName name="______pr68" localSheetId="18">#REF!</definedName>
    <definedName name="______pr68" localSheetId="1">#REF!</definedName>
    <definedName name="______pr68">#REF!</definedName>
    <definedName name="______pr69" localSheetId="18">#REF!</definedName>
    <definedName name="______pr69" localSheetId="1">#REF!</definedName>
    <definedName name="______pr69">#REF!</definedName>
    <definedName name="______pr70" localSheetId="18">#REF!</definedName>
    <definedName name="______pr70" localSheetId="1">#REF!</definedName>
    <definedName name="______pr70">#REF!</definedName>
    <definedName name="______pr71" localSheetId="18">#REF!</definedName>
    <definedName name="______pr71" localSheetId="1">#REF!</definedName>
    <definedName name="______pr71">#REF!</definedName>
    <definedName name="______pr72" localSheetId="18">#REF!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8">[9]!_xlbgnm.ane7</definedName>
    <definedName name="_____ane7" localSheetId="1">[9]!_xlbgnm.ane7</definedName>
    <definedName name="_____ane7">[9]!_xlbgnm.ane7</definedName>
    <definedName name="_____ane8" localSheetId="18">[9]!_xlbgnm.ane8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8">[11]Tablas!#REF!</definedName>
    <definedName name="_____DCI1" localSheetId="1">[11]Tablas!#REF!</definedName>
    <definedName name="_____DCI1">[11]Tablas!#REF!</definedName>
    <definedName name="_____DDS1" localSheetId="18">[11]Tablas!#REF!</definedName>
    <definedName name="_____DDS1" localSheetId="1">[11]Tablas!#REF!</definedName>
    <definedName name="_____DDS1">[11]Tablas!#REF!</definedName>
    <definedName name="_____DGO1" localSheetId="18">[11]Tablas!#REF!</definedName>
    <definedName name="_____DGO1" localSheetId="1">[11]Tablas!#REF!</definedName>
    <definedName name="_____DGO1">[11]Tablas!#REF!</definedName>
    <definedName name="_____DGP1" localSheetId="18">[11]Tablas!#REF!</definedName>
    <definedName name="_____DGP1" localSheetId="1">[11]Tablas!#REF!</definedName>
    <definedName name="_____DGP1">[11]Tablas!#REF!</definedName>
    <definedName name="_____DIJ1" localSheetId="18">[11]Tablas!#REF!</definedName>
    <definedName name="_____DIJ1" localSheetId="1">[11]Tablas!#REF!</definedName>
    <definedName name="_____DIJ1">[11]Tablas!#REF!</definedName>
    <definedName name="_____DPI1" localSheetId="18">[11]Tablas!#REF!</definedName>
    <definedName name="_____DPI1" localSheetId="1">[11]Tablas!#REF!</definedName>
    <definedName name="_____DPI1">[11]Tablas!#REF!</definedName>
    <definedName name="_____DPY1" localSheetId="18">[11]Tablas!#REF!</definedName>
    <definedName name="_____DPY1" localSheetId="1">[11]Tablas!#REF!</definedName>
    <definedName name="_____DPY1">[11]Tablas!#REF!</definedName>
    <definedName name="_____DRI1" localSheetId="18">[11]Tablas!#REF!</definedName>
    <definedName name="_____DRI1" localSheetId="1">[11]Tablas!#REF!</definedName>
    <definedName name="_____DRI1">[11]Tablas!#REF!</definedName>
    <definedName name="_____DRL1" localSheetId="18">[11]Tablas!#REF!</definedName>
    <definedName name="_____DRL1" localSheetId="1">[11]Tablas!#REF!</definedName>
    <definedName name="_____DRL1">[11]Tablas!#REF!</definedName>
    <definedName name="_____DSP1" localSheetId="18">[11]Tablas!#REF!</definedName>
    <definedName name="_____DSP1" localSheetId="1">[11]Tablas!#REF!</definedName>
    <definedName name="_____DSP1">[11]Tablas!#REF!</definedName>
    <definedName name="_____ECP1" localSheetId="18">[11]Tablas!#REF!</definedName>
    <definedName name="_____ECP1" localSheetId="1">[11]Tablas!#REF!</definedName>
    <definedName name="_____ECP1">[11]Tablas!#REF!</definedName>
    <definedName name="_____ICP1" localSheetId="18">[11]Tablas!#REF!</definedName>
    <definedName name="_____ICP1" localSheetId="1">[11]Tablas!#REF!</definedName>
    <definedName name="_____ICP1">[11]Tablas!#REF!</definedName>
    <definedName name="_____MA2" localSheetId="18">#REF!</definedName>
    <definedName name="_____MA2" localSheetId="32">#REF!</definedName>
    <definedName name="_____MA2" localSheetId="40">#REF!</definedName>
    <definedName name="_____MA2" localSheetId="41">#REF!</definedName>
    <definedName name="_____MA2" localSheetId="43">#REF!</definedName>
    <definedName name="_____MA2" localSheetId="64">#REF!</definedName>
    <definedName name="_____MA2" localSheetId="1">#REF!</definedName>
    <definedName name="_____MA2" localSheetId="2">#REF!</definedName>
    <definedName name="_____MA2">#REF!</definedName>
    <definedName name="_____OCD1" localSheetId="18">[11]Tablas!#REF!</definedName>
    <definedName name="_____OCD1" localSheetId="1">[11]Tablas!#REF!</definedName>
    <definedName name="_____OCD1">[11]Tablas!#REF!</definedName>
    <definedName name="_____OCI1" localSheetId="18">[11]Tablas!#REF!</definedName>
    <definedName name="_____OCI1" localSheetId="1">[11]Tablas!#REF!</definedName>
    <definedName name="_____OCI1">[11]Tablas!#REF!</definedName>
    <definedName name="_____PJ50" localSheetId="18">#REF!</definedName>
    <definedName name="_____PJ50" localSheetId="32">#REF!</definedName>
    <definedName name="_____PJ50" localSheetId="40">#REF!</definedName>
    <definedName name="_____PJ50" localSheetId="41">#REF!</definedName>
    <definedName name="_____PJ50" localSheetId="43">#REF!</definedName>
    <definedName name="_____PJ50" localSheetId="64">#REF!</definedName>
    <definedName name="_____PJ50" localSheetId="1">#REF!</definedName>
    <definedName name="_____PJ50" localSheetId="2">#REF!</definedName>
    <definedName name="_____PJ50">#REF!</definedName>
    <definedName name="_____pr01" localSheetId="18">#REF!</definedName>
    <definedName name="_____pr01" localSheetId="1">#REF!</definedName>
    <definedName name="_____pr01">#REF!</definedName>
    <definedName name="_____pr02" localSheetId="18">#REF!</definedName>
    <definedName name="_____pr02" localSheetId="1">#REF!</definedName>
    <definedName name="_____pr02">#REF!</definedName>
    <definedName name="_____pr03" localSheetId="18">#REF!</definedName>
    <definedName name="_____pr03" localSheetId="1">#REF!</definedName>
    <definedName name="_____pr03">#REF!</definedName>
    <definedName name="_____pr04" localSheetId="18">#REF!</definedName>
    <definedName name="_____pr04" localSheetId="1">#REF!</definedName>
    <definedName name="_____pr04">#REF!</definedName>
    <definedName name="_____pr05" localSheetId="18">#REF!</definedName>
    <definedName name="_____pr05" localSheetId="1">#REF!</definedName>
    <definedName name="_____pr05">#REF!</definedName>
    <definedName name="_____pr06" localSheetId="18">#REF!</definedName>
    <definedName name="_____pr06" localSheetId="1">#REF!</definedName>
    <definedName name="_____pr06">#REF!</definedName>
    <definedName name="_____pr07" localSheetId="18">#REF!</definedName>
    <definedName name="_____pr07" localSheetId="1">#REF!</definedName>
    <definedName name="_____pr07">#REF!</definedName>
    <definedName name="_____pr08" localSheetId="18">#REF!</definedName>
    <definedName name="_____pr08" localSheetId="1">#REF!</definedName>
    <definedName name="_____pr08">#REF!</definedName>
    <definedName name="_____pr09" localSheetId="18">#REF!</definedName>
    <definedName name="_____pr09" localSheetId="1">#REF!</definedName>
    <definedName name="_____pr09">#REF!</definedName>
    <definedName name="_____pr10" localSheetId="18">#REF!</definedName>
    <definedName name="_____pr10" localSheetId="1">#REF!</definedName>
    <definedName name="_____pr10">#REF!</definedName>
    <definedName name="_____pr11" localSheetId="18">#REF!</definedName>
    <definedName name="_____pr11" localSheetId="1">#REF!</definedName>
    <definedName name="_____pr11">#REF!</definedName>
    <definedName name="_____pr12" localSheetId="18">#REF!</definedName>
    <definedName name="_____pr12" localSheetId="1">#REF!</definedName>
    <definedName name="_____pr12">#REF!</definedName>
    <definedName name="_____pr13" localSheetId="18">#REF!</definedName>
    <definedName name="_____pr13" localSheetId="1">#REF!</definedName>
    <definedName name="_____pr13">#REF!</definedName>
    <definedName name="_____pr14" localSheetId="18">#REF!</definedName>
    <definedName name="_____pr14" localSheetId="1">#REF!</definedName>
    <definedName name="_____pr14">#REF!</definedName>
    <definedName name="_____pr15" localSheetId="18">#REF!</definedName>
    <definedName name="_____pr15" localSheetId="1">#REF!</definedName>
    <definedName name="_____pr15">#REF!</definedName>
    <definedName name="_____pr16" localSheetId="18">#REF!</definedName>
    <definedName name="_____pr16" localSheetId="1">#REF!</definedName>
    <definedName name="_____pr16">#REF!</definedName>
    <definedName name="_____pr17" localSheetId="18">#REF!</definedName>
    <definedName name="_____pr17" localSheetId="1">#REF!</definedName>
    <definedName name="_____pr17">#REF!</definedName>
    <definedName name="_____pr18" localSheetId="18">#REF!</definedName>
    <definedName name="_____pr18" localSheetId="1">#REF!</definedName>
    <definedName name="_____pr18">#REF!</definedName>
    <definedName name="_____pr19" localSheetId="18">#REF!</definedName>
    <definedName name="_____pr19" localSheetId="1">#REF!</definedName>
    <definedName name="_____pr19">#REF!</definedName>
    <definedName name="_____pr20" localSheetId="18">#REF!</definedName>
    <definedName name="_____pr20" localSheetId="1">#REF!</definedName>
    <definedName name="_____pr20">#REF!</definedName>
    <definedName name="_____pr21" localSheetId="18">#REF!</definedName>
    <definedName name="_____pr21" localSheetId="1">#REF!</definedName>
    <definedName name="_____pr21">#REF!</definedName>
    <definedName name="_____pr22" localSheetId="18">#REF!</definedName>
    <definedName name="_____pr22" localSheetId="1">#REF!</definedName>
    <definedName name="_____pr22">#REF!</definedName>
    <definedName name="_____pr23" localSheetId="18">#REF!</definedName>
    <definedName name="_____pr23" localSheetId="1">#REF!</definedName>
    <definedName name="_____pr23">#REF!</definedName>
    <definedName name="_____pr24" localSheetId="18">#REF!</definedName>
    <definedName name="_____pr24" localSheetId="1">#REF!</definedName>
    <definedName name="_____pr24">#REF!</definedName>
    <definedName name="_____pr25" localSheetId="18">#REF!</definedName>
    <definedName name="_____pr25" localSheetId="1">#REF!</definedName>
    <definedName name="_____pr25">#REF!</definedName>
    <definedName name="_____pr26" localSheetId="18">#REF!</definedName>
    <definedName name="_____pr26" localSheetId="1">#REF!</definedName>
    <definedName name="_____pr26">#REF!</definedName>
    <definedName name="_____pr27" localSheetId="18">#REF!</definedName>
    <definedName name="_____pr27" localSheetId="1">#REF!</definedName>
    <definedName name="_____pr27">#REF!</definedName>
    <definedName name="_____pr28" localSheetId="18">#REF!</definedName>
    <definedName name="_____pr28" localSheetId="1">#REF!</definedName>
    <definedName name="_____pr28">#REF!</definedName>
    <definedName name="_____pr29" localSheetId="18">#REF!</definedName>
    <definedName name="_____pr29" localSheetId="1">#REF!</definedName>
    <definedName name="_____pr29">#REF!</definedName>
    <definedName name="_____pr30" localSheetId="18">#REF!</definedName>
    <definedName name="_____pr30" localSheetId="1">#REF!</definedName>
    <definedName name="_____pr30">#REF!</definedName>
    <definedName name="_____pr31" localSheetId="18">#REF!</definedName>
    <definedName name="_____pr31" localSheetId="1">#REF!</definedName>
    <definedName name="_____pr31">#REF!</definedName>
    <definedName name="_____pr32" localSheetId="18">#REF!</definedName>
    <definedName name="_____pr32" localSheetId="1">#REF!</definedName>
    <definedName name="_____pr32">#REF!</definedName>
    <definedName name="_____pr33" localSheetId="18">#REF!</definedName>
    <definedName name="_____pr33" localSheetId="1">#REF!</definedName>
    <definedName name="_____pr33">#REF!</definedName>
    <definedName name="_____pr34" localSheetId="18">#REF!</definedName>
    <definedName name="_____pr34" localSheetId="1">#REF!</definedName>
    <definedName name="_____pr34">#REF!</definedName>
    <definedName name="_____pr35" localSheetId="18">#REF!</definedName>
    <definedName name="_____pr35" localSheetId="1">#REF!</definedName>
    <definedName name="_____pr35">#REF!</definedName>
    <definedName name="_____pr36" localSheetId="18">#REF!</definedName>
    <definedName name="_____pr36" localSheetId="1">#REF!</definedName>
    <definedName name="_____pr36">#REF!</definedName>
    <definedName name="_____pr37" localSheetId="18">#REF!</definedName>
    <definedName name="_____pr37" localSheetId="1">#REF!</definedName>
    <definedName name="_____pr37">#REF!</definedName>
    <definedName name="_____pr38" localSheetId="18">#REF!</definedName>
    <definedName name="_____pr38" localSheetId="1">#REF!</definedName>
    <definedName name="_____pr38">#REF!</definedName>
    <definedName name="_____pr39" localSheetId="18">#REF!</definedName>
    <definedName name="_____pr39" localSheetId="1">#REF!</definedName>
    <definedName name="_____pr39">#REF!</definedName>
    <definedName name="_____pr40" localSheetId="18">#REF!</definedName>
    <definedName name="_____pr40" localSheetId="1">#REF!</definedName>
    <definedName name="_____pr40">#REF!</definedName>
    <definedName name="_____pr41" localSheetId="18">#REF!</definedName>
    <definedName name="_____pr41" localSheetId="1">#REF!</definedName>
    <definedName name="_____pr41">#REF!</definedName>
    <definedName name="_____pr42" localSheetId="18">#REF!</definedName>
    <definedName name="_____pr42" localSheetId="1">#REF!</definedName>
    <definedName name="_____pr42">#REF!</definedName>
    <definedName name="_____pr43" localSheetId="18">#REF!</definedName>
    <definedName name="_____pr43" localSheetId="1">#REF!</definedName>
    <definedName name="_____pr43">#REF!</definedName>
    <definedName name="_____pr44" localSheetId="18">#REF!</definedName>
    <definedName name="_____pr44" localSheetId="1">#REF!</definedName>
    <definedName name="_____pr44">#REF!</definedName>
    <definedName name="_____pr45" localSheetId="18">#REF!</definedName>
    <definedName name="_____pr45" localSheetId="1">#REF!</definedName>
    <definedName name="_____pr45">#REF!</definedName>
    <definedName name="_____pr46" localSheetId="18">#REF!</definedName>
    <definedName name="_____pr46" localSheetId="1">#REF!</definedName>
    <definedName name="_____pr46">#REF!</definedName>
    <definedName name="_____pr47" localSheetId="18">#REF!</definedName>
    <definedName name="_____pr47" localSheetId="1">#REF!</definedName>
    <definedName name="_____pr47">#REF!</definedName>
    <definedName name="_____pr48" localSheetId="18">#REF!</definedName>
    <definedName name="_____pr48" localSheetId="1">#REF!</definedName>
    <definedName name="_____pr48">#REF!</definedName>
    <definedName name="_____pr49" localSheetId="18">#REF!</definedName>
    <definedName name="_____pr49" localSheetId="1">#REF!</definedName>
    <definedName name="_____pr49">#REF!</definedName>
    <definedName name="_____pr50" localSheetId="18">#REF!</definedName>
    <definedName name="_____pr50" localSheetId="1">#REF!</definedName>
    <definedName name="_____pr50">#REF!</definedName>
    <definedName name="_____pr51" localSheetId="18">#REF!</definedName>
    <definedName name="_____pr51" localSheetId="1">#REF!</definedName>
    <definedName name="_____pr51">#REF!</definedName>
    <definedName name="_____pr52" localSheetId="18">#REF!</definedName>
    <definedName name="_____pr52" localSheetId="1">#REF!</definedName>
    <definedName name="_____pr52">#REF!</definedName>
    <definedName name="_____pr53" localSheetId="18">#REF!</definedName>
    <definedName name="_____pr53" localSheetId="1">#REF!</definedName>
    <definedName name="_____pr53">#REF!</definedName>
    <definedName name="_____pr54" localSheetId="18">#REF!</definedName>
    <definedName name="_____pr54" localSheetId="1">#REF!</definedName>
    <definedName name="_____pr54">#REF!</definedName>
    <definedName name="_____pr55" localSheetId="18">#REF!</definedName>
    <definedName name="_____pr55" localSheetId="1">#REF!</definedName>
    <definedName name="_____pr55">#REF!</definedName>
    <definedName name="_____pr56" localSheetId="18">#REF!</definedName>
    <definedName name="_____pr56" localSheetId="1">#REF!</definedName>
    <definedName name="_____pr56">#REF!</definedName>
    <definedName name="_____pr57" localSheetId="18">#REF!</definedName>
    <definedName name="_____pr57" localSheetId="1">#REF!</definedName>
    <definedName name="_____pr57">#REF!</definedName>
    <definedName name="_____pr58" localSheetId="18">#REF!</definedName>
    <definedName name="_____pr58" localSheetId="1">#REF!</definedName>
    <definedName name="_____pr58">#REF!</definedName>
    <definedName name="_____pr59" localSheetId="18">#REF!</definedName>
    <definedName name="_____pr59" localSheetId="1">#REF!</definedName>
    <definedName name="_____pr59">#REF!</definedName>
    <definedName name="_____pr60" localSheetId="18">#REF!</definedName>
    <definedName name="_____pr60" localSheetId="1">#REF!</definedName>
    <definedName name="_____pr60">#REF!</definedName>
    <definedName name="_____pr61" localSheetId="18">#REF!</definedName>
    <definedName name="_____pr61" localSheetId="1">#REF!</definedName>
    <definedName name="_____pr61">#REF!</definedName>
    <definedName name="_____pr62" localSheetId="18">#REF!</definedName>
    <definedName name="_____pr62" localSheetId="1">#REF!</definedName>
    <definedName name="_____pr62">#REF!</definedName>
    <definedName name="_____pr63" localSheetId="18">#REF!</definedName>
    <definedName name="_____pr63" localSheetId="1">#REF!</definedName>
    <definedName name="_____pr63">#REF!</definedName>
    <definedName name="_____pr64" localSheetId="18">#REF!</definedName>
    <definedName name="_____pr64" localSheetId="1">#REF!</definedName>
    <definedName name="_____pr64">#REF!</definedName>
    <definedName name="_____pr65" localSheetId="18">#REF!</definedName>
    <definedName name="_____pr65" localSheetId="1">#REF!</definedName>
    <definedName name="_____pr65">#REF!</definedName>
    <definedName name="_____pr66" localSheetId="18">#REF!</definedName>
    <definedName name="_____pr66" localSheetId="1">#REF!</definedName>
    <definedName name="_____pr66">#REF!</definedName>
    <definedName name="_____pr67" localSheetId="18">#REF!</definedName>
    <definedName name="_____pr67" localSheetId="1">#REF!</definedName>
    <definedName name="_____pr67">#REF!</definedName>
    <definedName name="_____pr68" localSheetId="18">#REF!</definedName>
    <definedName name="_____pr68" localSheetId="1">#REF!</definedName>
    <definedName name="_____pr68">#REF!</definedName>
    <definedName name="_____pr69" localSheetId="18">#REF!</definedName>
    <definedName name="_____pr69" localSheetId="1">#REF!</definedName>
    <definedName name="_____pr69">#REF!</definedName>
    <definedName name="_____pr70" localSheetId="18">#REF!</definedName>
    <definedName name="_____pr70" localSheetId="1">#REF!</definedName>
    <definedName name="_____pr70">#REF!</definedName>
    <definedName name="_____pr71" localSheetId="18">#REF!</definedName>
    <definedName name="_____pr71" localSheetId="1">#REF!</definedName>
    <definedName name="_____pr71">#REF!</definedName>
    <definedName name="_____pr72" localSheetId="18">#REF!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8">[11]Tablas!#REF!</definedName>
    <definedName name="_____VEX1" localSheetId="1">[11]Tablas!#REF!</definedName>
    <definedName name="_____VEX1">[11]Tablas!#REF!</definedName>
    <definedName name="_____VFA1" localSheetId="18">[11]Tablas!#REF!</definedName>
    <definedName name="_____VFA1" localSheetId="1">[11]Tablas!#REF!</definedName>
    <definedName name="_____VFA1">[11]Tablas!#REF!</definedName>
    <definedName name="_____VIT1" localSheetId="18">[11]Tablas!#REF!</definedName>
    <definedName name="_____VIT1" localSheetId="1">[11]Tablas!#REF!</definedName>
    <definedName name="_____VIT1">[11]Tablas!#REF!</definedName>
    <definedName name="_____VPR1" localSheetId="18">[11]Tablas!#REF!</definedName>
    <definedName name="_____VPR1" localSheetId="1">[11]Tablas!#REF!</definedName>
    <definedName name="_____VPR1">[11]Tablas!#REF!</definedName>
    <definedName name="_____VPR2" localSheetId="18">[12]Tablas!#REF!</definedName>
    <definedName name="_____VPR2" localSheetId="1">[12]Tablas!#REF!</definedName>
    <definedName name="_____VPR2">[12]Tablas!#REF!</definedName>
    <definedName name="_____VRP1" localSheetId="18">[11]Tablas!#REF!</definedName>
    <definedName name="_____VRP1" localSheetId="1">[11]Tablas!#REF!</definedName>
    <definedName name="_____VRP1">[11]Tablas!#REF!</definedName>
    <definedName name="_____VSM1" localSheetId="18">[11]Tablas!#REF!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8">[13]!_xlbgnm.ane7</definedName>
    <definedName name="____ane7" localSheetId="1">[13]!_xlbgnm.ane7</definedName>
    <definedName name="____ane7">[13]!_xlbgnm.ane7</definedName>
    <definedName name="____ane8" localSheetId="18">[13]!_xlbgnm.ane8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8">#REF!</definedName>
    <definedName name="____COM1" localSheetId="1">#REF!</definedName>
    <definedName name="____COM1">#REF!</definedName>
    <definedName name="____COM10" localSheetId="18">#REF!</definedName>
    <definedName name="____COM10" localSheetId="1">#REF!</definedName>
    <definedName name="____COM10">#REF!</definedName>
    <definedName name="____COM11" localSheetId="18">#REF!</definedName>
    <definedName name="____COM11" localSheetId="1">#REF!</definedName>
    <definedName name="____COM11">#REF!</definedName>
    <definedName name="____COM12" localSheetId="18">#REF!</definedName>
    <definedName name="____COM12" localSheetId="1">#REF!</definedName>
    <definedName name="____COM12">#REF!</definedName>
    <definedName name="____COM13" localSheetId="18">#REF!</definedName>
    <definedName name="____COM13" localSheetId="1">#REF!</definedName>
    <definedName name="____COM13">#REF!</definedName>
    <definedName name="____COM14" localSheetId="18">#REF!</definedName>
    <definedName name="____COM14" localSheetId="1">#REF!</definedName>
    <definedName name="____COM14">#REF!</definedName>
    <definedName name="____COM15" localSheetId="18">#REF!</definedName>
    <definedName name="____COM15" localSheetId="1">#REF!</definedName>
    <definedName name="____COM15">#REF!</definedName>
    <definedName name="____COM16" localSheetId="18">#REF!</definedName>
    <definedName name="____COM16" localSheetId="1">#REF!</definedName>
    <definedName name="____COM16">#REF!</definedName>
    <definedName name="____COM17" localSheetId="18">#REF!</definedName>
    <definedName name="____COM17" localSheetId="1">#REF!</definedName>
    <definedName name="____COM17">#REF!</definedName>
    <definedName name="____COM18" localSheetId="18">#REF!</definedName>
    <definedName name="____COM18" localSheetId="1">#REF!</definedName>
    <definedName name="____COM18">#REF!</definedName>
    <definedName name="____COM19" localSheetId="18">#REF!</definedName>
    <definedName name="____COM19" localSheetId="1">#REF!</definedName>
    <definedName name="____COM19">#REF!</definedName>
    <definedName name="____COM2" localSheetId="18">#REF!</definedName>
    <definedName name="____COM2" localSheetId="1">#REF!</definedName>
    <definedName name="____COM2">#REF!</definedName>
    <definedName name="____COM20" localSheetId="18">#REF!</definedName>
    <definedName name="____COM20" localSheetId="1">#REF!</definedName>
    <definedName name="____COM20">#REF!</definedName>
    <definedName name="____COM21" localSheetId="18">#REF!</definedName>
    <definedName name="____COM21" localSheetId="1">#REF!</definedName>
    <definedName name="____COM21">#REF!</definedName>
    <definedName name="____COM3" localSheetId="18">#REF!</definedName>
    <definedName name="____COM3" localSheetId="1">#REF!</definedName>
    <definedName name="____COM3">#REF!</definedName>
    <definedName name="____COM4" localSheetId="18">#REF!</definedName>
    <definedName name="____COM4" localSheetId="1">#REF!</definedName>
    <definedName name="____COM4">#REF!</definedName>
    <definedName name="____COM5" localSheetId="18">#REF!</definedName>
    <definedName name="____COM5" localSheetId="1">#REF!</definedName>
    <definedName name="____COM5">#REF!</definedName>
    <definedName name="____COM6" localSheetId="18">#REF!</definedName>
    <definedName name="____COM6" localSheetId="1">#REF!</definedName>
    <definedName name="____COM6">#REF!</definedName>
    <definedName name="____COM7" localSheetId="18">#REF!</definedName>
    <definedName name="____COM7" localSheetId="1">#REF!</definedName>
    <definedName name="____COM7">#REF!</definedName>
    <definedName name="____COM8" localSheetId="18">#REF!</definedName>
    <definedName name="____COM8" localSheetId="1">#REF!</definedName>
    <definedName name="____COM8">#REF!</definedName>
    <definedName name="____COM9" localSheetId="18">#REF!</definedName>
    <definedName name="____COM9" localSheetId="1">#REF!</definedName>
    <definedName name="____COM9">#REF!</definedName>
    <definedName name="____DCI1" localSheetId="18">[11]Tablas!#REF!</definedName>
    <definedName name="____DCI1" localSheetId="1">[11]Tablas!#REF!</definedName>
    <definedName name="____DCI1">[11]Tablas!#REF!</definedName>
    <definedName name="____DDS1" localSheetId="18">[11]Tablas!#REF!</definedName>
    <definedName name="____DDS1" localSheetId="1">[11]Tablas!#REF!</definedName>
    <definedName name="____DDS1">[11]Tablas!#REF!</definedName>
    <definedName name="____DGO1" localSheetId="18">[11]Tablas!#REF!</definedName>
    <definedName name="____DGO1" localSheetId="1">[11]Tablas!#REF!</definedName>
    <definedName name="____DGO1">[11]Tablas!#REF!</definedName>
    <definedName name="____DGP1" localSheetId="18">[11]Tablas!#REF!</definedName>
    <definedName name="____DGP1" localSheetId="1">[11]Tablas!#REF!</definedName>
    <definedName name="____DGP1">[11]Tablas!#REF!</definedName>
    <definedName name="____DIJ1" localSheetId="18">[11]Tablas!#REF!</definedName>
    <definedName name="____DIJ1" localSheetId="1">[11]Tablas!#REF!</definedName>
    <definedName name="____DIJ1">[11]Tablas!#REF!</definedName>
    <definedName name="____DPI1" localSheetId="18">[11]Tablas!#REF!</definedName>
    <definedName name="____DPI1" localSheetId="1">[11]Tablas!#REF!</definedName>
    <definedName name="____DPI1">[11]Tablas!#REF!</definedName>
    <definedName name="____DPY1" localSheetId="18">[11]Tablas!#REF!</definedName>
    <definedName name="____DPY1" localSheetId="1">[11]Tablas!#REF!</definedName>
    <definedName name="____DPY1">[11]Tablas!#REF!</definedName>
    <definedName name="____DRI1" localSheetId="18">[11]Tablas!#REF!</definedName>
    <definedName name="____DRI1" localSheetId="1">[11]Tablas!#REF!</definedName>
    <definedName name="____DRI1">[11]Tablas!#REF!</definedName>
    <definedName name="____DRL1" localSheetId="18">[11]Tablas!#REF!</definedName>
    <definedName name="____DRL1" localSheetId="1">[11]Tablas!#REF!</definedName>
    <definedName name="____DRL1">[11]Tablas!#REF!</definedName>
    <definedName name="____DSP1" localSheetId="18">[11]Tablas!#REF!</definedName>
    <definedName name="____DSP1" localSheetId="1">[11]Tablas!#REF!</definedName>
    <definedName name="____DSP1">[11]Tablas!#REF!</definedName>
    <definedName name="____ECP1" localSheetId="18">[11]Tablas!#REF!</definedName>
    <definedName name="____ECP1" localSheetId="1">[11]Tablas!#REF!</definedName>
    <definedName name="____ECP1">[11]Tablas!#REF!</definedName>
    <definedName name="____ICP1" localSheetId="18">[11]Tablas!#REF!</definedName>
    <definedName name="____ICP1" localSheetId="1">[11]Tablas!#REF!</definedName>
    <definedName name="____ICP1">[11]Tablas!#REF!</definedName>
    <definedName name="____LEY80" localSheetId="18">#REF!</definedName>
    <definedName name="____LEY80" localSheetId="1">#REF!</definedName>
    <definedName name="____LEY80">#REF!</definedName>
    <definedName name="____MA2" localSheetId="18">#REF!</definedName>
    <definedName name="____MA2" localSheetId="32">#REF!</definedName>
    <definedName name="____MA2" localSheetId="40">#REF!</definedName>
    <definedName name="____MA2" localSheetId="41">#REF!</definedName>
    <definedName name="____MA2" localSheetId="43">#REF!</definedName>
    <definedName name="____MA2" localSheetId="64">#REF!</definedName>
    <definedName name="____MA2" localSheetId="1">#REF!</definedName>
    <definedName name="____MA2" localSheetId="2">#REF!</definedName>
    <definedName name="____MA2">#REF!</definedName>
    <definedName name="____OCD1" localSheetId="18">[11]Tablas!#REF!</definedName>
    <definedName name="____OCD1" localSheetId="1">[11]Tablas!#REF!</definedName>
    <definedName name="____OCD1">[11]Tablas!#REF!</definedName>
    <definedName name="____OCI1" localSheetId="18">[11]Tablas!#REF!</definedName>
    <definedName name="____OCI1" localSheetId="1">[11]Tablas!#REF!</definedName>
    <definedName name="____OCI1">[11]Tablas!#REF!</definedName>
    <definedName name="____PJ50" localSheetId="18">#REF!</definedName>
    <definedName name="____PJ50" localSheetId="32">#REF!</definedName>
    <definedName name="____PJ50" localSheetId="40">#REF!</definedName>
    <definedName name="____PJ50" localSheetId="41">#REF!</definedName>
    <definedName name="____PJ50" localSheetId="43">#REF!</definedName>
    <definedName name="____PJ50" localSheetId="64">#REF!</definedName>
    <definedName name="____PJ50" localSheetId="1">#REF!</definedName>
    <definedName name="____PJ50" localSheetId="2">#REF!</definedName>
    <definedName name="____PJ50">#REF!</definedName>
    <definedName name="____pj51" localSheetId="18">#REF!</definedName>
    <definedName name="____pj51" localSheetId="32">#REF!</definedName>
    <definedName name="____pj51" localSheetId="40">#REF!</definedName>
    <definedName name="____pj51" localSheetId="41">#REF!</definedName>
    <definedName name="____pj51" localSheetId="43">#REF!</definedName>
    <definedName name="____pj51" localSheetId="64">#REF!</definedName>
    <definedName name="____pj51" localSheetId="1">#REF!</definedName>
    <definedName name="____pj51" localSheetId="2">#REF!</definedName>
    <definedName name="____pj51">#REF!</definedName>
    <definedName name="____pr01" localSheetId="18">#REF!</definedName>
    <definedName name="____pr01" localSheetId="1">#REF!</definedName>
    <definedName name="____pr01">#REF!</definedName>
    <definedName name="____pr02" localSheetId="18">#REF!</definedName>
    <definedName name="____pr02" localSheetId="1">#REF!</definedName>
    <definedName name="____pr02">#REF!</definedName>
    <definedName name="____pr03" localSheetId="18">#REF!</definedName>
    <definedName name="____pr03" localSheetId="1">#REF!</definedName>
    <definedName name="____pr03">#REF!</definedName>
    <definedName name="____pr04" localSheetId="18">#REF!</definedName>
    <definedName name="____pr04" localSheetId="1">#REF!</definedName>
    <definedName name="____pr04">#REF!</definedName>
    <definedName name="____pr05" localSheetId="18">#REF!</definedName>
    <definedName name="____pr05" localSheetId="1">#REF!</definedName>
    <definedName name="____pr05">#REF!</definedName>
    <definedName name="____pr06" localSheetId="18">#REF!</definedName>
    <definedName name="____pr06" localSheetId="1">#REF!</definedName>
    <definedName name="____pr06">#REF!</definedName>
    <definedName name="____pr07" localSheetId="18">#REF!</definedName>
    <definedName name="____pr07" localSheetId="1">#REF!</definedName>
    <definedName name="____pr07">#REF!</definedName>
    <definedName name="____pr08" localSheetId="18">#REF!</definedName>
    <definedName name="____pr08" localSheetId="1">#REF!</definedName>
    <definedName name="____pr08">#REF!</definedName>
    <definedName name="____pr09" localSheetId="18">#REF!</definedName>
    <definedName name="____pr09" localSheetId="1">#REF!</definedName>
    <definedName name="____pr09">#REF!</definedName>
    <definedName name="____pr10" localSheetId="18">#REF!</definedName>
    <definedName name="____pr10" localSheetId="1">#REF!</definedName>
    <definedName name="____pr10">#REF!</definedName>
    <definedName name="____pr11" localSheetId="18">#REF!</definedName>
    <definedName name="____pr11" localSheetId="1">#REF!</definedName>
    <definedName name="____pr11">#REF!</definedName>
    <definedName name="____pr12" localSheetId="18">#REF!</definedName>
    <definedName name="____pr12" localSheetId="1">#REF!</definedName>
    <definedName name="____pr12">#REF!</definedName>
    <definedName name="____pr13" localSheetId="18">#REF!</definedName>
    <definedName name="____pr13" localSheetId="1">#REF!</definedName>
    <definedName name="____pr13">#REF!</definedName>
    <definedName name="____pr14" localSheetId="18">#REF!</definedName>
    <definedName name="____pr14" localSheetId="1">#REF!</definedName>
    <definedName name="____pr14">#REF!</definedName>
    <definedName name="____pr15" localSheetId="18">#REF!</definedName>
    <definedName name="____pr15" localSheetId="1">#REF!</definedName>
    <definedName name="____pr15">#REF!</definedName>
    <definedName name="____pr16" localSheetId="18">#REF!</definedName>
    <definedName name="____pr16" localSheetId="1">#REF!</definedName>
    <definedName name="____pr16">#REF!</definedName>
    <definedName name="____pr17" localSheetId="18">#REF!</definedName>
    <definedName name="____pr17" localSheetId="1">#REF!</definedName>
    <definedName name="____pr17">#REF!</definedName>
    <definedName name="____pr18" localSheetId="18">#REF!</definedName>
    <definedName name="____pr18" localSheetId="1">#REF!</definedName>
    <definedName name="____pr18">#REF!</definedName>
    <definedName name="____pr19" localSheetId="18">#REF!</definedName>
    <definedName name="____pr19" localSheetId="1">#REF!</definedName>
    <definedName name="____pr19">#REF!</definedName>
    <definedName name="____pr20" localSheetId="18">#REF!</definedName>
    <definedName name="____pr20" localSheetId="1">#REF!</definedName>
    <definedName name="____pr20">#REF!</definedName>
    <definedName name="____pr21" localSheetId="18">#REF!</definedName>
    <definedName name="____pr21" localSheetId="1">#REF!</definedName>
    <definedName name="____pr21">#REF!</definedName>
    <definedName name="____pr22" localSheetId="18">#REF!</definedName>
    <definedName name="____pr22" localSheetId="1">#REF!</definedName>
    <definedName name="____pr22">#REF!</definedName>
    <definedName name="____pr23" localSheetId="18">#REF!</definedName>
    <definedName name="____pr23" localSheetId="1">#REF!</definedName>
    <definedName name="____pr23">#REF!</definedName>
    <definedName name="____pr24" localSheetId="18">#REF!</definedName>
    <definedName name="____pr24" localSheetId="1">#REF!</definedName>
    <definedName name="____pr24">#REF!</definedName>
    <definedName name="____pr25" localSheetId="18">#REF!</definedName>
    <definedName name="____pr25" localSheetId="1">#REF!</definedName>
    <definedName name="____pr25">#REF!</definedName>
    <definedName name="____pr26" localSheetId="18">#REF!</definedName>
    <definedName name="____pr26" localSheetId="1">#REF!</definedName>
    <definedName name="____pr26">#REF!</definedName>
    <definedName name="____pr27" localSheetId="18">#REF!</definedName>
    <definedName name="____pr27" localSheetId="1">#REF!</definedName>
    <definedName name="____pr27">#REF!</definedName>
    <definedName name="____pr28" localSheetId="18">#REF!</definedName>
    <definedName name="____pr28" localSheetId="1">#REF!</definedName>
    <definedName name="____pr28">#REF!</definedName>
    <definedName name="____pr29" localSheetId="18">#REF!</definedName>
    <definedName name="____pr29" localSheetId="1">#REF!</definedName>
    <definedName name="____pr29">#REF!</definedName>
    <definedName name="____pr30" localSheetId="18">#REF!</definedName>
    <definedName name="____pr30" localSheetId="1">#REF!</definedName>
    <definedName name="____pr30">#REF!</definedName>
    <definedName name="____pr31" localSheetId="18">#REF!</definedName>
    <definedName name="____pr31" localSheetId="1">#REF!</definedName>
    <definedName name="____pr31">#REF!</definedName>
    <definedName name="____pr32" localSheetId="18">#REF!</definedName>
    <definedName name="____pr32" localSheetId="1">#REF!</definedName>
    <definedName name="____pr32">#REF!</definedName>
    <definedName name="____pr33" localSheetId="18">#REF!</definedName>
    <definedName name="____pr33" localSheetId="1">#REF!</definedName>
    <definedName name="____pr33">#REF!</definedName>
    <definedName name="____pr34" localSheetId="18">#REF!</definedName>
    <definedName name="____pr34" localSheetId="1">#REF!</definedName>
    <definedName name="____pr34">#REF!</definedName>
    <definedName name="____pr35" localSheetId="18">#REF!</definedName>
    <definedName name="____pr35" localSheetId="1">#REF!</definedName>
    <definedName name="____pr35">#REF!</definedName>
    <definedName name="____pr36" localSheetId="18">#REF!</definedName>
    <definedName name="____pr36" localSheetId="1">#REF!</definedName>
    <definedName name="____pr36">#REF!</definedName>
    <definedName name="____pr37" localSheetId="18">#REF!</definedName>
    <definedName name="____pr37" localSheetId="1">#REF!</definedName>
    <definedName name="____pr37">#REF!</definedName>
    <definedName name="____pr38" localSheetId="18">#REF!</definedName>
    <definedName name="____pr38" localSheetId="1">#REF!</definedName>
    <definedName name="____pr38">#REF!</definedName>
    <definedName name="____pr39" localSheetId="18">#REF!</definedName>
    <definedName name="____pr39" localSheetId="1">#REF!</definedName>
    <definedName name="____pr39">#REF!</definedName>
    <definedName name="____pr40" localSheetId="18">#REF!</definedName>
    <definedName name="____pr40" localSheetId="1">#REF!</definedName>
    <definedName name="____pr40">#REF!</definedName>
    <definedName name="____pr41" localSheetId="18">#REF!</definedName>
    <definedName name="____pr41" localSheetId="1">#REF!</definedName>
    <definedName name="____pr41">#REF!</definedName>
    <definedName name="____pr42" localSheetId="18">#REF!</definedName>
    <definedName name="____pr42" localSheetId="1">#REF!</definedName>
    <definedName name="____pr42">#REF!</definedName>
    <definedName name="____pr43" localSheetId="18">#REF!</definedName>
    <definedName name="____pr43" localSheetId="1">#REF!</definedName>
    <definedName name="____pr43">#REF!</definedName>
    <definedName name="____pr44" localSheetId="18">#REF!</definedName>
    <definedName name="____pr44" localSheetId="1">#REF!</definedName>
    <definedName name="____pr44">#REF!</definedName>
    <definedName name="____pr45" localSheetId="18">#REF!</definedName>
    <definedName name="____pr45" localSheetId="1">#REF!</definedName>
    <definedName name="____pr45">#REF!</definedName>
    <definedName name="____pr46" localSheetId="18">#REF!</definedName>
    <definedName name="____pr46" localSheetId="1">#REF!</definedName>
    <definedName name="____pr46">#REF!</definedName>
    <definedName name="____pr47" localSheetId="18">#REF!</definedName>
    <definedName name="____pr47" localSheetId="1">#REF!</definedName>
    <definedName name="____pr47">#REF!</definedName>
    <definedName name="____pr48" localSheetId="18">#REF!</definedName>
    <definedName name="____pr48" localSheetId="1">#REF!</definedName>
    <definedName name="____pr48">#REF!</definedName>
    <definedName name="____pr49" localSheetId="18">#REF!</definedName>
    <definedName name="____pr49" localSheetId="1">#REF!</definedName>
    <definedName name="____pr49">#REF!</definedName>
    <definedName name="____pr50" localSheetId="18">#REF!</definedName>
    <definedName name="____pr50" localSheetId="1">#REF!</definedName>
    <definedName name="____pr50">#REF!</definedName>
    <definedName name="____pr51" localSheetId="18">#REF!</definedName>
    <definedName name="____pr51" localSheetId="1">#REF!</definedName>
    <definedName name="____pr51">#REF!</definedName>
    <definedName name="____pr52" localSheetId="18">#REF!</definedName>
    <definedName name="____pr52" localSheetId="1">#REF!</definedName>
    <definedName name="____pr52">#REF!</definedName>
    <definedName name="____pr53" localSheetId="18">#REF!</definedName>
    <definedName name="____pr53" localSheetId="1">#REF!</definedName>
    <definedName name="____pr53">#REF!</definedName>
    <definedName name="____pr54" localSheetId="18">#REF!</definedName>
    <definedName name="____pr54" localSheetId="1">#REF!</definedName>
    <definedName name="____pr54">#REF!</definedName>
    <definedName name="____pr55" localSheetId="18">#REF!</definedName>
    <definedName name="____pr55" localSheetId="1">#REF!</definedName>
    <definedName name="____pr55">#REF!</definedName>
    <definedName name="____pr56" localSheetId="18">#REF!</definedName>
    <definedName name="____pr56" localSheetId="1">#REF!</definedName>
    <definedName name="____pr56">#REF!</definedName>
    <definedName name="____pr57" localSheetId="18">#REF!</definedName>
    <definedName name="____pr57" localSheetId="1">#REF!</definedName>
    <definedName name="____pr57">#REF!</definedName>
    <definedName name="____pr58" localSheetId="18">#REF!</definedName>
    <definedName name="____pr58" localSheetId="1">#REF!</definedName>
    <definedName name="____pr58">#REF!</definedName>
    <definedName name="____pr59" localSheetId="18">#REF!</definedName>
    <definedName name="____pr59" localSheetId="1">#REF!</definedName>
    <definedName name="____pr59">#REF!</definedName>
    <definedName name="____pr60" localSheetId="18">#REF!</definedName>
    <definedName name="____pr60" localSheetId="1">#REF!</definedName>
    <definedName name="____pr60">#REF!</definedName>
    <definedName name="____pr61" localSheetId="18">#REF!</definedName>
    <definedName name="____pr61" localSheetId="1">#REF!</definedName>
    <definedName name="____pr61">#REF!</definedName>
    <definedName name="____pr62" localSheetId="18">#REF!</definedName>
    <definedName name="____pr62" localSheetId="1">#REF!</definedName>
    <definedName name="____pr62">#REF!</definedName>
    <definedName name="____pr63" localSheetId="18">#REF!</definedName>
    <definedName name="____pr63" localSheetId="1">#REF!</definedName>
    <definedName name="____pr63">#REF!</definedName>
    <definedName name="____pr64" localSheetId="18">#REF!</definedName>
    <definedName name="____pr64" localSheetId="1">#REF!</definedName>
    <definedName name="____pr64">#REF!</definedName>
    <definedName name="____pr65" localSheetId="18">#REF!</definedName>
    <definedName name="____pr65" localSheetId="1">#REF!</definedName>
    <definedName name="____pr65">#REF!</definedName>
    <definedName name="____pr66" localSheetId="18">#REF!</definedName>
    <definedName name="____pr66" localSheetId="1">#REF!</definedName>
    <definedName name="____pr66">#REF!</definedName>
    <definedName name="____pr67" localSheetId="18">#REF!</definedName>
    <definedName name="____pr67" localSheetId="1">#REF!</definedName>
    <definedName name="____pr67">#REF!</definedName>
    <definedName name="____pr68" localSheetId="18">#REF!</definedName>
    <definedName name="____pr68" localSheetId="1">#REF!</definedName>
    <definedName name="____pr68">#REF!</definedName>
    <definedName name="____pr69" localSheetId="18">#REF!</definedName>
    <definedName name="____pr69" localSheetId="1">#REF!</definedName>
    <definedName name="____pr69">#REF!</definedName>
    <definedName name="____pr70" localSheetId="18">#REF!</definedName>
    <definedName name="____pr70" localSheetId="1">#REF!</definedName>
    <definedName name="____pr70">#REF!</definedName>
    <definedName name="____pr71" localSheetId="18">#REF!</definedName>
    <definedName name="____pr71" localSheetId="1">#REF!</definedName>
    <definedName name="____pr71">#REF!</definedName>
    <definedName name="____pr72" localSheetId="18">#REF!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8">#REF!</definedName>
    <definedName name="____TOP1" localSheetId="1">#REF!</definedName>
    <definedName name="____TOP1">#REF!</definedName>
    <definedName name="____TOP10" localSheetId="18">#REF!</definedName>
    <definedName name="____TOP10" localSheetId="1">#REF!</definedName>
    <definedName name="____TOP10">#REF!</definedName>
    <definedName name="____TOP2" localSheetId="18">#REF!</definedName>
    <definedName name="____TOP2" localSheetId="1">#REF!</definedName>
    <definedName name="____TOP2">#REF!</definedName>
    <definedName name="____TOP3" localSheetId="18">#REF!</definedName>
    <definedName name="____TOP3" localSheetId="1">#REF!</definedName>
    <definedName name="____TOP3">#REF!</definedName>
    <definedName name="____TOP4" localSheetId="18">#REF!</definedName>
    <definedName name="____TOP4" localSheetId="1">#REF!</definedName>
    <definedName name="____TOP4">#REF!</definedName>
    <definedName name="____TOP5" localSheetId="18">#REF!</definedName>
    <definedName name="____TOP5" localSheetId="1">#REF!</definedName>
    <definedName name="____TOP5">#REF!</definedName>
    <definedName name="____TOP6" localSheetId="18">#REF!</definedName>
    <definedName name="____TOP6" localSheetId="1">#REF!</definedName>
    <definedName name="____TOP6">#REF!</definedName>
    <definedName name="____TOP7" localSheetId="18">#REF!</definedName>
    <definedName name="____TOP7" localSheetId="1">#REF!</definedName>
    <definedName name="____TOP7">#REF!</definedName>
    <definedName name="____TOP8" localSheetId="18">#REF!</definedName>
    <definedName name="____TOP8" localSheetId="1">#REF!</definedName>
    <definedName name="____TOP8">#REF!</definedName>
    <definedName name="____TOP9" localSheetId="18">#REF!</definedName>
    <definedName name="____TOP9" localSheetId="1">#REF!</definedName>
    <definedName name="____TOP9">#REF!</definedName>
    <definedName name="____VEX1" localSheetId="18">[11]Tablas!#REF!</definedName>
    <definedName name="____VEX1" localSheetId="1">[11]Tablas!#REF!</definedName>
    <definedName name="____VEX1">[11]Tablas!#REF!</definedName>
    <definedName name="____VFA1" localSheetId="18">[11]Tablas!#REF!</definedName>
    <definedName name="____VFA1" localSheetId="1">[11]Tablas!#REF!</definedName>
    <definedName name="____VFA1">[11]Tablas!#REF!</definedName>
    <definedName name="____VIT1" localSheetId="18">[11]Tablas!#REF!</definedName>
    <definedName name="____VIT1" localSheetId="1">[11]Tablas!#REF!</definedName>
    <definedName name="____VIT1">[11]Tablas!#REF!</definedName>
    <definedName name="____VPR1" localSheetId="18">[11]Tablas!#REF!</definedName>
    <definedName name="____VPR1" localSheetId="1">[11]Tablas!#REF!</definedName>
    <definedName name="____VPR1">[11]Tablas!#REF!</definedName>
    <definedName name="____VPR2" localSheetId="18">#REF!</definedName>
    <definedName name="____VPR2" localSheetId="1">#REF!</definedName>
    <definedName name="____VPR2">#REF!</definedName>
    <definedName name="____VRP1" localSheetId="18">[11]Tablas!#REF!</definedName>
    <definedName name="____VRP1" localSheetId="1">[11]Tablas!#REF!</definedName>
    <definedName name="____VRP1">[11]Tablas!#REF!</definedName>
    <definedName name="____VSM1" localSheetId="18">[11]Tablas!#REF!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8">[15]!_xlbgnm.ane7</definedName>
    <definedName name="___ane7" localSheetId="1">[15]!_xlbgnm.ane7</definedName>
    <definedName name="___ane7">[15]!_xlbgnm.ane7</definedName>
    <definedName name="___ane8" localSheetId="18">[15]!_xlbgnm.ane8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8">#REF!</definedName>
    <definedName name="___COM1" localSheetId="1">#REF!</definedName>
    <definedName name="___COM1">#REF!</definedName>
    <definedName name="___COM10" localSheetId="18">#REF!</definedName>
    <definedName name="___COM10" localSheetId="1">#REF!</definedName>
    <definedName name="___COM10">#REF!</definedName>
    <definedName name="___COM11" localSheetId="18">#REF!</definedName>
    <definedName name="___COM11" localSheetId="1">#REF!</definedName>
    <definedName name="___COM11">#REF!</definedName>
    <definedName name="___COM12" localSheetId="18">#REF!</definedName>
    <definedName name="___COM12" localSheetId="1">#REF!</definedName>
    <definedName name="___COM12">#REF!</definedName>
    <definedName name="___COM13" localSheetId="18">#REF!</definedName>
    <definedName name="___COM13" localSheetId="1">#REF!</definedName>
    <definedName name="___COM13">#REF!</definedName>
    <definedName name="___COM14" localSheetId="18">#REF!</definedName>
    <definedName name="___COM14" localSheetId="1">#REF!</definedName>
    <definedName name="___COM14">#REF!</definedName>
    <definedName name="___COM15" localSheetId="18">#REF!</definedName>
    <definedName name="___COM15" localSheetId="1">#REF!</definedName>
    <definedName name="___COM15">#REF!</definedName>
    <definedName name="___COM16" localSheetId="18">#REF!</definedName>
    <definedName name="___COM16" localSheetId="1">#REF!</definedName>
    <definedName name="___COM16">#REF!</definedName>
    <definedName name="___COM17" localSheetId="18">#REF!</definedName>
    <definedName name="___COM17" localSheetId="1">#REF!</definedName>
    <definedName name="___COM17">#REF!</definedName>
    <definedName name="___COM18" localSheetId="18">#REF!</definedName>
    <definedName name="___COM18" localSheetId="1">#REF!</definedName>
    <definedName name="___COM18">#REF!</definedName>
    <definedName name="___COM19" localSheetId="18">#REF!</definedName>
    <definedName name="___COM19" localSheetId="1">#REF!</definedName>
    <definedName name="___COM19">#REF!</definedName>
    <definedName name="___COM2" localSheetId="18">#REF!</definedName>
    <definedName name="___COM2" localSheetId="1">#REF!</definedName>
    <definedName name="___COM2">#REF!</definedName>
    <definedName name="___COM20" localSheetId="18">#REF!</definedName>
    <definedName name="___COM20" localSheetId="1">#REF!</definedName>
    <definedName name="___COM20">#REF!</definedName>
    <definedName name="___COM21" localSheetId="18">#REF!</definedName>
    <definedName name="___COM21" localSheetId="1">#REF!</definedName>
    <definedName name="___COM21">#REF!</definedName>
    <definedName name="___COM3" localSheetId="18">#REF!</definedName>
    <definedName name="___COM3" localSheetId="1">#REF!</definedName>
    <definedName name="___COM3">#REF!</definedName>
    <definedName name="___COM4" localSheetId="18">#REF!</definedName>
    <definedName name="___COM4" localSheetId="1">#REF!</definedName>
    <definedName name="___COM4">#REF!</definedName>
    <definedName name="___COM5" localSheetId="18">#REF!</definedName>
    <definedName name="___COM5" localSheetId="1">#REF!</definedName>
    <definedName name="___COM5">#REF!</definedName>
    <definedName name="___COM6" localSheetId="18">#REF!</definedName>
    <definedName name="___COM6" localSheetId="1">#REF!</definedName>
    <definedName name="___COM6">#REF!</definedName>
    <definedName name="___COM7" localSheetId="18">#REF!</definedName>
    <definedName name="___COM7" localSheetId="1">#REF!</definedName>
    <definedName name="___COM7">#REF!</definedName>
    <definedName name="___COM8" localSheetId="18">#REF!</definedName>
    <definedName name="___COM8" localSheetId="1">#REF!</definedName>
    <definedName name="___COM8">#REF!</definedName>
    <definedName name="___COM9" localSheetId="18">#REF!</definedName>
    <definedName name="___COM9" localSheetId="1">#REF!</definedName>
    <definedName name="___COM9">#REF!</definedName>
    <definedName name="___DCI1" localSheetId="18">[11]Tablas!#REF!</definedName>
    <definedName name="___DCI1" localSheetId="1">[11]Tablas!#REF!</definedName>
    <definedName name="___DCI1">[11]Tablas!#REF!</definedName>
    <definedName name="___DDS1" localSheetId="18">[11]Tablas!#REF!</definedName>
    <definedName name="___DDS1" localSheetId="1">[11]Tablas!#REF!</definedName>
    <definedName name="___DDS1">[11]Tablas!#REF!</definedName>
    <definedName name="___DGO1" localSheetId="18">[11]Tablas!#REF!</definedName>
    <definedName name="___DGO1" localSheetId="1">[11]Tablas!#REF!</definedName>
    <definedName name="___DGO1">[11]Tablas!#REF!</definedName>
    <definedName name="___DGP1" localSheetId="18">[11]Tablas!#REF!</definedName>
    <definedName name="___DGP1" localSheetId="1">[11]Tablas!#REF!</definedName>
    <definedName name="___DGP1">[11]Tablas!#REF!</definedName>
    <definedName name="___DIJ1" localSheetId="18">[11]Tablas!#REF!</definedName>
    <definedName name="___DIJ1" localSheetId="1">[11]Tablas!#REF!</definedName>
    <definedName name="___DIJ1">[11]Tablas!#REF!</definedName>
    <definedName name="___DPI1" localSheetId="18">[11]Tablas!#REF!</definedName>
    <definedName name="___DPI1" localSheetId="1">[11]Tablas!#REF!</definedName>
    <definedName name="___DPI1">[11]Tablas!#REF!</definedName>
    <definedName name="___DPY1" localSheetId="18">[11]Tablas!#REF!</definedName>
    <definedName name="___DPY1" localSheetId="1">[11]Tablas!#REF!</definedName>
    <definedName name="___DPY1">[11]Tablas!#REF!</definedName>
    <definedName name="___DRI1" localSheetId="18">[11]Tablas!#REF!</definedName>
    <definedName name="___DRI1" localSheetId="1">[11]Tablas!#REF!</definedName>
    <definedName name="___DRI1">[11]Tablas!#REF!</definedName>
    <definedName name="___DRL1" localSheetId="18">[11]Tablas!#REF!</definedName>
    <definedName name="___DRL1" localSheetId="1">[11]Tablas!#REF!</definedName>
    <definedName name="___DRL1">[11]Tablas!#REF!</definedName>
    <definedName name="___DSP1" localSheetId="18">[11]Tablas!#REF!</definedName>
    <definedName name="___DSP1" localSheetId="1">[11]Tablas!#REF!</definedName>
    <definedName name="___DSP1">[11]Tablas!#REF!</definedName>
    <definedName name="___ECP1" localSheetId="18">[11]Tablas!#REF!</definedName>
    <definedName name="___ECP1" localSheetId="1">[11]Tablas!#REF!</definedName>
    <definedName name="___ECP1">[11]Tablas!#REF!</definedName>
    <definedName name="___ICP1" localSheetId="18">[11]Tablas!#REF!</definedName>
    <definedName name="___ICP1" localSheetId="1">[11]Tablas!#REF!</definedName>
    <definedName name="___ICP1">[11]Tablas!#REF!</definedName>
    <definedName name="___key2" localSheetId="18" hidden="1">[8]INST!#REF!</definedName>
    <definedName name="___key2" localSheetId="1" hidden="1">[8]INST!#REF!</definedName>
    <definedName name="___key2" hidden="1">[8]INST!#REF!</definedName>
    <definedName name="___key3" localSheetId="18" hidden="1">#REF!</definedName>
    <definedName name="___key3" localSheetId="1" hidden="1">#REF!</definedName>
    <definedName name="___key3" hidden="1">#REF!</definedName>
    <definedName name="___key31" localSheetId="18" hidden="1">#REF!</definedName>
    <definedName name="___key31" localSheetId="1" hidden="1">#REF!</definedName>
    <definedName name="___key31" hidden="1">#REF!</definedName>
    <definedName name="___LEY80" localSheetId="18">#REF!</definedName>
    <definedName name="___LEY80" localSheetId="1">#REF!</definedName>
    <definedName name="___LEY80">#REF!</definedName>
    <definedName name="___MA2" localSheetId="18">#REF!</definedName>
    <definedName name="___MA2" localSheetId="32">#REF!</definedName>
    <definedName name="___MA2" localSheetId="40">#REF!</definedName>
    <definedName name="___MA2" localSheetId="41">#REF!</definedName>
    <definedName name="___MA2" localSheetId="43">#REF!</definedName>
    <definedName name="___MA2" localSheetId="64">#REF!</definedName>
    <definedName name="___MA2" localSheetId="1">#REF!</definedName>
    <definedName name="___MA2" localSheetId="2">#REF!</definedName>
    <definedName name="___MA2">#REF!</definedName>
    <definedName name="___OCD1" localSheetId="18">[11]Tablas!#REF!</definedName>
    <definedName name="___OCD1" localSheetId="1">[11]Tablas!#REF!</definedName>
    <definedName name="___OCD1">[11]Tablas!#REF!</definedName>
    <definedName name="___OCI1" localSheetId="18">[11]Tablas!#REF!</definedName>
    <definedName name="___OCI1" localSheetId="1">[11]Tablas!#REF!</definedName>
    <definedName name="___OCI1">[11]Tablas!#REF!</definedName>
    <definedName name="___PJ50" localSheetId="18">#REF!</definedName>
    <definedName name="___PJ50" localSheetId="32">#REF!</definedName>
    <definedName name="___PJ50" localSheetId="40">#REF!</definedName>
    <definedName name="___PJ50" localSheetId="41">#REF!</definedName>
    <definedName name="___PJ50" localSheetId="43">#REF!</definedName>
    <definedName name="___PJ50" localSheetId="64">#REF!</definedName>
    <definedName name="___PJ50" localSheetId="1">#REF!</definedName>
    <definedName name="___PJ50" localSheetId="2">#REF!</definedName>
    <definedName name="___PJ50">#REF!</definedName>
    <definedName name="___pj51" localSheetId="18">#REF!</definedName>
    <definedName name="___pj51" localSheetId="32">#REF!</definedName>
    <definedName name="___pj51" localSheetId="40">#REF!</definedName>
    <definedName name="___pj51" localSheetId="41">#REF!</definedName>
    <definedName name="___pj51" localSheetId="43">#REF!</definedName>
    <definedName name="___pj51" localSheetId="64">#REF!</definedName>
    <definedName name="___pj51" localSheetId="1">#REF!</definedName>
    <definedName name="___pj51" localSheetId="2">#REF!</definedName>
    <definedName name="___pj51">#REF!</definedName>
    <definedName name="___pr01" localSheetId="18">#REF!</definedName>
    <definedName name="___pr01" localSheetId="1">#REF!</definedName>
    <definedName name="___pr01">#REF!</definedName>
    <definedName name="___pr02" localSheetId="18">#REF!</definedName>
    <definedName name="___pr02" localSheetId="1">#REF!</definedName>
    <definedName name="___pr02">#REF!</definedName>
    <definedName name="___pr03" localSheetId="18">#REF!</definedName>
    <definedName name="___pr03" localSheetId="1">#REF!</definedName>
    <definedName name="___pr03">#REF!</definedName>
    <definedName name="___pr04" localSheetId="18">#REF!</definedName>
    <definedName name="___pr04" localSheetId="1">#REF!</definedName>
    <definedName name="___pr04">#REF!</definedName>
    <definedName name="___pr05" localSheetId="18">#REF!</definedName>
    <definedName name="___pr05" localSheetId="1">#REF!</definedName>
    <definedName name="___pr05">#REF!</definedName>
    <definedName name="___pr06" localSheetId="18">#REF!</definedName>
    <definedName name="___pr06" localSheetId="1">#REF!</definedName>
    <definedName name="___pr06">#REF!</definedName>
    <definedName name="___pr07" localSheetId="18">#REF!</definedName>
    <definedName name="___pr07" localSheetId="1">#REF!</definedName>
    <definedName name="___pr07">#REF!</definedName>
    <definedName name="___pr08" localSheetId="18">#REF!</definedName>
    <definedName name="___pr08" localSheetId="1">#REF!</definedName>
    <definedName name="___pr08">#REF!</definedName>
    <definedName name="___pr09" localSheetId="18">#REF!</definedName>
    <definedName name="___pr09" localSheetId="1">#REF!</definedName>
    <definedName name="___pr09">#REF!</definedName>
    <definedName name="___pr10" localSheetId="18">#REF!</definedName>
    <definedName name="___pr10" localSheetId="1">#REF!</definedName>
    <definedName name="___pr10">#REF!</definedName>
    <definedName name="___pr11" localSheetId="18">#REF!</definedName>
    <definedName name="___pr11" localSheetId="1">#REF!</definedName>
    <definedName name="___pr11">#REF!</definedName>
    <definedName name="___pr12" localSheetId="18">#REF!</definedName>
    <definedName name="___pr12" localSheetId="1">#REF!</definedName>
    <definedName name="___pr12">#REF!</definedName>
    <definedName name="___pr13" localSheetId="18">#REF!</definedName>
    <definedName name="___pr13" localSheetId="1">#REF!</definedName>
    <definedName name="___pr13">#REF!</definedName>
    <definedName name="___pr14" localSheetId="18">#REF!</definedName>
    <definedName name="___pr14" localSheetId="1">#REF!</definedName>
    <definedName name="___pr14">#REF!</definedName>
    <definedName name="___pr15" localSheetId="18">#REF!</definedName>
    <definedName name="___pr15" localSheetId="1">#REF!</definedName>
    <definedName name="___pr15">#REF!</definedName>
    <definedName name="___pr16" localSheetId="18">#REF!</definedName>
    <definedName name="___pr16" localSheetId="1">#REF!</definedName>
    <definedName name="___pr16">#REF!</definedName>
    <definedName name="___pr17" localSheetId="18">#REF!</definedName>
    <definedName name="___pr17" localSheetId="1">#REF!</definedName>
    <definedName name="___pr17">#REF!</definedName>
    <definedName name="___pr18" localSheetId="18">#REF!</definedName>
    <definedName name="___pr18" localSheetId="1">#REF!</definedName>
    <definedName name="___pr18">#REF!</definedName>
    <definedName name="___pr19" localSheetId="18">#REF!</definedName>
    <definedName name="___pr19" localSheetId="1">#REF!</definedName>
    <definedName name="___pr19">#REF!</definedName>
    <definedName name="___pr20" localSheetId="18">#REF!</definedName>
    <definedName name="___pr20" localSheetId="1">#REF!</definedName>
    <definedName name="___pr20">#REF!</definedName>
    <definedName name="___pr21" localSheetId="18">#REF!</definedName>
    <definedName name="___pr21" localSheetId="1">#REF!</definedName>
    <definedName name="___pr21">#REF!</definedName>
    <definedName name="___pr22" localSheetId="18">#REF!</definedName>
    <definedName name="___pr22" localSheetId="1">#REF!</definedName>
    <definedName name="___pr22">#REF!</definedName>
    <definedName name="___pr23" localSheetId="18">#REF!</definedName>
    <definedName name="___pr23" localSheetId="1">#REF!</definedName>
    <definedName name="___pr23">#REF!</definedName>
    <definedName name="___pr24" localSheetId="18">#REF!</definedName>
    <definedName name="___pr24" localSheetId="1">#REF!</definedName>
    <definedName name="___pr24">#REF!</definedName>
    <definedName name="___pr25" localSheetId="18">#REF!</definedName>
    <definedName name="___pr25" localSheetId="1">#REF!</definedName>
    <definedName name="___pr25">#REF!</definedName>
    <definedName name="___pr26" localSheetId="18">#REF!</definedName>
    <definedName name="___pr26" localSheetId="1">#REF!</definedName>
    <definedName name="___pr26">#REF!</definedName>
    <definedName name="___pr27" localSheetId="18">#REF!</definedName>
    <definedName name="___pr27" localSheetId="1">#REF!</definedName>
    <definedName name="___pr27">#REF!</definedName>
    <definedName name="___pr28" localSheetId="18">#REF!</definedName>
    <definedName name="___pr28" localSheetId="1">#REF!</definedName>
    <definedName name="___pr28">#REF!</definedName>
    <definedName name="___pr29" localSheetId="18">#REF!</definedName>
    <definedName name="___pr29" localSheetId="1">#REF!</definedName>
    <definedName name="___pr29">#REF!</definedName>
    <definedName name="___pr30" localSheetId="18">#REF!</definedName>
    <definedName name="___pr30" localSheetId="1">#REF!</definedName>
    <definedName name="___pr30">#REF!</definedName>
    <definedName name="___pr31" localSheetId="18">#REF!</definedName>
    <definedName name="___pr31" localSheetId="1">#REF!</definedName>
    <definedName name="___pr31">#REF!</definedName>
    <definedName name="___pr32" localSheetId="18">#REF!</definedName>
    <definedName name="___pr32" localSheetId="1">#REF!</definedName>
    <definedName name="___pr32">#REF!</definedName>
    <definedName name="___pr33" localSheetId="18">#REF!</definedName>
    <definedName name="___pr33" localSheetId="1">#REF!</definedName>
    <definedName name="___pr33">#REF!</definedName>
    <definedName name="___pr34" localSheetId="18">#REF!</definedName>
    <definedName name="___pr34" localSheetId="1">#REF!</definedName>
    <definedName name="___pr34">#REF!</definedName>
    <definedName name="___pr35" localSheetId="18">#REF!</definedName>
    <definedName name="___pr35" localSheetId="1">#REF!</definedName>
    <definedName name="___pr35">#REF!</definedName>
    <definedName name="___pr36" localSheetId="18">#REF!</definedName>
    <definedName name="___pr36" localSheetId="1">#REF!</definedName>
    <definedName name="___pr36">#REF!</definedName>
    <definedName name="___pr37" localSheetId="18">#REF!</definedName>
    <definedName name="___pr37" localSheetId="1">#REF!</definedName>
    <definedName name="___pr37">#REF!</definedName>
    <definedName name="___pr38" localSheetId="18">#REF!</definedName>
    <definedName name="___pr38" localSheetId="1">#REF!</definedName>
    <definedName name="___pr38">#REF!</definedName>
    <definedName name="___pr39" localSheetId="18">#REF!</definedName>
    <definedName name="___pr39" localSheetId="1">#REF!</definedName>
    <definedName name="___pr39">#REF!</definedName>
    <definedName name="___pr40" localSheetId="18">#REF!</definedName>
    <definedName name="___pr40" localSheetId="1">#REF!</definedName>
    <definedName name="___pr40">#REF!</definedName>
    <definedName name="___pr41" localSheetId="18">#REF!</definedName>
    <definedName name="___pr41" localSheetId="1">#REF!</definedName>
    <definedName name="___pr41">#REF!</definedName>
    <definedName name="___pr42" localSheetId="18">#REF!</definedName>
    <definedName name="___pr42" localSheetId="1">#REF!</definedName>
    <definedName name="___pr42">#REF!</definedName>
    <definedName name="___pr43" localSheetId="18">#REF!</definedName>
    <definedName name="___pr43" localSheetId="1">#REF!</definedName>
    <definedName name="___pr43">#REF!</definedName>
    <definedName name="___pr44" localSheetId="18">#REF!</definedName>
    <definedName name="___pr44" localSheetId="1">#REF!</definedName>
    <definedName name="___pr44">#REF!</definedName>
    <definedName name="___pr45" localSheetId="18">#REF!</definedName>
    <definedName name="___pr45" localSheetId="1">#REF!</definedName>
    <definedName name="___pr45">#REF!</definedName>
    <definedName name="___pr46" localSheetId="18">#REF!</definedName>
    <definedName name="___pr46" localSheetId="1">#REF!</definedName>
    <definedName name="___pr46">#REF!</definedName>
    <definedName name="___pr47" localSheetId="18">#REF!</definedName>
    <definedName name="___pr47" localSheetId="1">#REF!</definedName>
    <definedName name="___pr47">#REF!</definedName>
    <definedName name="___pr48" localSheetId="18">#REF!</definedName>
    <definedName name="___pr48" localSheetId="1">#REF!</definedName>
    <definedName name="___pr48">#REF!</definedName>
    <definedName name="___pr49" localSheetId="18">#REF!</definedName>
    <definedName name="___pr49" localSheetId="1">#REF!</definedName>
    <definedName name="___pr49">#REF!</definedName>
    <definedName name="___pr50" localSheetId="18">#REF!</definedName>
    <definedName name="___pr50" localSheetId="1">#REF!</definedName>
    <definedName name="___pr50">#REF!</definedName>
    <definedName name="___pr51" localSheetId="18">#REF!</definedName>
    <definedName name="___pr51" localSheetId="1">#REF!</definedName>
    <definedName name="___pr51">#REF!</definedName>
    <definedName name="___pr52" localSheetId="18">#REF!</definedName>
    <definedName name="___pr52" localSheetId="1">#REF!</definedName>
    <definedName name="___pr52">#REF!</definedName>
    <definedName name="___pr53" localSheetId="18">#REF!</definedName>
    <definedName name="___pr53" localSheetId="1">#REF!</definedName>
    <definedName name="___pr53">#REF!</definedName>
    <definedName name="___pr54" localSheetId="18">#REF!</definedName>
    <definedName name="___pr54" localSheetId="1">#REF!</definedName>
    <definedName name="___pr54">#REF!</definedName>
    <definedName name="___pr55" localSheetId="18">#REF!</definedName>
    <definedName name="___pr55" localSheetId="1">#REF!</definedName>
    <definedName name="___pr55">#REF!</definedName>
    <definedName name="___pr56" localSheetId="18">#REF!</definedName>
    <definedName name="___pr56" localSheetId="1">#REF!</definedName>
    <definedName name="___pr56">#REF!</definedName>
    <definedName name="___pr57" localSheetId="18">#REF!</definedName>
    <definedName name="___pr57" localSheetId="1">#REF!</definedName>
    <definedName name="___pr57">#REF!</definedName>
    <definedName name="___pr58" localSheetId="18">#REF!</definedName>
    <definedName name="___pr58" localSheetId="1">#REF!</definedName>
    <definedName name="___pr58">#REF!</definedName>
    <definedName name="___pr59" localSheetId="18">#REF!</definedName>
    <definedName name="___pr59" localSheetId="1">#REF!</definedName>
    <definedName name="___pr59">#REF!</definedName>
    <definedName name="___pr60" localSheetId="18">#REF!</definedName>
    <definedName name="___pr60" localSheetId="1">#REF!</definedName>
    <definedName name="___pr60">#REF!</definedName>
    <definedName name="___pr61" localSheetId="18">#REF!</definedName>
    <definedName name="___pr61" localSheetId="1">#REF!</definedName>
    <definedName name="___pr61">#REF!</definedName>
    <definedName name="___pr62" localSheetId="18">#REF!</definedName>
    <definedName name="___pr62" localSheetId="1">#REF!</definedName>
    <definedName name="___pr62">#REF!</definedName>
    <definedName name="___pr63" localSheetId="18">#REF!</definedName>
    <definedName name="___pr63" localSheetId="1">#REF!</definedName>
    <definedName name="___pr63">#REF!</definedName>
    <definedName name="___pr64" localSheetId="18">#REF!</definedName>
    <definedName name="___pr64" localSheetId="1">#REF!</definedName>
    <definedName name="___pr64">#REF!</definedName>
    <definedName name="___pr65" localSheetId="18">#REF!</definedName>
    <definedName name="___pr65" localSheetId="1">#REF!</definedName>
    <definedName name="___pr65">#REF!</definedName>
    <definedName name="___pr66" localSheetId="18">#REF!</definedName>
    <definedName name="___pr66" localSheetId="1">#REF!</definedName>
    <definedName name="___pr66">#REF!</definedName>
    <definedName name="___pr67" localSheetId="18">#REF!</definedName>
    <definedName name="___pr67" localSheetId="1">#REF!</definedName>
    <definedName name="___pr67">#REF!</definedName>
    <definedName name="___pr68" localSheetId="18">#REF!</definedName>
    <definedName name="___pr68" localSheetId="1">#REF!</definedName>
    <definedName name="___pr68">#REF!</definedName>
    <definedName name="___pr69" localSheetId="18">#REF!</definedName>
    <definedName name="___pr69" localSheetId="1">#REF!</definedName>
    <definedName name="___pr69">#REF!</definedName>
    <definedName name="___pr70" localSheetId="18">#REF!</definedName>
    <definedName name="___pr70" localSheetId="1">#REF!</definedName>
    <definedName name="___pr70">#REF!</definedName>
    <definedName name="___pr71" localSheetId="18">#REF!</definedName>
    <definedName name="___pr71" localSheetId="1">#REF!</definedName>
    <definedName name="___pr71">#REF!</definedName>
    <definedName name="___pr72" localSheetId="18">#REF!</definedName>
    <definedName name="___pr72" localSheetId="1">#REF!</definedName>
    <definedName name="___pr72">#REF!</definedName>
    <definedName name="___SBC1">[6]INV!$A$12:$D$15</definedName>
    <definedName name="___SBC3">[6]INV!$F$12:$I$15</definedName>
    <definedName name="___SBC5">[6]INV!$K$12:$N$15</definedName>
    <definedName name="___TOP1" localSheetId="18">#REF!</definedName>
    <definedName name="___TOP1" localSheetId="1">#REF!</definedName>
    <definedName name="___TOP1">#REF!</definedName>
    <definedName name="___TOP10" localSheetId="18">#REF!</definedName>
    <definedName name="___TOP10" localSheetId="1">#REF!</definedName>
    <definedName name="___TOP10">#REF!</definedName>
    <definedName name="___TOP2" localSheetId="18">#REF!</definedName>
    <definedName name="___TOP2" localSheetId="1">#REF!</definedName>
    <definedName name="___TOP2">#REF!</definedName>
    <definedName name="___TOP3" localSheetId="18">#REF!</definedName>
    <definedName name="___TOP3" localSheetId="1">#REF!</definedName>
    <definedName name="___TOP3">#REF!</definedName>
    <definedName name="___TOP4" localSheetId="18">#REF!</definedName>
    <definedName name="___TOP4" localSheetId="1">#REF!</definedName>
    <definedName name="___TOP4">#REF!</definedName>
    <definedName name="___TOP5" localSheetId="18">#REF!</definedName>
    <definedName name="___TOP5" localSheetId="1">#REF!</definedName>
    <definedName name="___TOP5">#REF!</definedName>
    <definedName name="___TOP6" localSheetId="18">#REF!</definedName>
    <definedName name="___TOP6" localSheetId="1">#REF!</definedName>
    <definedName name="___TOP6">#REF!</definedName>
    <definedName name="___TOP7" localSheetId="18">#REF!</definedName>
    <definedName name="___TOP7" localSheetId="1">#REF!</definedName>
    <definedName name="___TOP7">#REF!</definedName>
    <definedName name="___TOP8" localSheetId="18">#REF!</definedName>
    <definedName name="___TOP8" localSheetId="1">#REF!</definedName>
    <definedName name="___TOP8">#REF!</definedName>
    <definedName name="___TOP9" localSheetId="18">#REF!</definedName>
    <definedName name="___TOP9" localSheetId="1">#REF!</definedName>
    <definedName name="___TOP9">#REF!</definedName>
    <definedName name="___VEX1" localSheetId="18">[11]Tablas!#REF!</definedName>
    <definedName name="___VEX1" localSheetId="1">[11]Tablas!#REF!</definedName>
    <definedName name="___VEX1">[11]Tablas!#REF!</definedName>
    <definedName name="___VFA1" localSheetId="18">[11]Tablas!#REF!</definedName>
    <definedName name="___VFA1" localSheetId="1">[11]Tablas!#REF!</definedName>
    <definedName name="___VFA1">[11]Tablas!#REF!</definedName>
    <definedName name="___VIT1" localSheetId="18">[11]Tablas!#REF!</definedName>
    <definedName name="___VIT1" localSheetId="1">[11]Tablas!#REF!</definedName>
    <definedName name="___VIT1">[11]Tablas!#REF!</definedName>
    <definedName name="___VPR1" localSheetId="18">[11]Tablas!#REF!</definedName>
    <definedName name="___VPR1" localSheetId="1">[11]Tablas!#REF!</definedName>
    <definedName name="___VPR1">[11]Tablas!#REF!</definedName>
    <definedName name="___VPR2" localSheetId="18">#REF!</definedName>
    <definedName name="___VPR2" localSheetId="1">#REF!</definedName>
    <definedName name="___VPR2">#REF!</definedName>
    <definedName name="___VRP1" localSheetId="18">[11]Tablas!#REF!</definedName>
    <definedName name="___VRP1" localSheetId="1">[11]Tablas!#REF!</definedName>
    <definedName name="___VRP1">[11]Tablas!#REF!</definedName>
    <definedName name="___VSM1" localSheetId="18">[11]Tablas!#REF!</definedName>
    <definedName name="___VSM1" localSheetId="1">[11]Tablas!#REF!</definedName>
    <definedName name="___VSM1">[11]Tablas!#REF!</definedName>
    <definedName name="__123Graph_A" localSheetId="18" hidden="1">#REF!</definedName>
    <definedName name="__123Graph_A" localSheetId="1" hidden="1">#REF!</definedName>
    <definedName name="__123Graph_A" hidden="1">#REF!</definedName>
    <definedName name="__123Graph_B" localSheetId="18"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8">[13]!_xlbgnm.ane7</definedName>
    <definedName name="__ane7" localSheetId="1">[13]!_xlbgnm.ane7</definedName>
    <definedName name="__ane7">[13]!_xlbgnm.ane7</definedName>
    <definedName name="__ane8" localSheetId="18">[13]!_xlbgnm.ane8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M1" localSheetId="18">#REF!</definedName>
    <definedName name="__COM1" localSheetId="1">#REF!</definedName>
    <definedName name="__COM1">#REF!</definedName>
    <definedName name="__COM10" localSheetId="18">#REF!</definedName>
    <definedName name="__COM10" localSheetId="1">#REF!</definedName>
    <definedName name="__COM10">#REF!</definedName>
    <definedName name="__COM11" localSheetId="18">#REF!</definedName>
    <definedName name="__COM11" localSheetId="1">#REF!</definedName>
    <definedName name="__COM11">#REF!</definedName>
    <definedName name="__COM12" localSheetId="18">#REF!</definedName>
    <definedName name="__COM12" localSheetId="1">#REF!</definedName>
    <definedName name="__COM12">#REF!</definedName>
    <definedName name="__COM13" localSheetId="18">#REF!</definedName>
    <definedName name="__COM13" localSheetId="1">#REF!</definedName>
    <definedName name="__COM13">#REF!</definedName>
    <definedName name="__COM14" localSheetId="18">#REF!</definedName>
    <definedName name="__COM14" localSheetId="1">#REF!</definedName>
    <definedName name="__COM14">#REF!</definedName>
    <definedName name="__COM15" localSheetId="18">#REF!</definedName>
    <definedName name="__COM15" localSheetId="1">#REF!</definedName>
    <definedName name="__COM15">#REF!</definedName>
    <definedName name="__COM16" localSheetId="18">#REF!</definedName>
    <definedName name="__COM16" localSheetId="1">#REF!</definedName>
    <definedName name="__COM16">#REF!</definedName>
    <definedName name="__COM17" localSheetId="18">#REF!</definedName>
    <definedName name="__COM17" localSheetId="1">#REF!</definedName>
    <definedName name="__COM17">#REF!</definedName>
    <definedName name="__COM18" localSheetId="18">#REF!</definedName>
    <definedName name="__COM18" localSheetId="1">#REF!</definedName>
    <definedName name="__COM18">#REF!</definedName>
    <definedName name="__COM19" localSheetId="18">#REF!</definedName>
    <definedName name="__COM19" localSheetId="1">#REF!</definedName>
    <definedName name="__COM19">#REF!</definedName>
    <definedName name="__COM2" localSheetId="18">#REF!</definedName>
    <definedName name="__COM2" localSheetId="1">#REF!</definedName>
    <definedName name="__COM2">#REF!</definedName>
    <definedName name="__COM20" localSheetId="18">#REF!</definedName>
    <definedName name="__COM20" localSheetId="1">#REF!</definedName>
    <definedName name="__COM20">#REF!</definedName>
    <definedName name="__COM21" localSheetId="18">#REF!</definedName>
    <definedName name="__COM21" localSheetId="1">#REF!</definedName>
    <definedName name="__COM21">#REF!</definedName>
    <definedName name="__COM3" localSheetId="18">#REF!</definedName>
    <definedName name="__COM3" localSheetId="1">#REF!</definedName>
    <definedName name="__COM3">#REF!</definedName>
    <definedName name="__COM4" localSheetId="18">#REF!</definedName>
    <definedName name="__COM4" localSheetId="1">#REF!</definedName>
    <definedName name="__COM4">#REF!</definedName>
    <definedName name="__COM5" localSheetId="18">#REF!</definedName>
    <definedName name="__COM5" localSheetId="1">#REF!</definedName>
    <definedName name="__COM5">#REF!</definedName>
    <definedName name="__COM6" localSheetId="18">#REF!</definedName>
    <definedName name="__COM6" localSheetId="1">#REF!</definedName>
    <definedName name="__COM6">#REF!</definedName>
    <definedName name="__COM7" localSheetId="18">#REF!</definedName>
    <definedName name="__COM7" localSheetId="1">#REF!</definedName>
    <definedName name="__COM7">#REF!</definedName>
    <definedName name="__COM8" localSheetId="18">#REF!</definedName>
    <definedName name="__COM8" localSheetId="1">#REF!</definedName>
    <definedName name="__COM8">#REF!</definedName>
    <definedName name="__COM9" localSheetId="18">#REF!</definedName>
    <definedName name="__COM9" localSheetId="1">#REF!</definedName>
    <definedName name="__COM9">#REF!</definedName>
    <definedName name="__DCI1" localSheetId="18">[11]Tablas!#REF!</definedName>
    <definedName name="__DCI1" localSheetId="1">[11]Tablas!#REF!</definedName>
    <definedName name="__DCI1">[11]Tablas!#REF!</definedName>
    <definedName name="__DDS1" localSheetId="18">[11]Tablas!#REF!</definedName>
    <definedName name="__DDS1" localSheetId="1">[11]Tablas!#REF!</definedName>
    <definedName name="__DDS1">[11]Tablas!#REF!</definedName>
    <definedName name="__DGO1" localSheetId="18">[11]Tablas!#REF!</definedName>
    <definedName name="__DGO1" localSheetId="1">[11]Tablas!#REF!</definedName>
    <definedName name="__DGO1">[11]Tablas!#REF!</definedName>
    <definedName name="__DGP1" localSheetId="18">[11]Tablas!#REF!</definedName>
    <definedName name="__DGP1" localSheetId="1">[11]Tablas!#REF!</definedName>
    <definedName name="__DGP1">[11]Tablas!#REF!</definedName>
    <definedName name="__DIJ1" localSheetId="18">[11]Tablas!#REF!</definedName>
    <definedName name="__DIJ1" localSheetId="1">[11]Tablas!#REF!</definedName>
    <definedName name="__DIJ1">[11]Tablas!#REF!</definedName>
    <definedName name="__DPI1" localSheetId="18">[11]Tablas!#REF!</definedName>
    <definedName name="__DPI1" localSheetId="1">[11]Tablas!#REF!</definedName>
    <definedName name="__DPI1">[11]Tablas!#REF!</definedName>
    <definedName name="__DPY1" localSheetId="18">[11]Tablas!#REF!</definedName>
    <definedName name="__DPY1" localSheetId="1">[11]Tablas!#REF!</definedName>
    <definedName name="__DPY1">[11]Tablas!#REF!</definedName>
    <definedName name="__DRI1" localSheetId="18">[11]Tablas!#REF!</definedName>
    <definedName name="__DRI1" localSheetId="1">[11]Tablas!#REF!</definedName>
    <definedName name="__DRI1">[11]Tablas!#REF!</definedName>
    <definedName name="__DRL1" localSheetId="18">[11]Tablas!#REF!</definedName>
    <definedName name="__DRL1" localSheetId="1">[11]Tablas!#REF!</definedName>
    <definedName name="__DRL1">[11]Tablas!#REF!</definedName>
    <definedName name="__DSP1" localSheetId="18">[11]Tablas!#REF!</definedName>
    <definedName name="__DSP1" localSheetId="1">[11]Tablas!#REF!</definedName>
    <definedName name="__DSP1">[11]Tablas!#REF!</definedName>
    <definedName name="__ECP1" localSheetId="18">[11]Tablas!#REF!</definedName>
    <definedName name="__ECP1" localSheetId="1">[11]Tablas!#REF!</definedName>
    <definedName name="__ECP1">[11]Tablas!#REF!</definedName>
    <definedName name="__F">[0]!ERR</definedName>
    <definedName name="__FS01">[0]!ERR</definedName>
    <definedName name="__ICP1" localSheetId="18">[11]Tablas!#REF!</definedName>
    <definedName name="__ICP1" localSheetId="1">[11]Tablas!#REF!</definedName>
    <definedName name="__ICP1">[11]Tablas!#REF!</definedName>
    <definedName name="__key2" localSheetId="18" hidden="1">[18]INST!#REF!</definedName>
    <definedName name="__key2" localSheetId="1" hidden="1">[18]INST!#REF!</definedName>
    <definedName name="__key2" hidden="1">[18]INST!#REF!</definedName>
    <definedName name="__key21" localSheetId="18" hidden="1">[8]INST!#REF!</definedName>
    <definedName name="__key21" localSheetId="1" hidden="1">[8]INST!#REF!</definedName>
    <definedName name="__key21" hidden="1">[8]INST!#REF!</definedName>
    <definedName name="__key3" localSheetId="18" hidden="1">#REF!</definedName>
    <definedName name="__key3" localSheetId="1" hidden="1">#REF!</definedName>
    <definedName name="__key3" hidden="1">#REF!</definedName>
    <definedName name="__key31" localSheetId="18" hidden="1">#REF!</definedName>
    <definedName name="__key31" localSheetId="1" hidden="1">#REF!</definedName>
    <definedName name="__key31" hidden="1">#REF!</definedName>
    <definedName name="__LEY80" localSheetId="18">#REF!</definedName>
    <definedName name="__LEY80" localSheetId="1">#REF!</definedName>
    <definedName name="__LEY80">#REF!</definedName>
    <definedName name="__MA2" localSheetId="18">#REF!</definedName>
    <definedName name="__MA2" localSheetId="32">#REF!</definedName>
    <definedName name="__MA2" localSheetId="40">#REF!</definedName>
    <definedName name="__MA2" localSheetId="41">#REF!</definedName>
    <definedName name="__MA2" localSheetId="43">#REF!</definedName>
    <definedName name="__MA2" localSheetId="64">#REF!</definedName>
    <definedName name="__MA2" localSheetId="1">#REF!</definedName>
    <definedName name="__MA2" localSheetId="2">#REF!</definedName>
    <definedName name="__MA2">#REF!</definedName>
    <definedName name="__mun2" localSheetId="18">[19]PESOS!#REF!</definedName>
    <definedName name="__mun2" localSheetId="32">[19]PESOS!#REF!</definedName>
    <definedName name="__mun2" localSheetId="40">[19]PESOS!#REF!</definedName>
    <definedName name="__mun2" localSheetId="41">[19]PESOS!#REF!</definedName>
    <definedName name="__mun2" localSheetId="43">[19]PESOS!#REF!</definedName>
    <definedName name="__mun2" localSheetId="64">[19]PESOS!#REF!</definedName>
    <definedName name="__mun2" localSheetId="1">[19]PESOS!#REF!</definedName>
    <definedName name="__mun2" localSheetId="2">[19]PESOS!#REF!</definedName>
    <definedName name="__mun2">[19]PESOS!#REF!</definedName>
    <definedName name="__num10" localSheetId="18">#REF!</definedName>
    <definedName name="__num10" localSheetId="32">#REF!</definedName>
    <definedName name="__num10" localSheetId="40">#REF!</definedName>
    <definedName name="__num10" localSheetId="41">#REF!</definedName>
    <definedName name="__num10" localSheetId="43">#REF!</definedName>
    <definedName name="__num10" localSheetId="64">#REF!</definedName>
    <definedName name="__num10" localSheetId="1">#REF!</definedName>
    <definedName name="__num10" localSheetId="2">#REF!</definedName>
    <definedName name="__num10">#REF!</definedName>
    <definedName name="__num2" localSheetId="18">#REF!</definedName>
    <definedName name="__num2" localSheetId="32">#REF!</definedName>
    <definedName name="__num2" localSheetId="40">#REF!</definedName>
    <definedName name="__num2" localSheetId="41">#REF!</definedName>
    <definedName name="__num2" localSheetId="43">#REF!</definedName>
    <definedName name="__num2" localSheetId="64">#REF!</definedName>
    <definedName name="__num2" localSheetId="1">#REF!</definedName>
    <definedName name="__num2" localSheetId="2">#REF!</definedName>
    <definedName name="__num2">#REF!</definedName>
    <definedName name="__num3" localSheetId="18">#REF!</definedName>
    <definedName name="__num3" localSheetId="32">#REF!</definedName>
    <definedName name="__num3" localSheetId="40">#REF!</definedName>
    <definedName name="__num3" localSheetId="41">#REF!</definedName>
    <definedName name="__num3" localSheetId="43">#REF!</definedName>
    <definedName name="__num3" localSheetId="64">#REF!</definedName>
    <definedName name="__num3" localSheetId="1">#REF!</definedName>
    <definedName name="__num3" localSheetId="2">#REF!</definedName>
    <definedName name="__num3">#REF!</definedName>
    <definedName name="__num4" localSheetId="18">#REF!</definedName>
    <definedName name="__num4" localSheetId="32">#REF!</definedName>
    <definedName name="__num4" localSheetId="40">#REF!</definedName>
    <definedName name="__num4" localSheetId="41">#REF!</definedName>
    <definedName name="__num4" localSheetId="43">#REF!</definedName>
    <definedName name="__num4" localSheetId="64">#REF!</definedName>
    <definedName name="__num4" localSheetId="1">#REF!</definedName>
    <definedName name="__num4" localSheetId="2">#REF!</definedName>
    <definedName name="__num4">#REF!</definedName>
    <definedName name="__num5" localSheetId="18">#REF!</definedName>
    <definedName name="__num5" localSheetId="32">#REF!</definedName>
    <definedName name="__num5" localSheetId="40">#REF!</definedName>
    <definedName name="__num5" localSheetId="41">#REF!</definedName>
    <definedName name="__num5" localSheetId="43">#REF!</definedName>
    <definedName name="__num5" localSheetId="64">#REF!</definedName>
    <definedName name="__num5" localSheetId="1">#REF!</definedName>
    <definedName name="__num5" localSheetId="2">#REF!</definedName>
    <definedName name="__num5">#REF!</definedName>
    <definedName name="__num6" localSheetId="18">#REF!</definedName>
    <definedName name="__num6" localSheetId="32">#REF!</definedName>
    <definedName name="__num6" localSheetId="40">#REF!</definedName>
    <definedName name="__num6" localSheetId="41">#REF!</definedName>
    <definedName name="__num6" localSheetId="43">#REF!</definedName>
    <definedName name="__num6" localSheetId="64">#REF!</definedName>
    <definedName name="__num6" localSheetId="1">#REF!</definedName>
    <definedName name="__num6" localSheetId="2">#REF!</definedName>
    <definedName name="__num6">#REF!</definedName>
    <definedName name="__num7" localSheetId="18">#REF!</definedName>
    <definedName name="__num7" localSheetId="32">#REF!</definedName>
    <definedName name="__num7" localSheetId="40">#REF!</definedName>
    <definedName name="__num7" localSheetId="41">#REF!</definedName>
    <definedName name="__num7" localSheetId="43">#REF!</definedName>
    <definedName name="__num7" localSheetId="64">#REF!</definedName>
    <definedName name="__num7" localSheetId="1">#REF!</definedName>
    <definedName name="__num7" localSheetId="2">#REF!</definedName>
    <definedName name="__num7">#REF!</definedName>
    <definedName name="__num8" localSheetId="18">#REF!</definedName>
    <definedName name="__num8" localSheetId="32">#REF!</definedName>
    <definedName name="__num8" localSheetId="40">#REF!</definedName>
    <definedName name="__num8" localSheetId="41">#REF!</definedName>
    <definedName name="__num8" localSheetId="43">#REF!</definedName>
    <definedName name="__num8" localSheetId="64">#REF!</definedName>
    <definedName name="__num8" localSheetId="1">#REF!</definedName>
    <definedName name="__num8" localSheetId="2">#REF!</definedName>
    <definedName name="__num8">#REF!</definedName>
    <definedName name="__num9" localSheetId="18">#REF!</definedName>
    <definedName name="__num9" localSheetId="32">#REF!</definedName>
    <definedName name="__num9" localSheetId="40">#REF!</definedName>
    <definedName name="__num9" localSheetId="41">#REF!</definedName>
    <definedName name="__num9" localSheetId="43">#REF!</definedName>
    <definedName name="__num9" localSheetId="64">#REF!</definedName>
    <definedName name="__num9" localSheetId="1">#REF!</definedName>
    <definedName name="__num9" localSheetId="2">#REF!</definedName>
    <definedName name="__num9">#REF!</definedName>
    <definedName name="__OCD1" localSheetId="18">[11]Tablas!#REF!</definedName>
    <definedName name="__OCD1" localSheetId="1">[11]Tablas!#REF!</definedName>
    <definedName name="__OCD1">[11]Tablas!#REF!</definedName>
    <definedName name="__OCI1" localSheetId="18">[11]Tablas!#REF!</definedName>
    <definedName name="__OCI1" localSheetId="1">[11]Tablas!#REF!</definedName>
    <definedName name="__OCI1">[11]Tablas!#REF!</definedName>
    <definedName name="__PJ50" localSheetId="18">#REF!</definedName>
    <definedName name="__PJ50" localSheetId="32">#REF!</definedName>
    <definedName name="__PJ50" localSheetId="40">#REF!</definedName>
    <definedName name="__PJ50" localSheetId="41">#REF!</definedName>
    <definedName name="__PJ50" localSheetId="43">#REF!</definedName>
    <definedName name="__PJ50" localSheetId="64">#REF!</definedName>
    <definedName name="__PJ50" localSheetId="1">#REF!</definedName>
    <definedName name="__PJ50" localSheetId="2">#REF!</definedName>
    <definedName name="__PJ50">#REF!</definedName>
    <definedName name="__pj51" localSheetId="18">#REF!</definedName>
    <definedName name="__pj51" localSheetId="32">#REF!</definedName>
    <definedName name="__pj51" localSheetId="40">#REF!</definedName>
    <definedName name="__pj51" localSheetId="41">#REF!</definedName>
    <definedName name="__pj51" localSheetId="43">#REF!</definedName>
    <definedName name="__pj51" localSheetId="64">#REF!</definedName>
    <definedName name="__pj51" localSheetId="1">#REF!</definedName>
    <definedName name="__pj51" localSheetId="2">#REF!</definedName>
    <definedName name="__pj51">#REF!</definedName>
    <definedName name="__pr01" localSheetId="18">#REF!</definedName>
    <definedName name="__pr01" localSheetId="1">#REF!</definedName>
    <definedName name="__pr01">#REF!</definedName>
    <definedName name="__pr02" localSheetId="18">#REF!</definedName>
    <definedName name="__pr02" localSheetId="1">#REF!</definedName>
    <definedName name="__pr02">#REF!</definedName>
    <definedName name="__pr03" localSheetId="18">#REF!</definedName>
    <definedName name="__pr03" localSheetId="1">#REF!</definedName>
    <definedName name="__pr03">#REF!</definedName>
    <definedName name="__pr04" localSheetId="18">#REF!</definedName>
    <definedName name="__pr04" localSheetId="1">#REF!</definedName>
    <definedName name="__pr04">#REF!</definedName>
    <definedName name="__pr05" localSheetId="18">#REF!</definedName>
    <definedName name="__pr05" localSheetId="1">#REF!</definedName>
    <definedName name="__pr05">#REF!</definedName>
    <definedName name="__pr06" localSheetId="18">#REF!</definedName>
    <definedName name="__pr06" localSheetId="1">#REF!</definedName>
    <definedName name="__pr06">#REF!</definedName>
    <definedName name="__pr07" localSheetId="18">#REF!</definedName>
    <definedName name="__pr07" localSheetId="1">#REF!</definedName>
    <definedName name="__pr07">#REF!</definedName>
    <definedName name="__pr08" localSheetId="18">#REF!</definedName>
    <definedName name="__pr08" localSheetId="1">#REF!</definedName>
    <definedName name="__pr08">#REF!</definedName>
    <definedName name="__pr09" localSheetId="18">#REF!</definedName>
    <definedName name="__pr09" localSheetId="1">#REF!</definedName>
    <definedName name="__pr09">#REF!</definedName>
    <definedName name="__pr10" localSheetId="18">#REF!</definedName>
    <definedName name="__pr10" localSheetId="1">#REF!</definedName>
    <definedName name="__pr10">#REF!</definedName>
    <definedName name="__pr11" localSheetId="18">#REF!</definedName>
    <definedName name="__pr11" localSheetId="1">#REF!</definedName>
    <definedName name="__pr11">#REF!</definedName>
    <definedName name="__pr12" localSheetId="18">#REF!</definedName>
    <definedName name="__pr12" localSheetId="1">#REF!</definedName>
    <definedName name="__pr12">#REF!</definedName>
    <definedName name="__pr13" localSheetId="18">#REF!</definedName>
    <definedName name="__pr13" localSheetId="1">#REF!</definedName>
    <definedName name="__pr13">#REF!</definedName>
    <definedName name="__pr14" localSheetId="18">#REF!</definedName>
    <definedName name="__pr14" localSheetId="1">#REF!</definedName>
    <definedName name="__pr14">#REF!</definedName>
    <definedName name="__pr15" localSheetId="18">#REF!</definedName>
    <definedName name="__pr15" localSheetId="1">#REF!</definedName>
    <definedName name="__pr15">#REF!</definedName>
    <definedName name="__pr16" localSheetId="18">#REF!</definedName>
    <definedName name="__pr16" localSheetId="1">#REF!</definedName>
    <definedName name="__pr16">#REF!</definedName>
    <definedName name="__pr17" localSheetId="18">#REF!</definedName>
    <definedName name="__pr17" localSheetId="1">#REF!</definedName>
    <definedName name="__pr17">#REF!</definedName>
    <definedName name="__pr18" localSheetId="18">#REF!</definedName>
    <definedName name="__pr18" localSheetId="1">#REF!</definedName>
    <definedName name="__pr18">#REF!</definedName>
    <definedName name="__pr19" localSheetId="18">#REF!</definedName>
    <definedName name="__pr19" localSheetId="1">#REF!</definedName>
    <definedName name="__pr19">#REF!</definedName>
    <definedName name="__pr20" localSheetId="18">#REF!</definedName>
    <definedName name="__pr20" localSheetId="1">#REF!</definedName>
    <definedName name="__pr20">#REF!</definedName>
    <definedName name="__pr21" localSheetId="18">#REF!</definedName>
    <definedName name="__pr21" localSheetId="1">#REF!</definedName>
    <definedName name="__pr21">#REF!</definedName>
    <definedName name="__pr22" localSheetId="18">#REF!</definedName>
    <definedName name="__pr22" localSheetId="1">#REF!</definedName>
    <definedName name="__pr22">#REF!</definedName>
    <definedName name="__pr23" localSheetId="18">#REF!</definedName>
    <definedName name="__pr23" localSheetId="1">#REF!</definedName>
    <definedName name="__pr23">#REF!</definedName>
    <definedName name="__pr24" localSheetId="18">#REF!</definedName>
    <definedName name="__pr24" localSheetId="1">#REF!</definedName>
    <definedName name="__pr24">#REF!</definedName>
    <definedName name="__pr25" localSheetId="18">#REF!</definedName>
    <definedName name="__pr25" localSheetId="1">#REF!</definedName>
    <definedName name="__pr25">#REF!</definedName>
    <definedName name="__pr26" localSheetId="18">#REF!</definedName>
    <definedName name="__pr26" localSheetId="1">#REF!</definedName>
    <definedName name="__pr26">#REF!</definedName>
    <definedName name="__pr27" localSheetId="18">#REF!</definedName>
    <definedName name="__pr27" localSheetId="1">#REF!</definedName>
    <definedName name="__pr27">#REF!</definedName>
    <definedName name="__pr28" localSheetId="18">#REF!</definedName>
    <definedName name="__pr28" localSheetId="1">#REF!</definedName>
    <definedName name="__pr28">#REF!</definedName>
    <definedName name="__pr29" localSheetId="18">#REF!</definedName>
    <definedName name="__pr29" localSheetId="1">#REF!</definedName>
    <definedName name="__pr29">#REF!</definedName>
    <definedName name="__pr30" localSheetId="18">#REF!</definedName>
    <definedName name="__pr30" localSheetId="1">#REF!</definedName>
    <definedName name="__pr30">#REF!</definedName>
    <definedName name="__pr31" localSheetId="18">#REF!</definedName>
    <definedName name="__pr31" localSheetId="1">#REF!</definedName>
    <definedName name="__pr31">#REF!</definedName>
    <definedName name="__pr32" localSheetId="18">#REF!</definedName>
    <definedName name="__pr32" localSheetId="1">#REF!</definedName>
    <definedName name="__pr32">#REF!</definedName>
    <definedName name="__pr33" localSheetId="18">#REF!</definedName>
    <definedName name="__pr33" localSheetId="1">#REF!</definedName>
    <definedName name="__pr33">#REF!</definedName>
    <definedName name="__pr34" localSheetId="18">#REF!</definedName>
    <definedName name="__pr34" localSheetId="1">#REF!</definedName>
    <definedName name="__pr34">#REF!</definedName>
    <definedName name="__pr35" localSheetId="18">#REF!</definedName>
    <definedName name="__pr35" localSheetId="1">#REF!</definedName>
    <definedName name="__pr35">#REF!</definedName>
    <definedName name="__pr36" localSheetId="18">#REF!</definedName>
    <definedName name="__pr36" localSheetId="1">#REF!</definedName>
    <definedName name="__pr36">#REF!</definedName>
    <definedName name="__pr37" localSheetId="18">#REF!</definedName>
    <definedName name="__pr37" localSheetId="1">#REF!</definedName>
    <definedName name="__pr37">#REF!</definedName>
    <definedName name="__pr38" localSheetId="18">#REF!</definedName>
    <definedName name="__pr38" localSheetId="1">#REF!</definedName>
    <definedName name="__pr38">#REF!</definedName>
    <definedName name="__pr39" localSheetId="18">#REF!</definedName>
    <definedName name="__pr39" localSheetId="1">#REF!</definedName>
    <definedName name="__pr39">#REF!</definedName>
    <definedName name="__pr40" localSheetId="18">#REF!</definedName>
    <definedName name="__pr40" localSheetId="1">#REF!</definedName>
    <definedName name="__pr40">#REF!</definedName>
    <definedName name="__pr41" localSheetId="18">#REF!</definedName>
    <definedName name="__pr41" localSheetId="1">#REF!</definedName>
    <definedName name="__pr41">#REF!</definedName>
    <definedName name="__pr42" localSheetId="18">#REF!</definedName>
    <definedName name="__pr42" localSheetId="1">#REF!</definedName>
    <definedName name="__pr42">#REF!</definedName>
    <definedName name="__pr43" localSheetId="18">#REF!</definedName>
    <definedName name="__pr43" localSheetId="1">#REF!</definedName>
    <definedName name="__pr43">#REF!</definedName>
    <definedName name="__pr44" localSheetId="18">#REF!</definedName>
    <definedName name="__pr44" localSheetId="1">#REF!</definedName>
    <definedName name="__pr44">#REF!</definedName>
    <definedName name="__pr45" localSheetId="18">#REF!</definedName>
    <definedName name="__pr45" localSheetId="1">#REF!</definedName>
    <definedName name="__pr45">#REF!</definedName>
    <definedName name="__pr46" localSheetId="18">#REF!</definedName>
    <definedName name="__pr46" localSheetId="1">#REF!</definedName>
    <definedName name="__pr46">#REF!</definedName>
    <definedName name="__pr47" localSheetId="18">#REF!</definedName>
    <definedName name="__pr47" localSheetId="1">#REF!</definedName>
    <definedName name="__pr47">#REF!</definedName>
    <definedName name="__pr48" localSheetId="18">#REF!</definedName>
    <definedName name="__pr48" localSheetId="1">#REF!</definedName>
    <definedName name="__pr48">#REF!</definedName>
    <definedName name="__pr49" localSheetId="18">#REF!</definedName>
    <definedName name="__pr49" localSheetId="1">#REF!</definedName>
    <definedName name="__pr49">#REF!</definedName>
    <definedName name="__pr50" localSheetId="18">#REF!</definedName>
    <definedName name="__pr50" localSheetId="1">#REF!</definedName>
    <definedName name="__pr50">#REF!</definedName>
    <definedName name="__pr51" localSheetId="18">#REF!</definedName>
    <definedName name="__pr51" localSheetId="1">#REF!</definedName>
    <definedName name="__pr51">#REF!</definedName>
    <definedName name="__pr52" localSheetId="18">#REF!</definedName>
    <definedName name="__pr52" localSheetId="1">#REF!</definedName>
    <definedName name="__pr52">#REF!</definedName>
    <definedName name="__pr53" localSheetId="18">#REF!</definedName>
    <definedName name="__pr53" localSheetId="1">#REF!</definedName>
    <definedName name="__pr53">#REF!</definedName>
    <definedName name="__pr54" localSheetId="18">#REF!</definedName>
    <definedName name="__pr54" localSheetId="1">#REF!</definedName>
    <definedName name="__pr54">#REF!</definedName>
    <definedName name="__pr55" localSheetId="18">#REF!</definedName>
    <definedName name="__pr55" localSheetId="1">#REF!</definedName>
    <definedName name="__pr55">#REF!</definedName>
    <definedName name="__pr56" localSheetId="18">#REF!</definedName>
    <definedName name="__pr56" localSheetId="1">#REF!</definedName>
    <definedName name="__pr56">#REF!</definedName>
    <definedName name="__pr57" localSheetId="18">#REF!</definedName>
    <definedName name="__pr57" localSheetId="1">#REF!</definedName>
    <definedName name="__pr57">#REF!</definedName>
    <definedName name="__pr58" localSheetId="18">#REF!</definedName>
    <definedName name="__pr58" localSheetId="1">#REF!</definedName>
    <definedName name="__pr58">#REF!</definedName>
    <definedName name="__pr59" localSheetId="18">#REF!</definedName>
    <definedName name="__pr59" localSheetId="1">#REF!</definedName>
    <definedName name="__pr59">#REF!</definedName>
    <definedName name="__pr60" localSheetId="18">#REF!</definedName>
    <definedName name="__pr60" localSheetId="1">#REF!</definedName>
    <definedName name="__pr60">#REF!</definedName>
    <definedName name="__pr61" localSheetId="18">#REF!</definedName>
    <definedName name="__pr61" localSheetId="1">#REF!</definedName>
    <definedName name="__pr61">#REF!</definedName>
    <definedName name="__pr62" localSheetId="18">#REF!</definedName>
    <definedName name="__pr62" localSheetId="1">#REF!</definedName>
    <definedName name="__pr62">#REF!</definedName>
    <definedName name="__pr63" localSheetId="18">#REF!</definedName>
    <definedName name="__pr63" localSheetId="1">#REF!</definedName>
    <definedName name="__pr63">#REF!</definedName>
    <definedName name="__pr64" localSheetId="18">#REF!</definedName>
    <definedName name="__pr64" localSheetId="1">#REF!</definedName>
    <definedName name="__pr64">#REF!</definedName>
    <definedName name="__pr65" localSheetId="18">#REF!</definedName>
    <definedName name="__pr65" localSheetId="1">#REF!</definedName>
    <definedName name="__pr65">#REF!</definedName>
    <definedName name="__pr66" localSheetId="18">#REF!</definedName>
    <definedName name="__pr66" localSheetId="1">#REF!</definedName>
    <definedName name="__pr66">#REF!</definedName>
    <definedName name="__pr67" localSheetId="18">#REF!</definedName>
    <definedName name="__pr67" localSheetId="1">#REF!</definedName>
    <definedName name="__pr67">#REF!</definedName>
    <definedName name="__pr68" localSheetId="18">#REF!</definedName>
    <definedName name="__pr68" localSheetId="1">#REF!</definedName>
    <definedName name="__pr68">#REF!</definedName>
    <definedName name="__pr69" localSheetId="18">#REF!</definedName>
    <definedName name="__pr69" localSheetId="1">#REF!</definedName>
    <definedName name="__pr69">#REF!</definedName>
    <definedName name="__pr70" localSheetId="18">#REF!</definedName>
    <definedName name="__pr70" localSheetId="1">#REF!</definedName>
    <definedName name="__pr70">#REF!</definedName>
    <definedName name="__pr71" localSheetId="18">#REF!</definedName>
    <definedName name="__pr71" localSheetId="1">#REF!</definedName>
    <definedName name="__pr71">#REF!</definedName>
    <definedName name="__pr72" localSheetId="18">#REF!</definedName>
    <definedName name="__pr72" localSheetId="1">#REF!</definedName>
    <definedName name="__pr72">#REF!</definedName>
    <definedName name="__ref4" localSheetId="18">#REF!</definedName>
    <definedName name="__ref4" localSheetId="32">#REF!</definedName>
    <definedName name="__ref4" localSheetId="40">#REF!</definedName>
    <definedName name="__ref4" localSheetId="41">#REF!</definedName>
    <definedName name="__ref4" localSheetId="43">#REF!</definedName>
    <definedName name="__ref4" localSheetId="64">#REF!</definedName>
    <definedName name="__ref4" localSheetId="1">#REF!</definedName>
    <definedName name="__ref4" localSheetId="2">#REF!</definedName>
    <definedName name="__ref4">#REF!</definedName>
    <definedName name="__SBC1">[6]INV!$A$12:$D$15</definedName>
    <definedName name="__SBC3">[6]INV!$F$12:$I$15</definedName>
    <definedName name="__SBC5">[6]INV!$K$12:$N$15</definedName>
    <definedName name="__TOP1" localSheetId="18">#REF!</definedName>
    <definedName name="__TOP1" localSheetId="1">#REF!</definedName>
    <definedName name="__TOP1">#REF!</definedName>
    <definedName name="__TOP10" localSheetId="18">#REF!</definedName>
    <definedName name="__TOP10" localSheetId="1">#REF!</definedName>
    <definedName name="__TOP10">#REF!</definedName>
    <definedName name="__TOP2" localSheetId="18">#REF!</definedName>
    <definedName name="__TOP2" localSheetId="1">#REF!</definedName>
    <definedName name="__TOP2">#REF!</definedName>
    <definedName name="__TOP3" localSheetId="18">#REF!</definedName>
    <definedName name="__TOP3" localSheetId="1">#REF!</definedName>
    <definedName name="__TOP3">#REF!</definedName>
    <definedName name="__TOP4" localSheetId="18">#REF!</definedName>
    <definedName name="__TOP4" localSheetId="1">#REF!</definedName>
    <definedName name="__TOP4">#REF!</definedName>
    <definedName name="__TOP5" localSheetId="18">#REF!</definedName>
    <definedName name="__TOP5" localSheetId="1">#REF!</definedName>
    <definedName name="__TOP5">#REF!</definedName>
    <definedName name="__TOP6" localSheetId="18">#REF!</definedName>
    <definedName name="__TOP6" localSheetId="1">#REF!</definedName>
    <definedName name="__TOP6">#REF!</definedName>
    <definedName name="__TOP7" localSheetId="18">#REF!</definedName>
    <definedName name="__TOP7" localSheetId="1">#REF!</definedName>
    <definedName name="__TOP7">#REF!</definedName>
    <definedName name="__TOP8" localSheetId="18">#REF!</definedName>
    <definedName name="__TOP8" localSheetId="1">#REF!</definedName>
    <definedName name="__TOP8">#REF!</definedName>
    <definedName name="__TOP9" localSheetId="18">#REF!</definedName>
    <definedName name="__TOP9" localSheetId="1">#REF!</definedName>
    <definedName name="__TOP9">#REF!</definedName>
    <definedName name="__TOT1" localSheetId="18">#REF!</definedName>
    <definedName name="__TOT1" localSheetId="1">#REF!</definedName>
    <definedName name="__TOT1">#REF!</definedName>
    <definedName name="__VEX1" localSheetId="18">[11]Tablas!#REF!</definedName>
    <definedName name="__VEX1" localSheetId="1">[11]Tablas!#REF!</definedName>
    <definedName name="__VEX1">[11]Tablas!#REF!</definedName>
    <definedName name="__VFA1" localSheetId="18">[11]Tablas!#REF!</definedName>
    <definedName name="__VFA1" localSheetId="1">[11]Tablas!#REF!</definedName>
    <definedName name="__VFA1">[11]Tablas!#REF!</definedName>
    <definedName name="__VIT1" localSheetId="18">[11]Tablas!#REF!</definedName>
    <definedName name="__VIT1" localSheetId="1">[11]Tablas!#REF!</definedName>
    <definedName name="__VIT1">[11]Tablas!#REF!</definedName>
    <definedName name="__VPR1" localSheetId="18">[11]Tablas!#REF!</definedName>
    <definedName name="__VPR1" localSheetId="1">[11]Tablas!#REF!</definedName>
    <definedName name="__VPR1">[11]Tablas!#REF!</definedName>
    <definedName name="__VPR2" localSheetId="18">[12]Tablas!#REF!</definedName>
    <definedName name="__VPR2" localSheetId="1">[12]Tablas!#REF!</definedName>
    <definedName name="__VPR2">[12]Tablas!#REF!</definedName>
    <definedName name="__VRP1" localSheetId="18">[11]Tablas!#REF!</definedName>
    <definedName name="__VRP1" localSheetId="1">[11]Tablas!#REF!</definedName>
    <definedName name="__VRP1">[11]Tablas!#REF!</definedName>
    <definedName name="__VSM1" localSheetId="18">[11]Tablas!#REF!</definedName>
    <definedName name="__VSM1" localSheetId="1">[11]Tablas!#REF!</definedName>
    <definedName name="__VSM1">[11]Tablas!#REF!</definedName>
    <definedName name="_1" localSheetId="18">#REF!</definedName>
    <definedName name="_1" localSheetId="1">#REF!</definedName>
    <definedName name="_1">#REF!</definedName>
    <definedName name="_1_25" localSheetId="18">[12]Tablas!#REF!</definedName>
    <definedName name="_1_25" localSheetId="1">[12]Tablas!#REF!</definedName>
    <definedName name="_1_25">[12]Tablas!#REF!</definedName>
    <definedName name="_116B" localSheetId="18">#REF!</definedName>
    <definedName name="_116B" localSheetId="1">#REF!</definedName>
    <definedName name="_116B">#REF!</definedName>
    <definedName name="_117A" localSheetId="18">#REF!</definedName>
    <definedName name="_117A" localSheetId="1">#REF!</definedName>
    <definedName name="_117A">#REF!</definedName>
    <definedName name="_117B" localSheetId="18">#REF!</definedName>
    <definedName name="_117B" localSheetId="1">#REF!</definedName>
    <definedName name="_117B">#REF!</definedName>
    <definedName name="_120A" localSheetId="18">#REF!</definedName>
    <definedName name="_120A" localSheetId="1">#REF!</definedName>
    <definedName name="_120A">#REF!</definedName>
    <definedName name="_120B" localSheetId="18">#REF!</definedName>
    <definedName name="_120B" localSheetId="1">#REF!</definedName>
    <definedName name="_120B">#REF!</definedName>
    <definedName name="_121A" localSheetId="18">#REF!</definedName>
    <definedName name="_121A" localSheetId="1">#REF!</definedName>
    <definedName name="_121A">#REF!</definedName>
    <definedName name="_121B" localSheetId="18">#REF!</definedName>
    <definedName name="_121B" localSheetId="1">#REF!</definedName>
    <definedName name="_121B">#REF!</definedName>
    <definedName name="_122A" localSheetId="18">#REF!</definedName>
    <definedName name="_122A" localSheetId="1">#REF!</definedName>
    <definedName name="_122A">#REF!</definedName>
    <definedName name="_122B" localSheetId="18">#REF!</definedName>
    <definedName name="_122B" localSheetId="1">#REF!</definedName>
    <definedName name="_122B">#REF!</definedName>
    <definedName name="_123A" localSheetId="18">#REF!</definedName>
    <definedName name="_123A" localSheetId="1">#REF!</definedName>
    <definedName name="_123A">#REF!</definedName>
    <definedName name="_123B" localSheetId="18">#REF!</definedName>
    <definedName name="_123B" localSheetId="1">#REF!</definedName>
    <definedName name="_123B">#REF!</definedName>
    <definedName name="_124A" localSheetId="18">#REF!</definedName>
    <definedName name="_124A" localSheetId="1">#REF!</definedName>
    <definedName name="_124A">#REF!</definedName>
    <definedName name="_124B" localSheetId="18">#REF!</definedName>
    <definedName name="_124B" localSheetId="1">#REF!</definedName>
    <definedName name="_124B">#REF!</definedName>
    <definedName name="_125A" localSheetId="18">#REF!</definedName>
    <definedName name="_125A" localSheetId="1">#REF!</definedName>
    <definedName name="_125A">#REF!</definedName>
    <definedName name="_125B" localSheetId="18">#REF!</definedName>
    <definedName name="_125B" localSheetId="1">#REF!</definedName>
    <definedName name="_125B">#REF!</definedName>
    <definedName name="_126A" localSheetId="18">#REF!</definedName>
    <definedName name="_126A" localSheetId="1">#REF!</definedName>
    <definedName name="_126A">#REF!</definedName>
    <definedName name="_126B" localSheetId="18">#REF!</definedName>
    <definedName name="_126B" localSheetId="1">#REF!</definedName>
    <definedName name="_126B">#REF!</definedName>
    <definedName name="_130A" localSheetId="18">#REF!</definedName>
    <definedName name="_130A" localSheetId="1">#REF!</definedName>
    <definedName name="_130A">#REF!</definedName>
    <definedName name="_130B" localSheetId="18">#REF!</definedName>
    <definedName name="_130B" localSheetId="1">#REF!</definedName>
    <definedName name="_130B">#REF!</definedName>
    <definedName name="_131A" localSheetId="18">#REF!</definedName>
    <definedName name="_131A" localSheetId="1">#REF!</definedName>
    <definedName name="_131A">#REF!</definedName>
    <definedName name="_131B" localSheetId="18">#REF!</definedName>
    <definedName name="_131B" localSheetId="1">#REF!</definedName>
    <definedName name="_131B">#REF!</definedName>
    <definedName name="_132A" localSheetId="18">#REF!</definedName>
    <definedName name="_132A" localSheetId="1">#REF!</definedName>
    <definedName name="_132A">#REF!</definedName>
    <definedName name="_132B" localSheetId="18">#REF!</definedName>
    <definedName name="_132B" localSheetId="1">#REF!</definedName>
    <definedName name="_132B">#REF!</definedName>
    <definedName name="_133A" localSheetId="18">#REF!</definedName>
    <definedName name="_133A" localSheetId="1">#REF!</definedName>
    <definedName name="_133A">#REF!</definedName>
    <definedName name="_133B" localSheetId="18">#REF!</definedName>
    <definedName name="_133B" localSheetId="1">#REF!</definedName>
    <definedName name="_133B">#REF!</definedName>
    <definedName name="_134A" localSheetId="18">#REF!</definedName>
    <definedName name="_134A" localSheetId="1">#REF!</definedName>
    <definedName name="_134A">#REF!</definedName>
    <definedName name="_134B" localSheetId="18">#REF!</definedName>
    <definedName name="_134B" localSheetId="1">#REF!</definedName>
    <definedName name="_134B">#REF!</definedName>
    <definedName name="_150A" localSheetId="18">#REF!</definedName>
    <definedName name="_150A" localSheetId="1">#REF!</definedName>
    <definedName name="_150A">#REF!</definedName>
    <definedName name="_150B" localSheetId="18">#REF!</definedName>
    <definedName name="_150B" localSheetId="1">#REF!</definedName>
    <definedName name="_150B">#REF!</definedName>
    <definedName name="_151A" localSheetId="18">#REF!</definedName>
    <definedName name="_151A" localSheetId="1">#REF!</definedName>
    <definedName name="_151A">#REF!</definedName>
    <definedName name="_151B" localSheetId="18">#REF!</definedName>
    <definedName name="_151B" localSheetId="1">#REF!</definedName>
    <definedName name="_151B">#REF!</definedName>
    <definedName name="_152A" localSheetId="18">#REF!</definedName>
    <definedName name="_152A" localSheetId="1">#REF!</definedName>
    <definedName name="_152A">#REF!</definedName>
    <definedName name="_152B" localSheetId="18">#REF!</definedName>
    <definedName name="_152B" localSheetId="1">#REF!</definedName>
    <definedName name="_152B">#REF!</definedName>
    <definedName name="_153A" localSheetId="18">#REF!</definedName>
    <definedName name="_153A" localSheetId="1">#REF!</definedName>
    <definedName name="_153A">#REF!</definedName>
    <definedName name="_153B" localSheetId="18">#REF!</definedName>
    <definedName name="_153B" localSheetId="1">#REF!</definedName>
    <definedName name="_153B">#REF!</definedName>
    <definedName name="_154A" localSheetId="18">#REF!</definedName>
    <definedName name="_154A" localSheetId="1">#REF!</definedName>
    <definedName name="_154A">#REF!</definedName>
    <definedName name="_154B" localSheetId="18">#REF!</definedName>
    <definedName name="_154B" localSheetId="1">#REF!</definedName>
    <definedName name="_154B">#REF!</definedName>
    <definedName name="_160A" localSheetId="18">#REF!</definedName>
    <definedName name="_160A" localSheetId="1">#REF!</definedName>
    <definedName name="_160A">#REF!</definedName>
    <definedName name="_160B" localSheetId="18">#REF!</definedName>
    <definedName name="_160B" localSheetId="1">#REF!</definedName>
    <definedName name="_160B">#REF!</definedName>
    <definedName name="_161A" localSheetId="18">#REF!</definedName>
    <definedName name="_161A" localSheetId="1">#REF!</definedName>
    <definedName name="_161A">#REF!</definedName>
    <definedName name="_161B" localSheetId="18">#REF!</definedName>
    <definedName name="_161B" localSheetId="1">#REF!</definedName>
    <definedName name="_161B">#REF!</definedName>
    <definedName name="_162A" localSheetId="18">#REF!</definedName>
    <definedName name="_162A" localSheetId="1">#REF!</definedName>
    <definedName name="_162A">#REF!</definedName>
    <definedName name="_162B" localSheetId="18">#REF!</definedName>
    <definedName name="_162B" localSheetId="1">#REF!</definedName>
    <definedName name="_162B">#REF!</definedName>
    <definedName name="_163A" localSheetId="18">#REF!</definedName>
    <definedName name="_163A" localSheetId="1">#REF!</definedName>
    <definedName name="_163A">#REF!</definedName>
    <definedName name="_163B" localSheetId="18">#REF!</definedName>
    <definedName name="_163B" localSheetId="1">#REF!</definedName>
    <definedName name="_163B">#REF!</definedName>
    <definedName name="_164A" localSheetId="18">#REF!</definedName>
    <definedName name="_164A" localSheetId="1">#REF!</definedName>
    <definedName name="_164A">#REF!</definedName>
    <definedName name="_164B" localSheetId="18">#REF!</definedName>
    <definedName name="_164B" localSheetId="1">#REF!</definedName>
    <definedName name="_164B">#REF!</definedName>
    <definedName name="_165A" localSheetId="18">#REF!</definedName>
    <definedName name="_165A" localSheetId="1">#REF!</definedName>
    <definedName name="_165A">#REF!</definedName>
    <definedName name="_165B" localSheetId="18">#REF!</definedName>
    <definedName name="_165B" localSheetId="1">#REF!</definedName>
    <definedName name="_165B">#REF!</definedName>
    <definedName name="_166A" localSheetId="18">#REF!</definedName>
    <definedName name="_166A" localSheetId="1">#REF!</definedName>
    <definedName name="_166A">#REF!</definedName>
    <definedName name="_166B" localSheetId="18">#REF!</definedName>
    <definedName name="_166B" localSheetId="1">#REF!</definedName>
    <definedName name="_166B">#REF!</definedName>
    <definedName name="_167A" localSheetId="18">#REF!</definedName>
    <definedName name="_167A" localSheetId="1">#REF!</definedName>
    <definedName name="_167A">#REF!</definedName>
    <definedName name="_167B" localSheetId="18">#REF!</definedName>
    <definedName name="_167B" localSheetId="1">#REF!</definedName>
    <definedName name="_167B">#REF!</definedName>
    <definedName name="_170A" localSheetId="18">#REF!</definedName>
    <definedName name="_170A" localSheetId="1">#REF!</definedName>
    <definedName name="_170A">#REF!</definedName>
    <definedName name="_170B" localSheetId="18">#REF!</definedName>
    <definedName name="_170B" localSheetId="1">#REF!</definedName>
    <definedName name="_170B">#REF!</definedName>
    <definedName name="_171A" localSheetId="18">#REF!</definedName>
    <definedName name="_171A" localSheetId="1">#REF!</definedName>
    <definedName name="_171A">#REF!</definedName>
    <definedName name="_171B" localSheetId="18">#REF!</definedName>
    <definedName name="_171B" localSheetId="1">#REF!</definedName>
    <definedName name="_171B">#REF!</definedName>
    <definedName name="_172A" localSheetId="18">#REF!</definedName>
    <definedName name="_172A" localSheetId="1">#REF!</definedName>
    <definedName name="_172A">#REF!</definedName>
    <definedName name="_172B" localSheetId="18">#REF!</definedName>
    <definedName name="_172B" localSheetId="1">#REF!</definedName>
    <definedName name="_172B">#REF!</definedName>
    <definedName name="_173A" localSheetId="18">#REF!</definedName>
    <definedName name="_173A" localSheetId="1">#REF!</definedName>
    <definedName name="_173A">#REF!</definedName>
    <definedName name="_173B" localSheetId="18">#REF!</definedName>
    <definedName name="_173B" localSheetId="1">#REF!</definedName>
    <definedName name="_173B">#REF!</definedName>
    <definedName name="_174A" localSheetId="18">#REF!</definedName>
    <definedName name="_174A" localSheetId="1">#REF!</definedName>
    <definedName name="_174A">#REF!</definedName>
    <definedName name="_174B" localSheetId="18">#REF!</definedName>
    <definedName name="_174B" localSheetId="1">#REF!</definedName>
    <definedName name="_174B">#REF!</definedName>
    <definedName name="_175A" localSheetId="18">#REF!</definedName>
    <definedName name="_175A" localSheetId="1">#REF!</definedName>
    <definedName name="_175A">#REF!</definedName>
    <definedName name="_175B" localSheetId="18">#REF!</definedName>
    <definedName name="_175B" localSheetId="1">#REF!</definedName>
    <definedName name="_175B">#REF!</definedName>
    <definedName name="_18_Dic" localSheetId="18">#REF!</definedName>
    <definedName name="_18_Dic" localSheetId="1">#REF!</definedName>
    <definedName name="_18_Dic">#REF!</definedName>
    <definedName name="_180A" localSheetId="18">#REF!</definedName>
    <definedName name="_180A" localSheetId="1">#REF!</definedName>
    <definedName name="_180A">#REF!</definedName>
    <definedName name="_180B" localSheetId="18">#REF!</definedName>
    <definedName name="_180B" localSheetId="1">#REF!</definedName>
    <definedName name="_180B">#REF!</definedName>
    <definedName name="_181A" localSheetId="18">#REF!</definedName>
    <definedName name="_181A" localSheetId="1">#REF!</definedName>
    <definedName name="_181A">#REF!</definedName>
    <definedName name="_181B" localSheetId="18">#REF!</definedName>
    <definedName name="_181B" localSheetId="1">#REF!</definedName>
    <definedName name="_181B">#REF!</definedName>
    <definedName name="_182A" localSheetId="18">#REF!</definedName>
    <definedName name="_182A" localSheetId="1">#REF!</definedName>
    <definedName name="_182A">#REF!</definedName>
    <definedName name="_182B" localSheetId="18">#REF!</definedName>
    <definedName name="_182B" localSheetId="1">#REF!</definedName>
    <definedName name="_182B">#REF!</definedName>
    <definedName name="_183A" localSheetId="18">#REF!</definedName>
    <definedName name="_183A" localSheetId="1">#REF!</definedName>
    <definedName name="_183A">#REF!</definedName>
    <definedName name="_183B" localSheetId="18">#REF!</definedName>
    <definedName name="_183B" localSheetId="1">#REF!</definedName>
    <definedName name="_183B">#REF!</definedName>
    <definedName name="_184A" localSheetId="18">#REF!</definedName>
    <definedName name="_184A" localSheetId="1">#REF!</definedName>
    <definedName name="_184A">#REF!</definedName>
    <definedName name="_184B" localSheetId="18">#REF!</definedName>
    <definedName name="_184B" localSheetId="1">#REF!</definedName>
    <definedName name="_184B">#REF!</definedName>
    <definedName name="_185A" localSheetId="18">#REF!</definedName>
    <definedName name="_185A" localSheetId="1">#REF!</definedName>
    <definedName name="_185A">#REF!</definedName>
    <definedName name="_185B" localSheetId="18">#REF!</definedName>
    <definedName name="_185B" localSheetId="1">#REF!</definedName>
    <definedName name="_185B">#REF!</definedName>
    <definedName name="_190A" localSheetId="18">#REF!</definedName>
    <definedName name="_190A" localSheetId="1">#REF!</definedName>
    <definedName name="_190A">#REF!</definedName>
    <definedName name="_190B" localSheetId="18">#REF!</definedName>
    <definedName name="_190B" localSheetId="1">#REF!</definedName>
    <definedName name="_190B">#REF!</definedName>
    <definedName name="_191A" localSheetId="18">#REF!</definedName>
    <definedName name="_191A" localSheetId="1">#REF!</definedName>
    <definedName name="_191A">#REF!</definedName>
    <definedName name="_191B" localSheetId="18">#REF!</definedName>
    <definedName name="_191B" localSheetId="1">#REF!</definedName>
    <definedName name="_191B">#REF!</definedName>
    <definedName name="_192A" localSheetId="18">#REF!</definedName>
    <definedName name="_192A" localSheetId="1">#REF!</definedName>
    <definedName name="_192A">#REF!</definedName>
    <definedName name="_192B" localSheetId="18">#REF!</definedName>
    <definedName name="_192B" localSheetId="1">#REF!</definedName>
    <definedName name="_192B">#REF!</definedName>
    <definedName name="_193A" localSheetId="18">#REF!</definedName>
    <definedName name="_193A" localSheetId="1">#REF!</definedName>
    <definedName name="_193A">#REF!</definedName>
    <definedName name="_193B" localSheetId="18">#REF!</definedName>
    <definedName name="_193B" localSheetId="1">#REF!</definedName>
    <definedName name="_193B">#REF!</definedName>
    <definedName name="_194A" localSheetId="18">#REF!</definedName>
    <definedName name="_194A" localSheetId="1">#REF!</definedName>
    <definedName name="_194A">#REF!</definedName>
    <definedName name="_194B" localSheetId="18">#REF!</definedName>
    <definedName name="_194B" localSheetId="1">#REF!</definedName>
    <definedName name="_194B">#REF!</definedName>
    <definedName name="_195A" localSheetId="18">#REF!</definedName>
    <definedName name="_195A" localSheetId="1">#REF!</definedName>
    <definedName name="_195A">#REF!</definedName>
    <definedName name="_195B" localSheetId="18">#REF!</definedName>
    <definedName name="_195B" localSheetId="1">#REF!</definedName>
    <definedName name="_195B">#REF!</definedName>
    <definedName name="_196A" localSheetId="18">#REF!</definedName>
    <definedName name="_196A" localSheetId="1">#REF!</definedName>
    <definedName name="_196A">#REF!</definedName>
    <definedName name="_196B" localSheetId="18">#REF!</definedName>
    <definedName name="_196B" localSheetId="1">#REF!</definedName>
    <definedName name="_196B">#REF!</definedName>
    <definedName name="_197A" localSheetId="18">#REF!</definedName>
    <definedName name="_197A" localSheetId="1">#REF!</definedName>
    <definedName name="_197A">#REF!</definedName>
    <definedName name="_197B" localSheetId="18">#REF!</definedName>
    <definedName name="_197B" localSheetId="1">#REF!</definedName>
    <definedName name="_197B">#REF!</definedName>
    <definedName name="_1ane_o10" localSheetId="18">#REF!</definedName>
    <definedName name="_1ane_o10" localSheetId="1">#REF!</definedName>
    <definedName name="_1ane_o10">#REF!</definedName>
    <definedName name="_2_5__TOTAL_DE_MATERIALES_A_EXPORTAR" localSheetId="18">#REF!</definedName>
    <definedName name="_2_5__TOTAL_DE_MATERIALES_A_EXPORTAR" localSheetId="1">#REF!</definedName>
    <definedName name="_2_5__TOTAL_DE_MATERIALES_A_EXPORTAR">#REF!</definedName>
    <definedName name="_200A" localSheetId="18">#REF!</definedName>
    <definedName name="_200A" localSheetId="1">#REF!</definedName>
    <definedName name="_200A">#REF!</definedName>
    <definedName name="_200B" localSheetId="18">#REF!</definedName>
    <definedName name="_200B" localSheetId="1">#REF!</definedName>
    <definedName name="_200B">#REF!</definedName>
    <definedName name="_201A" localSheetId="18">#REF!</definedName>
    <definedName name="_201A" localSheetId="1">#REF!</definedName>
    <definedName name="_201A">#REF!</definedName>
    <definedName name="_201B" localSheetId="18">#REF!</definedName>
    <definedName name="_201B" localSheetId="1">#REF!</definedName>
    <definedName name="_201B">#REF!</definedName>
    <definedName name="_202A" localSheetId="18">#REF!</definedName>
    <definedName name="_202A" localSheetId="1">#REF!</definedName>
    <definedName name="_202A">#REF!</definedName>
    <definedName name="_202B" localSheetId="18">#REF!</definedName>
    <definedName name="_202B" localSheetId="1">#REF!</definedName>
    <definedName name="_202B">#REF!</definedName>
    <definedName name="_203A" localSheetId="18">#REF!</definedName>
    <definedName name="_203A" localSheetId="1">#REF!</definedName>
    <definedName name="_203A">#REF!</definedName>
    <definedName name="_203B" localSheetId="18">#REF!</definedName>
    <definedName name="_203B" localSheetId="1">#REF!</definedName>
    <definedName name="_203B">#REF!</definedName>
    <definedName name="_204A" localSheetId="18">#REF!</definedName>
    <definedName name="_204A" localSheetId="1">#REF!</definedName>
    <definedName name="_204A">#REF!</definedName>
    <definedName name="_204B" localSheetId="18">#REF!</definedName>
    <definedName name="_204B" localSheetId="1">#REF!</definedName>
    <definedName name="_204B">#REF!</definedName>
    <definedName name="_205A" localSheetId="18">#REF!</definedName>
    <definedName name="_205A" localSheetId="1">#REF!</definedName>
    <definedName name="_205A">#REF!</definedName>
    <definedName name="_205B" localSheetId="18">#REF!</definedName>
    <definedName name="_205B" localSheetId="1">#REF!</definedName>
    <definedName name="_205B">#REF!</definedName>
    <definedName name="_210A" localSheetId="18">#REF!</definedName>
    <definedName name="_210A" localSheetId="1">#REF!</definedName>
    <definedName name="_210A">#REF!</definedName>
    <definedName name="_210B" localSheetId="18">#REF!</definedName>
    <definedName name="_210B" localSheetId="1">#REF!</definedName>
    <definedName name="_210B">#REF!</definedName>
    <definedName name="_211A" localSheetId="18">#REF!</definedName>
    <definedName name="_211A" localSheetId="1">#REF!</definedName>
    <definedName name="_211A">#REF!</definedName>
    <definedName name="_211B" localSheetId="18">#REF!</definedName>
    <definedName name="_211B" localSheetId="1">#REF!</definedName>
    <definedName name="_211B">#REF!</definedName>
    <definedName name="_212A" localSheetId="18">#REF!</definedName>
    <definedName name="_212A" localSheetId="1">#REF!</definedName>
    <definedName name="_212A">#REF!</definedName>
    <definedName name="_212B" localSheetId="18">#REF!</definedName>
    <definedName name="_212B" localSheetId="1">#REF!</definedName>
    <definedName name="_212B">#REF!</definedName>
    <definedName name="_213A" localSheetId="18">#REF!</definedName>
    <definedName name="_213A" localSheetId="1">#REF!</definedName>
    <definedName name="_213A">#REF!</definedName>
    <definedName name="_213B" localSheetId="18">#REF!</definedName>
    <definedName name="_213B" localSheetId="1">#REF!</definedName>
    <definedName name="_213B">#REF!</definedName>
    <definedName name="_214A" localSheetId="18">#REF!</definedName>
    <definedName name="_214A" localSheetId="1">#REF!</definedName>
    <definedName name="_214A">#REF!</definedName>
    <definedName name="_214B" localSheetId="18">#REF!</definedName>
    <definedName name="_214B" localSheetId="1">#REF!</definedName>
    <definedName name="_214B">#REF!</definedName>
    <definedName name="_215A" localSheetId="18">#REF!</definedName>
    <definedName name="_215A" localSheetId="1">#REF!</definedName>
    <definedName name="_215A">#REF!</definedName>
    <definedName name="_215B" localSheetId="18">#REF!</definedName>
    <definedName name="_215B" localSheetId="1">#REF!</definedName>
    <definedName name="_215B">#REF!</definedName>
    <definedName name="_216A" localSheetId="18">#REF!</definedName>
    <definedName name="_216A" localSheetId="1">#REF!</definedName>
    <definedName name="_216A">#REF!</definedName>
    <definedName name="_216B" localSheetId="18">#REF!</definedName>
    <definedName name="_216B" localSheetId="1">#REF!</definedName>
    <definedName name="_216B">#REF!</definedName>
    <definedName name="_217A" localSheetId="18">#REF!</definedName>
    <definedName name="_217A" localSheetId="1">#REF!</definedName>
    <definedName name="_217A">#REF!</definedName>
    <definedName name="_217B" localSheetId="18">#REF!</definedName>
    <definedName name="_217B" localSheetId="1">#REF!</definedName>
    <definedName name="_217B">#REF!</definedName>
    <definedName name="_220A" localSheetId="18">#REF!</definedName>
    <definedName name="_220A" localSheetId="1">#REF!</definedName>
    <definedName name="_220A">#REF!</definedName>
    <definedName name="_220B" localSheetId="18">#REF!</definedName>
    <definedName name="_220B" localSheetId="1">#REF!</definedName>
    <definedName name="_220B">#REF!</definedName>
    <definedName name="_221A" localSheetId="18">#REF!</definedName>
    <definedName name="_221A" localSheetId="1">#REF!</definedName>
    <definedName name="_221A">#REF!</definedName>
    <definedName name="_221B" localSheetId="18">#REF!</definedName>
    <definedName name="_221B" localSheetId="1">#REF!</definedName>
    <definedName name="_221B">#REF!</definedName>
    <definedName name="_222A" localSheetId="18">#REF!</definedName>
    <definedName name="_222A" localSheetId="1">#REF!</definedName>
    <definedName name="_222A">#REF!</definedName>
    <definedName name="_222B" localSheetId="18">#REF!</definedName>
    <definedName name="_222B" localSheetId="1">#REF!</definedName>
    <definedName name="_222B">#REF!</definedName>
    <definedName name="_223A" localSheetId="18">#REF!</definedName>
    <definedName name="_223A" localSheetId="1">#REF!</definedName>
    <definedName name="_223A">#REF!</definedName>
    <definedName name="_223B" localSheetId="18">#REF!</definedName>
    <definedName name="_223B" localSheetId="1">#REF!</definedName>
    <definedName name="_223B">#REF!</definedName>
    <definedName name="_224A" localSheetId="18">#REF!</definedName>
    <definedName name="_224A" localSheetId="1">#REF!</definedName>
    <definedName name="_224A">#REF!</definedName>
    <definedName name="_224B" localSheetId="18">#REF!</definedName>
    <definedName name="_224B" localSheetId="1">#REF!</definedName>
    <definedName name="_224B">#REF!</definedName>
    <definedName name="_240A" localSheetId="18">#REF!</definedName>
    <definedName name="_240A" localSheetId="1">#REF!</definedName>
    <definedName name="_240A">#REF!</definedName>
    <definedName name="_240B" localSheetId="18">#REF!</definedName>
    <definedName name="_240B" localSheetId="1">#REF!</definedName>
    <definedName name="_240B">#REF!</definedName>
    <definedName name="_241A" localSheetId="18">#REF!</definedName>
    <definedName name="_241A" localSheetId="1">#REF!</definedName>
    <definedName name="_241A">#REF!</definedName>
    <definedName name="_241B" localSheetId="18">#REF!</definedName>
    <definedName name="_241B" localSheetId="1">#REF!</definedName>
    <definedName name="_241B">#REF!</definedName>
    <definedName name="_242A" localSheetId="18">#REF!</definedName>
    <definedName name="_242A" localSheetId="1">#REF!</definedName>
    <definedName name="_242A">#REF!</definedName>
    <definedName name="_242B" localSheetId="18">#REF!</definedName>
    <definedName name="_242B" localSheetId="1">#REF!</definedName>
    <definedName name="_242B">#REF!</definedName>
    <definedName name="_243A" localSheetId="18">#REF!</definedName>
    <definedName name="_243A" localSheetId="1">#REF!</definedName>
    <definedName name="_243A">#REF!</definedName>
    <definedName name="_243B" localSheetId="18">#REF!</definedName>
    <definedName name="_243B" localSheetId="1">#REF!</definedName>
    <definedName name="_243B">#REF!</definedName>
    <definedName name="_244A" localSheetId="18">#REF!</definedName>
    <definedName name="_244A" localSheetId="1">#REF!</definedName>
    <definedName name="_244A">#REF!</definedName>
    <definedName name="_244B" localSheetId="18">#REF!</definedName>
    <definedName name="_244B" localSheetId="1">#REF!</definedName>
    <definedName name="_244B">#REF!</definedName>
    <definedName name="_250A" localSheetId="18">#REF!</definedName>
    <definedName name="_250A" localSheetId="1">#REF!</definedName>
    <definedName name="_250A">#REF!</definedName>
    <definedName name="_250B" localSheetId="18">#REF!</definedName>
    <definedName name="_250B" localSheetId="1">#REF!</definedName>
    <definedName name="_250B">#REF!</definedName>
    <definedName name="_251A" localSheetId="18">#REF!</definedName>
    <definedName name="_251A" localSheetId="1">#REF!</definedName>
    <definedName name="_251A">#REF!</definedName>
    <definedName name="_251B" localSheetId="18">#REF!</definedName>
    <definedName name="_251B" localSheetId="1">#REF!</definedName>
    <definedName name="_251B">#REF!</definedName>
    <definedName name="_252A" localSheetId="18">#REF!</definedName>
    <definedName name="_252A" localSheetId="1">#REF!</definedName>
    <definedName name="_252A">#REF!</definedName>
    <definedName name="_252B" localSheetId="18">#REF!</definedName>
    <definedName name="_252B" localSheetId="1">#REF!</definedName>
    <definedName name="_252B">#REF!</definedName>
    <definedName name="_253A" localSheetId="18">#REF!</definedName>
    <definedName name="_253A" localSheetId="1">#REF!</definedName>
    <definedName name="_253A">#REF!</definedName>
    <definedName name="_253B" localSheetId="18">#REF!</definedName>
    <definedName name="_253B" localSheetId="1">#REF!</definedName>
    <definedName name="_253B">#REF!</definedName>
    <definedName name="_254A" localSheetId="18">#REF!</definedName>
    <definedName name="_254A" localSheetId="1">#REF!</definedName>
    <definedName name="_254A">#REF!</definedName>
    <definedName name="_254B" localSheetId="18">#REF!</definedName>
    <definedName name="_254B" localSheetId="1">#REF!</definedName>
    <definedName name="_254B">#REF!</definedName>
    <definedName name="_255A" localSheetId="18">#REF!</definedName>
    <definedName name="_255A" localSheetId="1">#REF!</definedName>
    <definedName name="_255A">#REF!</definedName>
    <definedName name="_255B" localSheetId="18">#REF!</definedName>
    <definedName name="_255B" localSheetId="1">#REF!</definedName>
    <definedName name="_255B">#REF!</definedName>
    <definedName name="_260A" localSheetId="18">#REF!</definedName>
    <definedName name="_260A" localSheetId="1">#REF!</definedName>
    <definedName name="_260A">#REF!</definedName>
    <definedName name="_260B" localSheetId="18">#REF!</definedName>
    <definedName name="_260B" localSheetId="1">#REF!</definedName>
    <definedName name="_260B">#REF!</definedName>
    <definedName name="_261A" localSheetId="18">#REF!</definedName>
    <definedName name="_261A" localSheetId="1">#REF!</definedName>
    <definedName name="_261A">#REF!</definedName>
    <definedName name="_261B" localSheetId="18">#REF!</definedName>
    <definedName name="_261B" localSheetId="1">#REF!</definedName>
    <definedName name="_261B">#REF!</definedName>
    <definedName name="_262A" localSheetId="18">#REF!</definedName>
    <definedName name="_262A" localSheetId="1">#REF!</definedName>
    <definedName name="_262A">#REF!</definedName>
    <definedName name="_262B" localSheetId="18">#REF!</definedName>
    <definedName name="_262B" localSheetId="1">#REF!</definedName>
    <definedName name="_262B">#REF!</definedName>
    <definedName name="_263A" localSheetId="18">#REF!</definedName>
    <definedName name="_263A" localSheetId="1">#REF!</definedName>
    <definedName name="_263A">#REF!</definedName>
    <definedName name="_263B" localSheetId="18">#REF!</definedName>
    <definedName name="_263B" localSheetId="1">#REF!</definedName>
    <definedName name="_263B">#REF!</definedName>
    <definedName name="_264A" localSheetId="18">#REF!</definedName>
    <definedName name="_264A" localSheetId="1">#REF!</definedName>
    <definedName name="_264A">#REF!</definedName>
    <definedName name="_264B" localSheetId="18">#REF!</definedName>
    <definedName name="_264B" localSheetId="1">#REF!</definedName>
    <definedName name="_264B">#REF!</definedName>
    <definedName name="_265A" localSheetId="18">#REF!</definedName>
    <definedName name="_265A" localSheetId="1">#REF!</definedName>
    <definedName name="_265A">#REF!</definedName>
    <definedName name="_265B" localSheetId="18">#REF!</definedName>
    <definedName name="_265B" localSheetId="1">#REF!</definedName>
    <definedName name="_265B">#REF!</definedName>
    <definedName name="_266A" localSheetId="18">#REF!</definedName>
    <definedName name="_266A" localSheetId="1">#REF!</definedName>
    <definedName name="_266A">#REF!</definedName>
    <definedName name="_266B" localSheetId="18">#REF!</definedName>
    <definedName name="_266B" localSheetId="1">#REF!</definedName>
    <definedName name="_266B">#REF!</definedName>
    <definedName name="_270A" localSheetId="18">#REF!</definedName>
    <definedName name="_270A" localSheetId="1">#REF!</definedName>
    <definedName name="_270A">#REF!</definedName>
    <definedName name="_270B" localSheetId="18">#REF!</definedName>
    <definedName name="_270B" localSheetId="1">#REF!</definedName>
    <definedName name="_270B">#REF!</definedName>
    <definedName name="_271A" localSheetId="18">#REF!</definedName>
    <definedName name="_271A" localSheetId="1">#REF!</definedName>
    <definedName name="_271A">#REF!</definedName>
    <definedName name="_271B" localSheetId="18">#REF!</definedName>
    <definedName name="_271B" localSheetId="1">#REF!</definedName>
    <definedName name="_271B">#REF!</definedName>
    <definedName name="_272A" localSheetId="18">#REF!</definedName>
    <definedName name="_272A" localSheetId="1">#REF!</definedName>
    <definedName name="_272A">#REF!</definedName>
    <definedName name="_272B" localSheetId="18">#REF!</definedName>
    <definedName name="_272B" localSheetId="1">#REF!</definedName>
    <definedName name="_272B">#REF!</definedName>
    <definedName name="_273A" localSheetId="18">#REF!</definedName>
    <definedName name="_273A" localSheetId="1">#REF!</definedName>
    <definedName name="_273A">#REF!</definedName>
    <definedName name="_273B" localSheetId="18">#REF!</definedName>
    <definedName name="_273B" localSheetId="1">#REF!</definedName>
    <definedName name="_273B">#REF!</definedName>
    <definedName name="_274A" localSheetId="18">#REF!</definedName>
    <definedName name="_274A" localSheetId="1">#REF!</definedName>
    <definedName name="_274A">#REF!</definedName>
    <definedName name="_274B" localSheetId="18">#REF!</definedName>
    <definedName name="_274B" localSheetId="1">#REF!</definedName>
    <definedName name="_274B">#REF!</definedName>
    <definedName name="_275A" localSheetId="18">#REF!</definedName>
    <definedName name="_275A" localSheetId="1">#REF!</definedName>
    <definedName name="_275A">#REF!</definedName>
    <definedName name="_275B" localSheetId="18">#REF!</definedName>
    <definedName name="_275B" localSheetId="1">#REF!</definedName>
    <definedName name="_275B">#REF!</definedName>
    <definedName name="_280A" localSheetId="18">#REF!</definedName>
    <definedName name="_280A" localSheetId="1">#REF!</definedName>
    <definedName name="_280A">#REF!</definedName>
    <definedName name="_280B" localSheetId="18">#REF!</definedName>
    <definedName name="_280B" localSheetId="1">#REF!</definedName>
    <definedName name="_280B">#REF!</definedName>
    <definedName name="_281A" localSheetId="18">#REF!</definedName>
    <definedName name="_281A" localSheetId="1">#REF!</definedName>
    <definedName name="_281A">#REF!</definedName>
    <definedName name="_281B" localSheetId="18">#REF!</definedName>
    <definedName name="_281B" localSheetId="1">#REF!</definedName>
    <definedName name="_281B">#REF!</definedName>
    <definedName name="_282A" localSheetId="18">#REF!</definedName>
    <definedName name="_282A" localSheetId="1">#REF!</definedName>
    <definedName name="_282A">#REF!</definedName>
    <definedName name="_282B" localSheetId="18">#REF!</definedName>
    <definedName name="_282B" localSheetId="1">#REF!</definedName>
    <definedName name="_282B">#REF!</definedName>
    <definedName name="_283A" localSheetId="18">#REF!</definedName>
    <definedName name="_283A" localSheetId="1">#REF!</definedName>
    <definedName name="_283A">#REF!</definedName>
    <definedName name="_283B" localSheetId="18">#REF!</definedName>
    <definedName name="_283B" localSheetId="1">#REF!</definedName>
    <definedName name="_283B">#REF!</definedName>
    <definedName name="_284A" localSheetId="18">#REF!</definedName>
    <definedName name="_284A" localSheetId="1">#REF!</definedName>
    <definedName name="_284A">#REF!</definedName>
    <definedName name="_284B" localSheetId="18">#REF!</definedName>
    <definedName name="_284B" localSheetId="1">#REF!</definedName>
    <definedName name="_284B">#REF!</definedName>
    <definedName name="_285A" localSheetId="18">#REF!</definedName>
    <definedName name="_285A" localSheetId="1">#REF!</definedName>
    <definedName name="_285A">#REF!</definedName>
    <definedName name="_285B" localSheetId="18">#REF!</definedName>
    <definedName name="_285B" localSheetId="1">#REF!</definedName>
    <definedName name="_285B">#REF!</definedName>
    <definedName name="_290A" localSheetId="18">#REF!</definedName>
    <definedName name="_290A" localSheetId="1">#REF!</definedName>
    <definedName name="_290A">#REF!</definedName>
    <definedName name="_290B" localSheetId="18">#REF!</definedName>
    <definedName name="_290B" localSheetId="1">#REF!</definedName>
    <definedName name="_290B">#REF!</definedName>
    <definedName name="_291A" localSheetId="18">#REF!</definedName>
    <definedName name="_291A" localSheetId="1">#REF!</definedName>
    <definedName name="_291A">#REF!</definedName>
    <definedName name="_291B" localSheetId="18">#REF!</definedName>
    <definedName name="_291B" localSheetId="1">#REF!</definedName>
    <definedName name="_291B">#REF!</definedName>
    <definedName name="_292A" localSheetId="18">#REF!</definedName>
    <definedName name="_292A" localSheetId="1">#REF!</definedName>
    <definedName name="_292A">#REF!</definedName>
    <definedName name="_292B" localSheetId="18">#REF!</definedName>
    <definedName name="_292B" localSheetId="1">#REF!</definedName>
    <definedName name="_292B">#REF!</definedName>
    <definedName name="_293A" localSheetId="18">#REF!</definedName>
    <definedName name="_293A" localSheetId="1">#REF!</definedName>
    <definedName name="_293A">#REF!</definedName>
    <definedName name="_293B" localSheetId="18">#REF!</definedName>
    <definedName name="_293B" localSheetId="1">#REF!</definedName>
    <definedName name="_293B">#REF!</definedName>
    <definedName name="_3ane_o10" localSheetId="18">#REF!</definedName>
    <definedName name="_3ane_o10" localSheetId="1">#REF!</definedName>
    <definedName name="_3ane_o10">#REF!</definedName>
    <definedName name="_4201A" localSheetId="18">#REF!</definedName>
    <definedName name="_4201A" localSheetId="1">#REF!</definedName>
    <definedName name="_4201A">#REF!</definedName>
    <definedName name="_4201B" localSheetId="18">#REF!</definedName>
    <definedName name="_4201B" localSheetId="1">#REF!</definedName>
    <definedName name="_4201B">#REF!</definedName>
    <definedName name="_4202A" localSheetId="18">#REF!</definedName>
    <definedName name="_4202A" localSheetId="1">#REF!</definedName>
    <definedName name="_4202A">#REF!</definedName>
    <definedName name="_4202B" localSheetId="18">#REF!</definedName>
    <definedName name="_4202B" localSheetId="1">#REF!</definedName>
    <definedName name="_4202B">#REF!</definedName>
    <definedName name="_4203A" localSheetId="18">#REF!</definedName>
    <definedName name="_4203A" localSheetId="1">#REF!</definedName>
    <definedName name="_4203A">#REF!</definedName>
    <definedName name="_4203B" localSheetId="18">#REF!</definedName>
    <definedName name="_4203B" localSheetId="1">#REF!</definedName>
    <definedName name="_4203B">#REF!</definedName>
    <definedName name="_4204A" localSheetId="18">#REF!</definedName>
    <definedName name="_4204A" localSheetId="1">#REF!</definedName>
    <definedName name="_4204A">#REF!</definedName>
    <definedName name="_4204B" localSheetId="18">#REF!</definedName>
    <definedName name="_4204B" localSheetId="1">#REF!</definedName>
    <definedName name="_4204B">#REF!</definedName>
    <definedName name="_4206A" localSheetId="18">#REF!</definedName>
    <definedName name="_4206A" localSheetId="1">#REF!</definedName>
    <definedName name="_4206A">#REF!</definedName>
    <definedName name="_4206B" localSheetId="18">#REF!</definedName>
    <definedName name="_4206B" localSheetId="1">#REF!</definedName>
    <definedName name="_4206B">#REF!</definedName>
    <definedName name="_4207A" localSheetId="18">#REF!</definedName>
    <definedName name="_4207A" localSheetId="1">#REF!</definedName>
    <definedName name="_4207A">#REF!</definedName>
    <definedName name="_4207B" localSheetId="18">#REF!</definedName>
    <definedName name="_4207B" localSheetId="1">#REF!</definedName>
    <definedName name="_4207B">#REF!</definedName>
    <definedName name="_4208A" localSheetId="18">#REF!</definedName>
    <definedName name="_4208A" localSheetId="1">#REF!</definedName>
    <definedName name="_4208A">#REF!</definedName>
    <definedName name="_4208B" localSheetId="18">#REF!</definedName>
    <definedName name="_4208B" localSheetId="1">#REF!</definedName>
    <definedName name="_4208B">#REF!</definedName>
    <definedName name="_4209A" localSheetId="18">#REF!</definedName>
    <definedName name="_4209A" localSheetId="1">#REF!</definedName>
    <definedName name="_4209A">#REF!</definedName>
    <definedName name="_4209B" localSheetId="18">#REF!</definedName>
    <definedName name="_4209B" localSheetId="1">#REF!</definedName>
    <definedName name="_4209B">#REF!</definedName>
    <definedName name="_4210A" localSheetId="18">#REF!</definedName>
    <definedName name="_4210A" localSheetId="1">#REF!</definedName>
    <definedName name="_4210A">#REF!</definedName>
    <definedName name="_4210B" localSheetId="18">#REF!</definedName>
    <definedName name="_4210B" localSheetId="1">#REF!</definedName>
    <definedName name="_4210B">#REF!</definedName>
    <definedName name="_4211A" localSheetId="18">#REF!</definedName>
    <definedName name="_4211A" localSheetId="1">#REF!</definedName>
    <definedName name="_4211A">#REF!</definedName>
    <definedName name="_4211B" localSheetId="18">#REF!</definedName>
    <definedName name="_4211B" localSheetId="1">#REF!</definedName>
    <definedName name="_4211B">#REF!</definedName>
    <definedName name="_4212A" localSheetId="18">#REF!</definedName>
    <definedName name="_4212A" localSheetId="1">#REF!</definedName>
    <definedName name="_4212A">#REF!</definedName>
    <definedName name="_4212B" localSheetId="18">#REF!</definedName>
    <definedName name="_4212B" localSheetId="1">#REF!</definedName>
    <definedName name="_4212B">#REF!</definedName>
    <definedName name="_4221A" localSheetId="18">#REF!</definedName>
    <definedName name="_4221A" localSheetId="1">#REF!</definedName>
    <definedName name="_4221A">#REF!</definedName>
    <definedName name="_4221B" localSheetId="18">#REF!</definedName>
    <definedName name="_4221B" localSheetId="1">#REF!</definedName>
    <definedName name="_4221B">#REF!</definedName>
    <definedName name="_4222A" localSheetId="18">#REF!</definedName>
    <definedName name="_4222A" localSheetId="1">#REF!</definedName>
    <definedName name="_4222A">#REF!</definedName>
    <definedName name="_4222B" localSheetId="18">#REF!</definedName>
    <definedName name="_4222B" localSheetId="1">#REF!</definedName>
    <definedName name="_4222B">#REF!</definedName>
    <definedName name="_4231A" localSheetId="18">#REF!</definedName>
    <definedName name="_4231A" localSheetId="1">#REF!</definedName>
    <definedName name="_4231A">#REF!</definedName>
    <definedName name="_4231B" localSheetId="18">#REF!</definedName>
    <definedName name="_4231B" localSheetId="1">#REF!</definedName>
    <definedName name="_4231B">#REF!</definedName>
    <definedName name="_4232A" localSheetId="18">#REF!</definedName>
    <definedName name="_4232A" localSheetId="1">#REF!</definedName>
    <definedName name="_4232A">#REF!</definedName>
    <definedName name="_4232B" localSheetId="18">#REF!</definedName>
    <definedName name="_4232B" localSheetId="1">#REF!</definedName>
    <definedName name="_4232B">#REF!</definedName>
    <definedName name="_4234A" localSheetId="18">#REF!</definedName>
    <definedName name="_4234A" localSheetId="1">#REF!</definedName>
    <definedName name="_4234A">#REF!</definedName>
    <definedName name="_4234B" localSheetId="18">#REF!</definedName>
    <definedName name="_4234B" localSheetId="1">#REF!</definedName>
    <definedName name="_4234B">#REF!</definedName>
    <definedName name="_4235A" localSheetId="18">#REF!</definedName>
    <definedName name="_4235A" localSheetId="1">#REF!</definedName>
    <definedName name="_4235A">#REF!</definedName>
    <definedName name="_4235B" localSheetId="18">#REF!</definedName>
    <definedName name="_4235B" localSheetId="1">#REF!</definedName>
    <definedName name="_4235B">#REF!</definedName>
    <definedName name="_4236A" localSheetId="18">#REF!</definedName>
    <definedName name="_4236A" localSheetId="1">#REF!</definedName>
    <definedName name="_4236A">#REF!</definedName>
    <definedName name="_4236B" localSheetId="18">#REF!</definedName>
    <definedName name="_4236B" localSheetId="1">#REF!</definedName>
    <definedName name="_4236B">#REF!</definedName>
    <definedName name="_4240A" localSheetId="18">#REF!</definedName>
    <definedName name="_4240A" localSheetId="1">#REF!</definedName>
    <definedName name="_4240A">#REF!</definedName>
    <definedName name="_4240B" localSheetId="18">#REF!</definedName>
    <definedName name="_4240B" localSheetId="1">#REF!</definedName>
    <definedName name="_4240B">#REF!</definedName>
    <definedName name="_4243A" localSheetId="18">#REF!</definedName>
    <definedName name="_4243A" localSheetId="1">#REF!</definedName>
    <definedName name="_4243A">#REF!</definedName>
    <definedName name="_4245A" localSheetId="18">#REF!</definedName>
    <definedName name="_4245A" localSheetId="1">#REF!</definedName>
    <definedName name="_4245A">#REF!</definedName>
    <definedName name="_4245B" localSheetId="18">#REF!</definedName>
    <definedName name="_4245B" localSheetId="1">#REF!</definedName>
    <definedName name="_4245B">#REF!</definedName>
    <definedName name="_4246A" localSheetId="18">#REF!</definedName>
    <definedName name="_4246A" localSheetId="1">#REF!</definedName>
    <definedName name="_4246A">#REF!</definedName>
    <definedName name="_4246B" localSheetId="18">#REF!</definedName>
    <definedName name="_4246B" localSheetId="1">#REF!</definedName>
    <definedName name="_4246B">#REF!</definedName>
    <definedName name="_4251A" localSheetId="18">#REF!</definedName>
    <definedName name="_4251A" localSheetId="1">#REF!</definedName>
    <definedName name="_4251A">#REF!</definedName>
    <definedName name="_4251B" localSheetId="18">#REF!</definedName>
    <definedName name="_4251B" localSheetId="1">#REF!</definedName>
    <definedName name="_4251B">#REF!</definedName>
    <definedName name="_4251C" localSheetId="18">#REF!</definedName>
    <definedName name="_4251C" localSheetId="1">#REF!</definedName>
    <definedName name="_4251C">#REF!</definedName>
    <definedName name="_4252A" localSheetId="18">#REF!</definedName>
    <definedName name="_4252A" localSheetId="1">#REF!</definedName>
    <definedName name="_4252A">#REF!</definedName>
    <definedName name="_4252B" localSheetId="18">#REF!</definedName>
    <definedName name="_4252B" localSheetId="1">#REF!</definedName>
    <definedName name="_4252B">#REF!</definedName>
    <definedName name="_4255A" localSheetId="18">#REF!</definedName>
    <definedName name="_4255A" localSheetId="1">#REF!</definedName>
    <definedName name="_4255A">#REF!</definedName>
    <definedName name="_4255B" localSheetId="18">#REF!</definedName>
    <definedName name="_4255B" localSheetId="1">#REF!</definedName>
    <definedName name="_4255B">#REF!</definedName>
    <definedName name="_4257A" localSheetId="18">#REF!</definedName>
    <definedName name="_4257A" localSheetId="1">#REF!</definedName>
    <definedName name="_4257A">#REF!</definedName>
    <definedName name="_4257B" localSheetId="18">#REF!</definedName>
    <definedName name="_4257B" localSheetId="1">#REF!</definedName>
    <definedName name="_4257B">#REF!</definedName>
    <definedName name="_4262A" localSheetId="18">#REF!</definedName>
    <definedName name="_4262A" localSheetId="1">#REF!</definedName>
    <definedName name="_4262A">#REF!</definedName>
    <definedName name="_4262B" localSheetId="18">#REF!</definedName>
    <definedName name="_4262B" localSheetId="1">#REF!</definedName>
    <definedName name="_4262B">#REF!</definedName>
    <definedName name="_4265A" localSheetId="18">#REF!</definedName>
    <definedName name="_4265A" localSheetId="1">#REF!</definedName>
    <definedName name="_4265A">#REF!</definedName>
    <definedName name="_4265B" localSheetId="18">#REF!</definedName>
    <definedName name="_4265B" localSheetId="1">#REF!</definedName>
    <definedName name="_4265B">#REF!</definedName>
    <definedName name="_4270A" localSheetId="18">#REF!</definedName>
    <definedName name="_4270A" localSheetId="1">#REF!</definedName>
    <definedName name="_4270A">#REF!</definedName>
    <definedName name="_4270B" localSheetId="18">#REF!</definedName>
    <definedName name="_4270B" localSheetId="1">#REF!</definedName>
    <definedName name="_4270B">#REF!</definedName>
    <definedName name="_4283A" localSheetId="18">#REF!</definedName>
    <definedName name="_4283A" localSheetId="1">#REF!</definedName>
    <definedName name="_4283A">#REF!</definedName>
    <definedName name="_4283B" localSheetId="18">#REF!</definedName>
    <definedName name="_4283B" localSheetId="1">#REF!</definedName>
    <definedName name="_4283B">#REF!</definedName>
    <definedName name="_4290A" localSheetId="18">#REF!</definedName>
    <definedName name="_4290A" localSheetId="1">#REF!</definedName>
    <definedName name="_4290A">#REF!</definedName>
    <definedName name="_4290B" localSheetId="18">#REF!</definedName>
    <definedName name="_4290B" localSheetId="1">#REF!</definedName>
    <definedName name="_4290B">#REF!</definedName>
    <definedName name="_4294A" localSheetId="18">#REF!</definedName>
    <definedName name="_4294A" localSheetId="1">#REF!</definedName>
    <definedName name="_4294A">#REF!</definedName>
    <definedName name="_4294B" localSheetId="18">#REF!</definedName>
    <definedName name="_4294B" localSheetId="1">#REF!</definedName>
    <definedName name="_4294B">#REF!</definedName>
    <definedName name="_4298A" localSheetId="18">#REF!</definedName>
    <definedName name="_4298A" localSheetId="1">#REF!</definedName>
    <definedName name="_4298A">#REF!</definedName>
    <definedName name="_4298B" localSheetId="18">#REF!</definedName>
    <definedName name="_4298B" localSheetId="1">#REF!</definedName>
    <definedName name="_4298B">#REF!</definedName>
    <definedName name="_911A" localSheetId="18">#REF!</definedName>
    <definedName name="_911A" localSheetId="1">#REF!</definedName>
    <definedName name="_911A">#REF!</definedName>
    <definedName name="_912A" localSheetId="18">#REF!</definedName>
    <definedName name="_912A" localSheetId="1">#REF!</definedName>
    <definedName name="_912A">#REF!</definedName>
    <definedName name="_921A" localSheetId="18">#REF!</definedName>
    <definedName name="_921A" localSheetId="1">#REF!</definedName>
    <definedName name="_921A">#REF!</definedName>
    <definedName name="_922A" localSheetId="18">#REF!</definedName>
    <definedName name="_922A" localSheetId="1">#REF!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8">#REF!</definedName>
    <definedName name="_ALM1" localSheetId="1">#REF!</definedName>
    <definedName name="_ALM1">#REF!</definedName>
    <definedName name="_AND1" localSheetId="18">#REF!</definedName>
    <definedName name="_AND1" localSheetId="1">#REF!</definedName>
    <definedName name="_AND1">#REF!</definedName>
    <definedName name="_ane7" localSheetId="18">[13]!_xlbgnm.ane7</definedName>
    <definedName name="_ane7" localSheetId="1">[13]!_xlbgnm.ane7</definedName>
    <definedName name="_ane7">[13]!_xlbgnm.ane7</definedName>
    <definedName name="_ane8" localSheetId="18">[13]!_xlbgnm.ane8</definedName>
    <definedName name="_ane8" localSheetId="1">[13]!_xlbgnm.ane8</definedName>
    <definedName name="_ane8">[13]!_xlbgnm.ane8</definedName>
    <definedName name="_APU221" localSheetId="18">#REF!</definedName>
    <definedName name="_APU221" localSheetId="32">#REF!</definedName>
    <definedName name="_APU221" localSheetId="40">#REF!</definedName>
    <definedName name="_APU221" localSheetId="41">#REF!</definedName>
    <definedName name="_APU221" localSheetId="43">#REF!</definedName>
    <definedName name="_APU221" localSheetId="64">#REF!</definedName>
    <definedName name="_APU221" localSheetId="1">#REF!</definedName>
    <definedName name="_APU221" localSheetId="2">#REF!</definedName>
    <definedName name="_APU221">#REF!</definedName>
    <definedName name="_APU465" localSheetId="18">[20]!absc</definedName>
    <definedName name="_APU465" localSheetId="32">[20]!absc</definedName>
    <definedName name="_APU465" localSheetId="40">[20]!absc</definedName>
    <definedName name="_APU465" localSheetId="41">[20]!absc</definedName>
    <definedName name="_APU465" localSheetId="43">[20]!absc</definedName>
    <definedName name="_APU465" localSheetId="64">[20]!absc</definedName>
    <definedName name="_APU465" localSheetId="1">[20]!absc</definedName>
    <definedName name="_APU465" localSheetId="2">[20]!absc</definedName>
    <definedName name="_APU465">[20]!absc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M1" localSheetId="18">#REF!</definedName>
    <definedName name="_COM1" localSheetId="1">#REF!</definedName>
    <definedName name="_COM1">#REF!</definedName>
    <definedName name="_COM10" localSheetId="18">#REF!</definedName>
    <definedName name="_COM10" localSheetId="1">#REF!</definedName>
    <definedName name="_COM10">#REF!</definedName>
    <definedName name="_COM11" localSheetId="18">#REF!</definedName>
    <definedName name="_COM11" localSheetId="1">#REF!</definedName>
    <definedName name="_COM11">#REF!</definedName>
    <definedName name="_COM12" localSheetId="18">#REF!</definedName>
    <definedName name="_COM12" localSheetId="1">#REF!</definedName>
    <definedName name="_COM12">#REF!</definedName>
    <definedName name="_COM13" localSheetId="18">#REF!</definedName>
    <definedName name="_COM13" localSheetId="1">#REF!</definedName>
    <definedName name="_COM13">#REF!</definedName>
    <definedName name="_COM14" localSheetId="18">#REF!</definedName>
    <definedName name="_COM14" localSheetId="1">#REF!</definedName>
    <definedName name="_COM14">#REF!</definedName>
    <definedName name="_COM15" localSheetId="18">#REF!</definedName>
    <definedName name="_COM15" localSheetId="1">#REF!</definedName>
    <definedName name="_COM15">#REF!</definedName>
    <definedName name="_COM16" localSheetId="18">#REF!</definedName>
    <definedName name="_COM16" localSheetId="1">#REF!</definedName>
    <definedName name="_COM16">#REF!</definedName>
    <definedName name="_COM17" localSheetId="18">#REF!</definedName>
    <definedName name="_COM17" localSheetId="1">#REF!</definedName>
    <definedName name="_COM17">#REF!</definedName>
    <definedName name="_COM18" localSheetId="18">#REF!</definedName>
    <definedName name="_COM18" localSheetId="1">#REF!</definedName>
    <definedName name="_COM18">#REF!</definedName>
    <definedName name="_COM19" localSheetId="18">#REF!</definedName>
    <definedName name="_COM19" localSheetId="1">#REF!</definedName>
    <definedName name="_COM19">#REF!</definedName>
    <definedName name="_COM2" localSheetId="18">#REF!</definedName>
    <definedName name="_COM2" localSheetId="1">#REF!</definedName>
    <definedName name="_COM2">#REF!</definedName>
    <definedName name="_COM20" localSheetId="18">#REF!</definedName>
    <definedName name="_COM20" localSheetId="1">#REF!</definedName>
    <definedName name="_COM20">#REF!</definedName>
    <definedName name="_COM21" localSheetId="18">#REF!</definedName>
    <definedName name="_COM21" localSheetId="1">#REF!</definedName>
    <definedName name="_COM21">#REF!</definedName>
    <definedName name="_COM3" localSheetId="18">#REF!</definedName>
    <definedName name="_COM3" localSheetId="1">#REF!</definedName>
    <definedName name="_COM3">#REF!</definedName>
    <definedName name="_COM4" localSheetId="18">#REF!</definedName>
    <definedName name="_COM4" localSheetId="1">#REF!</definedName>
    <definedName name="_COM4">#REF!</definedName>
    <definedName name="_COM5" localSheetId="18">#REF!</definedName>
    <definedName name="_COM5" localSheetId="1">#REF!</definedName>
    <definedName name="_COM5">#REF!</definedName>
    <definedName name="_COM6" localSheetId="18">#REF!</definedName>
    <definedName name="_COM6" localSheetId="1">#REF!</definedName>
    <definedName name="_COM6">#REF!</definedName>
    <definedName name="_COM7" localSheetId="18">#REF!</definedName>
    <definedName name="_COM7" localSheetId="1">#REF!</definedName>
    <definedName name="_COM7">#REF!</definedName>
    <definedName name="_COM8" localSheetId="18">#REF!</definedName>
    <definedName name="_COM8" localSheetId="1">#REF!</definedName>
    <definedName name="_COM8">#REF!</definedName>
    <definedName name="_COM9" localSheetId="18">#REF!</definedName>
    <definedName name="_COM9" localSheetId="1">#REF!</definedName>
    <definedName name="_COM9">#REF!</definedName>
    <definedName name="_DCI1" localSheetId="18">[11]Tablas!#REF!</definedName>
    <definedName name="_DCI1" localSheetId="1">[11]Tablas!#REF!</definedName>
    <definedName name="_DCI1">[11]Tablas!#REF!</definedName>
    <definedName name="_DDS1" localSheetId="18">[11]Tablas!#REF!</definedName>
    <definedName name="_DDS1" localSheetId="1">[11]Tablas!#REF!</definedName>
    <definedName name="_DDS1">[11]Tablas!#REF!</definedName>
    <definedName name="_DGO1" localSheetId="18">[11]Tablas!#REF!</definedName>
    <definedName name="_DGO1" localSheetId="1">[11]Tablas!#REF!</definedName>
    <definedName name="_DGO1">[11]Tablas!#REF!</definedName>
    <definedName name="_DGP1" localSheetId="18">[11]Tablas!#REF!</definedName>
    <definedName name="_DGP1" localSheetId="1">[11]Tablas!#REF!</definedName>
    <definedName name="_DGP1">[11]Tablas!#REF!</definedName>
    <definedName name="_DIJ1" localSheetId="18">[11]Tablas!#REF!</definedName>
    <definedName name="_DIJ1" localSheetId="1">[11]Tablas!#REF!</definedName>
    <definedName name="_DIJ1">[11]Tablas!#REF!</definedName>
    <definedName name="_DPI1" localSheetId="18">[11]Tablas!#REF!</definedName>
    <definedName name="_DPI1" localSheetId="1">[11]Tablas!#REF!</definedName>
    <definedName name="_DPI1">[11]Tablas!#REF!</definedName>
    <definedName name="_DPY1" localSheetId="18">[11]Tablas!#REF!</definedName>
    <definedName name="_DPY1" localSheetId="1">[11]Tablas!#REF!</definedName>
    <definedName name="_DPY1">[11]Tablas!#REF!</definedName>
    <definedName name="_DRI1" localSheetId="18">[11]Tablas!#REF!</definedName>
    <definedName name="_DRI1" localSheetId="1">[11]Tablas!#REF!</definedName>
    <definedName name="_DRI1">[11]Tablas!#REF!</definedName>
    <definedName name="_DRL1" localSheetId="18">[11]Tablas!#REF!</definedName>
    <definedName name="_DRL1" localSheetId="1">[11]Tablas!#REF!</definedName>
    <definedName name="_DRL1">[11]Tablas!#REF!</definedName>
    <definedName name="_DSP1" localSheetId="18">[11]Tablas!#REF!</definedName>
    <definedName name="_DSP1" localSheetId="1">[11]Tablas!#REF!</definedName>
    <definedName name="_DSP1">[11]Tablas!#REF!</definedName>
    <definedName name="_ECP1" localSheetId="18">[11]Tablas!#REF!</definedName>
    <definedName name="_ECP1" localSheetId="1">[11]Tablas!#REF!</definedName>
    <definedName name="_ECP1">[11]Tablas!#REF!</definedName>
    <definedName name="_EST1" localSheetId="18">#REF!</definedName>
    <definedName name="_EST1" localSheetId="32">#REF!</definedName>
    <definedName name="_EST1" localSheetId="40">#REF!</definedName>
    <definedName name="_EST1" localSheetId="41">#REF!</definedName>
    <definedName name="_EST1" localSheetId="43">#REF!</definedName>
    <definedName name="_EST1" localSheetId="64">#REF!</definedName>
    <definedName name="_EST1" localSheetId="1">#REF!</definedName>
    <definedName name="_EST1" localSheetId="2">#REF!</definedName>
    <definedName name="_EST1">#REF!</definedName>
    <definedName name="_EST10" localSheetId="18">#REF!</definedName>
    <definedName name="_EST10" localSheetId="32">#REF!</definedName>
    <definedName name="_EST10" localSheetId="40">#REF!</definedName>
    <definedName name="_EST10" localSheetId="41">#REF!</definedName>
    <definedName name="_EST10" localSheetId="43">#REF!</definedName>
    <definedName name="_EST10" localSheetId="64">#REF!</definedName>
    <definedName name="_EST10" localSheetId="1">#REF!</definedName>
    <definedName name="_EST10" localSheetId="2">#REF!</definedName>
    <definedName name="_EST10">#REF!</definedName>
    <definedName name="_EST11" localSheetId="18">#REF!</definedName>
    <definedName name="_EST11" localSheetId="32">#REF!</definedName>
    <definedName name="_EST11" localSheetId="40">#REF!</definedName>
    <definedName name="_EST11" localSheetId="41">#REF!</definedName>
    <definedName name="_EST11" localSheetId="43">#REF!</definedName>
    <definedName name="_EST11" localSheetId="64">#REF!</definedName>
    <definedName name="_EST11" localSheetId="1">#REF!</definedName>
    <definedName name="_EST11" localSheetId="2">#REF!</definedName>
    <definedName name="_EST11">#REF!</definedName>
    <definedName name="_EST12" localSheetId="18">#REF!</definedName>
    <definedName name="_EST12" localSheetId="32">#REF!</definedName>
    <definedName name="_EST12" localSheetId="40">#REF!</definedName>
    <definedName name="_EST12" localSheetId="41">#REF!</definedName>
    <definedName name="_EST12" localSheetId="43">#REF!</definedName>
    <definedName name="_EST12" localSheetId="64">#REF!</definedName>
    <definedName name="_EST12" localSheetId="1">#REF!</definedName>
    <definedName name="_EST12" localSheetId="2">#REF!</definedName>
    <definedName name="_EST12">#REF!</definedName>
    <definedName name="_EST13" localSheetId="18">#REF!</definedName>
    <definedName name="_EST13" localSheetId="32">#REF!</definedName>
    <definedName name="_EST13" localSheetId="40">#REF!</definedName>
    <definedName name="_EST13" localSheetId="41">#REF!</definedName>
    <definedName name="_EST13" localSheetId="43">#REF!</definedName>
    <definedName name="_EST13" localSheetId="64">#REF!</definedName>
    <definedName name="_EST13" localSheetId="1">#REF!</definedName>
    <definedName name="_EST13" localSheetId="2">#REF!</definedName>
    <definedName name="_EST13">#REF!</definedName>
    <definedName name="_EST14" localSheetId="18">#REF!</definedName>
    <definedName name="_EST14" localSheetId="32">#REF!</definedName>
    <definedName name="_EST14" localSheetId="40">#REF!</definedName>
    <definedName name="_EST14" localSheetId="41">#REF!</definedName>
    <definedName name="_EST14" localSheetId="43">#REF!</definedName>
    <definedName name="_EST14" localSheetId="64">#REF!</definedName>
    <definedName name="_EST14" localSheetId="1">#REF!</definedName>
    <definedName name="_EST14" localSheetId="2">#REF!</definedName>
    <definedName name="_EST14">#REF!</definedName>
    <definedName name="_EST15" localSheetId="18">#REF!</definedName>
    <definedName name="_EST15" localSheetId="32">#REF!</definedName>
    <definedName name="_EST15" localSheetId="40">#REF!</definedName>
    <definedName name="_EST15" localSheetId="41">#REF!</definedName>
    <definedName name="_EST15" localSheetId="43">#REF!</definedName>
    <definedName name="_EST15" localSheetId="64">#REF!</definedName>
    <definedName name="_EST15" localSheetId="1">#REF!</definedName>
    <definedName name="_EST15" localSheetId="2">#REF!</definedName>
    <definedName name="_EST15">#REF!</definedName>
    <definedName name="_EST16" localSheetId="18">#REF!</definedName>
    <definedName name="_EST16" localSheetId="32">#REF!</definedName>
    <definedName name="_EST16" localSheetId="40">#REF!</definedName>
    <definedName name="_EST16" localSheetId="41">#REF!</definedName>
    <definedName name="_EST16" localSheetId="43">#REF!</definedName>
    <definedName name="_EST16" localSheetId="64">#REF!</definedName>
    <definedName name="_EST16" localSheetId="1">#REF!</definedName>
    <definedName name="_EST16" localSheetId="2">#REF!</definedName>
    <definedName name="_EST16">#REF!</definedName>
    <definedName name="_EST17" localSheetId="18">#REF!</definedName>
    <definedName name="_EST17" localSheetId="32">#REF!</definedName>
    <definedName name="_EST17" localSheetId="40">#REF!</definedName>
    <definedName name="_EST17" localSheetId="41">#REF!</definedName>
    <definedName name="_EST17" localSheetId="43">#REF!</definedName>
    <definedName name="_EST17" localSheetId="64">#REF!</definedName>
    <definedName name="_EST17" localSheetId="1">#REF!</definedName>
    <definedName name="_EST17" localSheetId="2">#REF!</definedName>
    <definedName name="_EST17">#REF!</definedName>
    <definedName name="_EST18" localSheetId="18">#REF!</definedName>
    <definedName name="_EST18" localSheetId="32">#REF!</definedName>
    <definedName name="_EST18" localSheetId="40">#REF!</definedName>
    <definedName name="_EST18" localSheetId="41">#REF!</definedName>
    <definedName name="_EST18" localSheetId="43">#REF!</definedName>
    <definedName name="_EST18" localSheetId="64">#REF!</definedName>
    <definedName name="_EST18" localSheetId="1">#REF!</definedName>
    <definedName name="_EST18" localSheetId="2">#REF!</definedName>
    <definedName name="_EST18">#REF!</definedName>
    <definedName name="_EST19" localSheetId="18">#REF!</definedName>
    <definedName name="_EST19" localSheetId="32">#REF!</definedName>
    <definedName name="_EST19" localSheetId="40">#REF!</definedName>
    <definedName name="_EST19" localSheetId="41">#REF!</definedName>
    <definedName name="_EST19" localSheetId="43">#REF!</definedName>
    <definedName name="_EST19" localSheetId="64">#REF!</definedName>
    <definedName name="_EST19" localSheetId="1">#REF!</definedName>
    <definedName name="_EST19" localSheetId="2">#REF!</definedName>
    <definedName name="_EST19">#REF!</definedName>
    <definedName name="_EST2" localSheetId="18">#REF!</definedName>
    <definedName name="_EST2" localSheetId="32">#REF!</definedName>
    <definedName name="_EST2" localSheetId="40">#REF!</definedName>
    <definedName name="_EST2" localSheetId="41">#REF!</definedName>
    <definedName name="_EST2" localSheetId="43">#REF!</definedName>
    <definedName name="_EST2" localSheetId="64">#REF!</definedName>
    <definedName name="_EST2" localSheetId="1">#REF!</definedName>
    <definedName name="_EST2" localSheetId="2">#REF!</definedName>
    <definedName name="_EST2">#REF!</definedName>
    <definedName name="_EST3" localSheetId="18">#REF!</definedName>
    <definedName name="_EST3" localSheetId="32">#REF!</definedName>
    <definedName name="_EST3" localSheetId="40">#REF!</definedName>
    <definedName name="_EST3" localSheetId="41">#REF!</definedName>
    <definedName name="_EST3" localSheetId="43">#REF!</definedName>
    <definedName name="_EST3" localSheetId="64">#REF!</definedName>
    <definedName name="_EST3" localSheetId="1">#REF!</definedName>
    <definedName name="_EST3" localSheetId="2">#REF!</definedName>
    <definedName name="_EST3">#REF!</definedName>
    <definedName name="_EST4" localSheetId="18">#REF!</definedName>
    <definedName name="_EST4" localSheetId="32">#REF!</definedName>
    <definedName name="_EST4" localSheetId="40">#REF!</definedName>
    <definedName name="_EST4" localSheetId="41">#REF!</definedName>
    <definedName name="_EST4" localSheetId="43">#REF!</definedName>
    <definedName name="_EST4" localSheetId="64">#REF!</definedName>
    <definedName name="_EST4" localSheetId="1">#REF!</definedName>
    <definedName name="_EST4" localSheetId="2">#REF!</definedName>
    <definedName name="_EST4">#REF!</definedName>
    <definedName name="_EST5" localSheetId="18">#REF!</definedName>
    <definedName name="_EST5" localSheetId="32">#REF!</definedName>
    <definedName name="_EST5" localSheetId="40">#REF!</definedName>
    <definedName name="_EST5" localSheetId="41">#REF!</definedName>
    <definedName name="_EST5" localSheetId="43">#REF!</definedName>
    <definedName name="_EST5" localSheetId="64">#REF!</definedName>
    <definedName name="_EST5" localSheetId="1">#REF!</definedName>
    <definedName name="_EST5" localSheetId="2">#REF!</definedName>
    <definedName name="_EST5">#REF!</definedName>
    <definedName name="_EST6" localSheetId="18">#REF!</definedName>
    <definedName name="_EST6" localSheetId="32">#REF!</definedName>
    <definedName name="_EST6" localSheetId="40">#REF!</definedName>
    <definedName name="_EST6" localSheetId="41">#REF!</definedName>
    <definedName name="_EST6" localSheetId="43">#REF!</definedName>
    <definedName name="_EST6" localSheetId="64">#REF!</definedName>
    <definedName name="_EST6" localSheetId="1">#REF!</definedName>
    <definedName name="_EST6" localSheetId="2">#REF!</definedName>
    <definedName name="_EST6">#REF!</definedName>
    <definedName name="_EST7" localSheetId="18">#REF!</definedName>
    <definedName name="_EST7" localSheetId="32">#REF!</definedName>
    <definedName name="_EST7" localSheetId="40">#REF!</definedName>
    <definedName name="_EST7" localSheetId="41">#REF!</definedName>
    <definedName name="_EST7" localSheetId="43">#REF!</definedName>
    <definedName name="_EST7" localSheetId="64">#REF!</definedName>
    <definedName name="_EST7" localSheetId="1">#REF!</definedName>
    <definedName name="_EST7" localSheetId="2">#REF!</definedName>
    <definedName name="_EST7">#REF!</definedName>
    <definedName name="_EST8" localSheetId="18">#REF!</definedName>
    <definedName name="_EST8" localSheetId="32">#REF!</definedName>
    <definedName name="_EST8" localSheetId="40">#REF!</definedName>
    <definedName name="_EST8" localSheetId="41">#REF!</definedName>
    <definedName name="_EST8" localSheetId="43">#REF!</definedName>
    <definedName name="_EST8" localSheetId="64">#REF!</definedName>
    <definedName name="_EST8" localSheetId="1">#REF!</definedName>
    <definedName name="_EST8" localSheetId="2">#REF!</definedName>
    <definedName name="_EST8">#REF!</definedName>
    <definedName name="_EST9" localSheetId="18">#REF!</definedName>
    <definedName name="_EST9" localSheetId="32">#REF!</definedName>
    <definedName name="_EST9" localSheetId="40">#REF!</definedName>
    <definedName name="_EST9" localSheetId="41">#REF!</definedName>
    <definedName name="_EST9" localSheetId="43">#REF!</definedName>
    <definedName name="_EST9" localSheetId="64">#REF!</definedName>
    <definedName name="_EST9" localSheetId="1">#REF!</definedName>
    <definedName name="_EST9" localSheetId="2">#REF!</definedName>
    <definedName name="_EST9">#REF!</definedName>
    <definedName name="_EXC1" localSheetId="18">#REF!</definedName>
    <definedName name="_EXC1" localSheetId="32">#REF!</definedName>
    <definedName name="_EXC1" localSheetId="40">#REF!</definedName>
    <definedName name="_EXC1" localSheetId="41">#REF!</definedName>
    <definedName name="_EXC1" localSheetId="43">#REF!</definedName>
    <definedName name="_EXC1" localSheetId="64">#REF!</definedName>
    <definedName name="_EXC1" localSheetId="1">#REF!</definedName>
    <definedName name="_EXC1" localSheetId="2">#REF!</definedName>
    <definedName name="_EXC1">#REF!</definedName>
    <definedName name="_EXC10" localSheetId="18">#REF!</definedName>
    <definedName name="_EXC10" localSheetId="32">#REF!</definedName>
    <definedName name="_EXC10" localSheetId="40">#REF!</definedName>
    <definedName name="_EXC10" localSheetId="41">#REF!</definedName>
    <definedName name="_EXC10" localSheetId="43">#REF!</definedName>
    <definedName name="_EXC10" localSheetId="64">#REF!</definedName>
    <definedName name="_EXC10" localSheetId="1">#REF!</definedName>
    <definedName name="_EXC10" localSheetId="2">#REF!</definedName>
    <definedName name="_EXC10">#REF!</definedName>
    <definedName name="_EXC11" localSheetId="18">#REF!</definedName>
    <definedName name="_EXC11" localSheetId="32">#REF!</definedName>
    <definedName name="_EXC11" localSheetId="40">#REF!</definedName>
    <definedName name="_EXC11" localSheetId="41">#REF!</definedName>
    <definedName name="_EXC11" localSheetId="43">#REF!</definedName>
    <definedName name="_EXC11" localSheetId="64">#REF!</definedName>
    <definedName name="_EXC11" localSheetId="1">#REF!</definedName>
    <definedName name="_EXC11" localSheetId="2">#REF!</definedName>
    <definedName name="_EXC11">#REF!</definedName>
    <definedName name="_EXC12" localSheetId="18">#REF!</definedName>
    <definedName name="_EXC12" localSheetId="32">#REF!</definedName>
    <definedName name="_EXC12" localSheetId="40">#REF!</definedName>
    <definedName name="_EXC12" localSheetId="41">#REF!</definedName>
    <definedName name="_EXC12" localSheetId="43">#REF!</definedName>
    <definedName name="_EXC12" localSheetId="64">#REF!</definedName>
    <definedName name="_EXC12" localSheetId="1">#REF!</definedName>
    <definedName name="_EXC12" localSheetId="2">#REF!</definedName>
    <definedName name="_EXC12">#REF!</definedName>
    <definedName name="_EXC2" localSheetId="18">#REF!</definedName>
    <definedName name="_EXC2" localSheetId="32">#REF!</definedName>
    <definedName name="_EXC2" localSheetId="40">#REF!</definedName>
    <definedName name="_EXC2" localSheetId="41">#REF!</definedName>
    <definedName name="_EXC2" localSheetId="43">#REF!</definedName>
    <definedName name="_EXC2" localSheetId="64">#REF!</definedName>
    <definedName name="_EXC2" localSheetId="1">#REF!</definedName>
    <definedName name="_EXC2" localSheetId="2">#REF!</definedName>
    <definedName name="_EXC2">#REF!</definedName>
    <definedName name="_EXC3" localSheetId="18">#REF!</definedName>
    <definedName name="_EXC3" localSheetId="32">#REF!</definedName>
    <definedName name="_EXC3" localSheetId="40">#REF!</definedName>
    <definedName name="_EXC3" localSheetId="41">#REF!</definedName>
    <definedName name="_EXC3" localSheetId="43">#REF!</definedName>
    <definedName name="_EXC3" localSheetId="64">#REF!</definedName>
    <definedName name="_EXC3" localSheetId="1">#REF!</definedName>
    <definedName name="_EXC3" localSheetId="2">#REF!</definedName>
    <definedName name="_EXC3">#REF!</definedName>
    <definedName name="_EXC4" localSheetId="18">#REF!</definedName>
    <definedName name="_EXC4" localSheetId="32">#REF!</definedName>
    <definedName name="_EXC4" localSheetId="40">#REF!</definedName>
    <definedName name="_EXC4" localSheetId="41">#REF!</definedName>
    <definedName name="_EXC4" localSheetId="43">#REF!</definedName>
    <definedName name="_EXC4" localSheetId="64">#REF!</definedName>
    <definedName name="_EXC4" localSheetId="1">#REF!</definedName>
    <definedName name="_EXC4" localSheetId="2">#REF!</definedName>
    <definedName name="_EXC4">#REF!</definedName>
    <definedName name="_EXC5" localSheetId="18">#REF!</definedName>
    <definedName name="_EXC5" localSheetId="32">#REF!</definedName>
    <definedName name="_EXC5" localSheetId="40">#REF!</definedName>
    <definedName name="_EXC5" localSheetId="41">#REF!</definedName>
    <definedName name="_EXC5" localSheetId="43">#REF!</definedName>
    <definedName name="_EXC5" localSheetId="64">#REF!</definedName>
    <definedName name="_EXC5" localSheetId="1">#REF!</definedName>
    <definedName name="_EXC5" localSheetId="2">#REF!</definedName>
    <definedName name="_EXC5">#REF!</definedName>
    <definedName name="_EXC6" localSheetId="18">#REF!</definedName>
    <definedName name="_EXC6" localSheetId="32">#REF!</definedName>
    <definedName name="_EXC6" localSheetId="40">#REF!</definedName>
    <definedName name="_EXC6" localSheetId="41">#REF!</definedName>
    <definedName name="_EXC6" localSheetId="43">#REF!</definedName>
    <definedName name="_EXC6" localSheetId="64">#REF!</definedName>
    <definedName name="_EXC6" localSheetId="1">#REF!</definedName>
    <definedName name="_EXC6" localSheetId="2">#REF!</definedName>
    <definedName name="_EXC6">#REF!</definedName>
    <definedName name="_EXC7" localSheetId="18">#REF!</definedName>
    <definedName name="_EXC7" localSheetId="32">#REF!</definedName>
    <definedName name="_EXC7" localSheetId="40">#REF!</definedName>
    <definedName name="_EXC7" localSheetId="41">#REF!</definedName>
    <definedName name="_EXC7" localSheetId="43">#REF!</definedName>
    <definedName name="_EXC7" localSheetId="64">#REF!</definedName>
    <definedName name="_EXC7" localSheetId="1">#REF!</definedName>
    <definedName name="_EXC7" localSheetId="2">#REF!</definedName>
    <definedName name="_EXC7">#REF!</definedName>
    <definedName name="_EXC8" localSheetId="18">#REF!</definedName>
    <definedName name="_EXC8" localSheetId="32">#REF!</definedName>
    <definedName name="_EXC8" localSheetId="40">#REF!</definedName>
    <definedName name="_EXC8" localSheetId="41">#REF!</definedName>
    <definedName name="_EXC8" localSheetId="43">#REF!</definedName>
    <definedName name="_EXC8" localSheetId="64">#REF!</definedName>
    <definedName name="_EXC8" localSheetId="1">#REF!</definedName>
    <definedName name="_EXC8" localSheetId="2">#REF!</definedName>
    <definedName name="_EXC8">#REF!</definedName>
    <definedName name="_EXC9" localSheetId="18">#REF!</definedName>
    <definedName name="_EXC9" localSheetId="32">#REF!</definedName>
    <definedName name="_EXC9" localSheetId="40">#REF!</definedName>
    <definedName name="_EXC9" localSheetId="41">#REF!</definedName>
    <definedName name="_EXC9" localSheetId="43">#REF!</definedName>
    <definedName name="_EXC9" localSheetId="64">#REF!</definedName>
    <definedName name="_EXC9" localSheetId="1">#REF!</definedName>
    <definedName name="_EXC9" localSheetId="2">#REF!</definedName>
    <definedName name="_EXC9">#REF!</definedName>
    <definedName name="_F">[0]!ERR</definedName>
    <definedName name="_F10" localSheetId="18">#REF!</definedName>
    <definedName name="_F10" localSheetId="1">#REF!</definedName>
    <definedName name="_F10">#REF!</definedName>
    <definedName name="_FC" localSheetId="18">#REF!</definedName>
    <definedName name="_FC" localSheetId="1">#REF!</definedName>
    <definedName name="_FC">#REF!</definedName>
    <definedName name="_Fill" localSheetId="18" hidden="1">#REF!</definedName>
    <definedName name="_Fill" localSheetId="32" hidden="1">#REF!</definedName>
    <definedName name="_Fill" localSheetId="40" hidden="1">#REF!</definedName>
    <definedName name="_Fill" localSheetId="41" hidden="1">#REF!</definedName>
    <definedName name="_Fill" localSheetId="43" hidden="1">#REF!</definedName>
    <definedName name="_Fill" localSheetId="64" hidden="1">#REF!</definedName>
    <definedName name="_Fill" localSheetId="1" hidden="1">#REF!</definedName>
    <definedName name="_Fill" localSheetId="2" hidden="1">#REF!</definedName>
    <definedName name="_Fill" hidden="1">#REF!</definedName>
    <definedName name="_xlnm._FilterDatabase" localSheetId="3" hidden="1">'CANTIDADES Fase II todo'!$A$8:$C$188</definedName>
    <definedName name="_xlnm._FilterDatabase" localSheetId="8" hidden="1">'CANTIDADES TOTALIZADAS'!$A$8:$AC$181</definedName>
    <definedName name="_xlnm._FilterDatabase" localSheetId="9" hidden="1">'OBRAS PUNTUALES TRANSVERSAL'!$A$1:$C$153</definedName>
    <definedName name="_xlnm._FilterDatabase" localSheetId="2" hidden="1">'PRESUPUESTO ACUMULADO'!$AM$1:$AM$272</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18">[11]Tablas!#REF!</definedName>
    <definedName name="_ICP1" localSheetId="1">[11]Tablas!#REF!</definedName>
    <definedName name="_ICP1">[11]Tablas!#REF!</definedName>
    <definedName name="_IMP1" localSheetId="18">#REF!</definedName>
    <definedName name="_IMP1" localSheetId="1">#REF!</definedName>
    <definedName name="_IMP1">#REF!</definedName>
    <definedName name="_IPC2002" localSheetId="18">#REF!</definedName>
    <definedName name="_IPC2002" localSheetId="32">#REF!</definedName>
    <definedName name="_IPC2002" localSheetId="40">#REF!</definedName>
    <definedName name="_IPC2002" localSheetId="41">#REF!</definedName>
    <definedName name="_IPC2002" localSheetId="43">#REF!</definedName>
    <definedName name="_IPC2002" localSheetId="64">#REF!</definedName>
    <definedName name="_IPC2002" localSheetId="1">#REF!</definedName>
    <definedName name="_IPC2002" localSheetId="2">#REF!</definedName>
    <definedName name="_IPC2002">#REF!</definedName>
    <definedName name="_IVA1" localSheetId="18">#REF!</definedName>
    <definedName name="_IVA1" localSheetId="1">#REF!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8" hidden="1">#REF!</definedName>
    <definedName name="_Key1" localSheetId="32" hidden="1">#REF!</definedName>
    <definedName name="_Key1" localSheetId="40" hidden="1">#REF!</definedName>
    <definedName name="_Key1" localSheetId="41" hidden="1">#REF!</definedName>
    <definedName name="_Key1" localSheetId="43" hidden="1">#REF!</definedName>
    <definedName name="_Key1" localSheetId="64" hidden="1">#REF!</definedName>
    <definedName name="_Key1" localSheetId="1" hidden="1">#REF!</definedName>
    <definedName name="_Key1" localSheetId="2" hidden="1">#REF!</definedName>
    <definedName name="_Key1" hidden="1">#REF!</definedName>
    <definedName name="_Key11" localSheetId="18" hidden="1">[21]INST!#REF!</definedName>
    <definedName name="_Key11" localSheetId="1" hidden="1">[21]INST!#REF!</definedName>
    <definedName name="_Key11" hidden="1">[21]INST!#REF!</definedName>
    <definedName name="_Key2" localSheetId="18" hidden="1">#REF!</definedName>
    <definedName name="_Key2" localSheetId="1" hidden="1">#REF!</definedName>
    <definedName name="_Key2" hidden="1">#REF!</definedName>
    <definedName name="_Key21" localSheetId="18" hidden="1">#REF!</definedName>
    <definedName name="_Key21" localSheetId="1" hidden="1">#REF!</definedName>
    <definedName name="_Key21" hidden="1">#REF!</definedName>
    <definedName name="_key3" localSheetId="18" hidden="1">#REF!</definedName>
    <definedName name="_key3" localSheetId="1" hidden="1">#REF!</definedName>
    <definedName name="_key3" hidden="1">#REF!</definedName>
    <definedName name="_key31" localSheetId="18" hidden="1">#REF!</definedName>
    <definedName name="_key31" localSheetId="1" hidden="1">#REF!</definedName>
    <definedName name="_key31" hidden="1">#REF!</definedName>
    <definedName name="_kjk6" hidden="1">{"TAB1",#N/A,TRUE,"GENERAL";"TAB2",#N/A,TRUE,"GENERAL";"TAB3",#N/A,TRUE,"GENERAL";"TAB4",#N/A,TRUE,"GENERAL";"TAB5",#N/A,TRUE,"GENERAL"}</definedName>
    <definedName name="_lar03" localSheetId="18">#REF!</definedName>
    <definedName name="_lar03" localSheetId="32">#REF!</definedName>
    <definedName name="_lar03" localSheetId="40">#REF!</definedName>
    <definedName name="_lar03" localSheetId="41">#REF!</definedName>
    <definedName name="_lar03" localSheetId="43">#REF!</definedName>
    <definedName name="_lar03" localSheetId="64">#REF!</definedName>
    <definedName name="_lar03" localSheetId="1">#REF!</definedName>
    <definedName name="_lar03" localSheetId="2">#REF!</definedName>
    <definedName name="_lar03">#REF!</definedName>
    <definedName name="_LEY80" localSheetId="18">#REF!</definedName>
    <definedName name="_LEY80" localSheetId="1">#REF!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8">#REF!</definedName>
    <definedName name="_MA2" localSheetId="32">#REF!</definedName>
    <definedName name="_MA2" localSheetId="40">#REF!</definedName>
    <definedName name="_MA2" localSheetId="41">#REF!</definedName>
    <definedName name="_MA2" localSheetId="43">#REF!</definedName>
    <definedName name="_MA2" localSheetId="64">#REF!</definedName>
    <definedName name="_MA2" localSheetId="1">#REF!</definedName>
    <definedName name="_MA2" localSheetId="2">#REF!</definedName>
    <definedName name="_MA2">#REF!</definedName>
    <definedName name="_MAT1" localSheetId="18">#REF!</definedName>
    <definedName name="_MAT1" localSheetId="1">#REF!</definedName>
    <definedName name="_MAT1">#REF!</definedName>
    <definedName name="_MOD1" localSheetId="18">#REF!</definedName>
    <definedName name="_MOD1" localSheetId="1">#REF!</definedName>
    <definedName name="_MOD1">#REF!</definedName>
    <definedName name="_mun2" localSheetId="18">[19]PESOS!#REF!</definedName>
    <definedName name="_mun2" localSheetId="32">[19]PESOS!#REF!</definedName>
    <definedName name="_mun2" localSheetId="40">[19]PESOS!#REF!</definedName>
    <definedName name="_mun2" localSheetId="41">[19]PESOS!#REF!</definedName>
    <definedName name="_mun2" localSheetId="43">[19]PESOS!#REF!</definedName>
    <definedName name="_mun2" localSheetId="64">[19]PESOS!#REF!</definedName>
    <definedName name="_mun2" localSheetId="1">[19]PESOS!#REF!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18">#REF!</definedName>
    <definedName name="_nrf10" localSheetId="1">#REF!</definedName>
    <definedName name="_nrf10">#REF!</definedName>
    <definedName name="_num10" localSheetId="18">#REF!</definedName>
    <definedName name="_num10" localSheetId="32">#REF!</definedName>
    <definedName name="_num10" localSheetId="40">#REF!</definedName>
    <definedName name="_num10" localSheetId="41">#REF!</definedName>
    <definedName name="_num10" localSheetId="43">#REF!</definedName>
    <definedName name="_num10" localSheetId="64">#REF!</definedName>
    <definedName name="_num10" localSheetId="1">#REF!</definedName>
    <definedName name="_num10" localSheetId="2">#REF!</definedName>
    <definedName name="_num10">#REF!</definedName>
    <definedName name="_num2" localSheetId="18">#REF!</definedName>
    <definedName name="_num2" localSheetId="32">#REF!</definedName>
    <definedName name="_num2" localSheetId="40">#REF!</definedName>
    <definedName name="_num2" localSheetId="41">#REF!</definedName>
    <definedName name="_num2" localSheetId="43">#REF!</definedName>
    <definedName name="_num2" localSheetId="64">#REF!</definedName>
    <definedName name="_num2" localSheetId="1">#REF!</definedName>
    <definedName name="_num2" localSheetId="2">#REF!</definedName>
    <definedName name="_num2">#REF!</definedName>
    <definedName name="_num3" localSheetId="18">#REF!</definedName>
    <definedName name="_num3" localSheetId="32">#REF!</definedName>
    <definedName name="_num3" localSheetId="40">#REF!</definedName>
    <definedName name="_num3" localSheetId="41">#REF!</definedName>
    <definedName name="_num3" localSheetId="43">#REF!</definedName>
    <definedName name="_num3" localSheetId="64">#REF!</definedName>
    <definedName name="_num3" localSheetId="1">#REF!</definedName>
    <definedName name="_num3" localSheetId="2">#REF!</definedName>
    <definedName name="_num3">#REF!</definedName>
    <definedName name="_num4" localSheetId="18">#REF!</definedName>
    <definedName name="_num4" localSheetId="32">#REF!</definedName>
    <definedName name="_num4" localSheetId="40">#REF!</definedName>
    <definedName name="_num4" localSheetId="41">#REF!</definedName>
    <definedName name="_num4" localSheetId="43">#REF!</definedName>
    <definedName name="_num4" localSheetId="64">#REF!</definedName>
    <definedName name="_num4" localSheetId="1">#REF!</definedName>
    <definedName name="_num4" localSheetId="2">#REF!</definedName>
    <definedName name="_num4">#REF!</definedName>
    <definedName name="_num5" localSheetId="18">#REF!</definedName>
    <definedName name="_num5" localSheetId="32">#REF!</definedName>
    <definedName name="_num5" localSheetId="40">#REF!</definedName>
    <definedName name="_num5" localSheetId="41">#REF!</definedName>
    <definedName name="_num5" localSheetId="43">#REF!</definedName>
    <definedName name="_num5" localSheetId="64">#REF!</definedName>
    <definedName name="_num5" localSheetId="1">#REF!</definedName>
    <definedName name="_num5" localSheetId="2">#REF!</definedName>
    <definedName name="_num5">#REF!</definedName>
    <definedName name="_num6" localSheetId="18">#REF!</definedName>
    <definedName name="_num6" localSheetId="32">#REF!</definedName>
    <definedName name="_num6" localSheetId="40">#REF!</definedName>
    <definedName name="_num6" localSheetId="41">#REF!</definedName>
    <definedName name="_num6" localSheetId="43">#REF!</definedName>
    <definedName name="_num6" localSheetId="64">#REF!</definedName>
    <definedName name="_num6" localSheetId="1">#REF!</definedName>
    <definedName name="_num6" localSheetId="2">#REF!</definedName>
    <definedName name="_num6">#REF!</definedName>
    <definedName name="_num7" localSheetId="18">#REF!</definedName>
    <definedName name="_num7" localSheetId="32">#REF!</definedName>
    <definedName name="_num7" localSheetId="40">#REF!</definedName>
    <definedName name="_num7" localSheetId="41">#REF!</definedName>
    <definedName name="_num7" localSheetId="43">#REF!</definedName>
    <definedName name="_num7" localSheetId="64">#REF!</definedName>
    <definedName name="_num7" localSheetId="1">#REF!</definedName>
    <definedName name="_num7" localSheetId="2">#REF!</definedName>
    <definedName name="_num7">#REF!</definedName>
    <definedName name="_num8" localSheetId="18">#REF!</definedName>
    <definedName name="_num8" localSheetId="32">#REF!</definedName>
    <definedName name="_num8" localSheetId="40">#REF!</definedName>
    <definedName name="_num8" localSheetId="41">#REF!</definedName>
    <definedName name="_num8" localSheetId="43">#REF!</definedName>
    <definedName name="_num8" localSheetId="64">#REF!</definedName>
    <definedName name="_num8" localSheetId="1">#REF!</definedName>
    <definedName name="_num8" localSheetId="2">#REF!</definedName>
    <definedName name="_num8">#REF!</definedName>
    <definedName name="_num9" localSheetId="18">#REF!</definedName>
    <definedName name="_num9" localSheetId="32">#REF!</definedName>
    <definedName name="_num9" localSheetId="40">#REF!</definedName>
    <definedName name="_num9" localSheetId="41">#REF!</definedName>
    <definedName name="_num9" localSheetId="43">#REF!</definedName>
    <definedName name="_num9" localSheetId="64">#REF!</definedName>
    <definedName name="_num9" localSheetId="1">#REF!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18">[11]Tablas!#REF!</definedName>
    <definedName name="_OCD1" localSheetId="1">[11]Tablas!#REF!</definedName>
    <definedName name="_OCD1">[11]Tablas!#REF!</definedName>
    <definedName name="_OCI1" localSheetId="18">[11]Tablas!#REF!</definedName>
    <definedName name="_OCI1" localSheetI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8" hidden="1">'[3]7422CW00'!#REF!</definedName>
    <definedName name="_Parse_Out" localSheetId="1" hidden="1">'[3]7422CW00'!#REF!</definedName>
    <definedName name="_Parse_Out" hidden="1">'[3]7422CW00'!#REF!</definedName>
    <definedName name="_PJ50" localSheetId="18">#REF!</definedName>
    <definedName name="_PJ50" localSheetId="32">#REF!</definedName>
    <definedName name="_PJ50" localSheetId="40">#REF!</definedName>
    <definedName name="_PJ50" localSheetId="41">#REF!</definedName>
    <definedName name="_PJ50" localSheetId="43">#REF!</definedName>
    <definedName name="_PJ50" localSheetId="64">#REF!</definedName>
    <definedName name="_PJ50" localSheetId="1">#REF!</definedName>
    <definedName name="_PJ50" localSheetId="2">#REF!</definedName>
    <definedName name="_PJ50">#REF!</definedName>
    <definedName name="_pj51" localSheetId="18">#REF!</definedName>
    <definedName name="_pj51" localSheetId="32">#REF!</definedName>
    <definedName name="_pj51" localSheetId="40">#REF!</definedName>
    <definedName name="_pj51" localSheetId="41">#REF!</definedName>
    <definedName name="_pj51" localSheetId="43">#REF!</definedName>
    <definedName name="_pj51" localSheetId="64">#REF!</definedName>
    <definedName name="_pj51" localSheetId="1">#REF!</definedName>
    <definedName name="_pj51" localSheetId="2">#REF!</definedName>
    <definedName name="_pj51">#REF!</definedName>
    <definedName name="_pr01" localSheetId="18">#REF!</definedName>
    <definedName name="_pr01" localSheetId="1">#REF!</definedName>
    <definedName name="_pr01">#REF!</definedName>
    <definedName name="_pr02" localSheetId="18">#REF!</definedName>
    <definedName name="_pr02" localSheetId="1">#REF!</definedName>
    <definedName name="_pr02">#REF!</definedName>
    <definedName name="_pr03" localSheetId="18">#REF!</definedName>
    <definedName name="_pr03" localSheetId="1">#REF!</definedName>
    <definedName name="_pr03">#REF!</definedName>
    <definedName name="_pr04" localSheetId="18">#REF!</definedName>
    <definedName name="_pr04" localSheetId="1">#REF!</definedName>
    <definedName name="_pr04">#REF!</definedName>
    <definedName name="_pr05" localSheetId="18">#REF!</definedName>
    <definedName name="_pr05" localSheetId="1">#REF!</definedName>
    <definedName name="_pr05">#REF!</definedName>
    <definedName name="_pr06" localSheetId="18">#REF!</definedName>
    <definedName name="_pr06" localSheetId="1">#REF!</definedName>
    <definedName name="_pr06">#REF!</definedName>
    <definedName name="_pr07" localSheetId="18">#REF!</definedName>
    <definedName name="_pr07" localSheetId="1">#REF!</definedName>
    <definedName name="_pr07">#REF!</definedName>
    <definedName name="_pr08" localSheetId="18">#REF!</definedName>
    <definedName name="_pr08" localSheetId="1">#REF!</definedName>
    <definedName name="_pr08">#REF!</definedName>
    <definedName name="_pr09" localSheetId="18">#REF!</definedName>
    <definedName name="_pr09" localSheetId="1">#REF!</definedName>
    <definedName name="_pr09">#REF!</definedName>
    <definedName name="_pr10" localSheetId="18">#REF!</definedName>
    <definedName name="_pr10" localSheetId="1">#REF!</definedName>
    <definedName name="_pr10">#REF!</definedName>
    <definedName name="_pr11" localSheetId="18">#REF!</definedName>
    <definedName name="_pr11" localSheetId="1">#REF!</definedName>
    <definedName name="_pr11">#REF!</definedName>
    <definedName name="_pr12" localSheetId="18">#REF!</definedName>
    <definedName name="_pr12" localSheetId="1">#REF!</definedName>
    <definedName name="_pr12">#REF!</definedName>
    <definedName name="_pr13" localSheetId="18">#REF!</definedName>
    <definedName name="_pr13" localSheetId="1">#REF!</definedName>
    <definedName name="_pr13">#REF!</definedName>
    <definedName name="_pr14" localSheetId="18">#REF!</definedName>
    <definedName name="_pr14" localSheetId="1">#REF!</definedName>
    <definedName name="_pr14">#REF!</definedName>
    <definedName name="_pr15" localSheetId="18">#REF!</definedName>
    <definedName name="_pr15" localSheetId="1">#REF!</definedName>
    <definedName name="_pr15">#REF!</definedName>
    <definedName name="_pr16" localSheetId="18">#REF!</definedName>
    <definedName name="_pr16" localSheetId="1">#REF!</definedName>
    <definedName name="_pr16">#REF!</definedName>
    <definedName name="_pr17" localSheetId="18">#REF!</definedName>
    <definedName name="_pr17" localSheetId="1">#REF!</definedName>
    <definedName name="_pr17">#REF!</definedName>
    <definedName name="_pr18" localSheetId="18">#REF!</definedName>
    <definedName name="_pr18" localSheetId="1">#REF!</definedName>
    <definedName name="_pr18">#REF!</definedName>
    <definedName name="_pr19" localSheetId="18">#REF!</definedName>
    <definedName name="_pr19" localSheetId="1">#REF!</definedName>
    <definedName name="_pr19">#REF!</definedName>
    <definedName name="_pr20" localSheetId="18">#REF!</definedName>
    <definedName name="_pr20" localSheetId="1">#REF!</definedName>
    <definedName name="_pr20">#REF!</definedName>
    <definedName name="_pr21" localSheetId="18">#REF!</definedName>
    <definedName name="_pr21" localSheetId="1">#REF!</definedName>
    <definedName name="_pr21">#REF!</definedName>
    <definedName name="_pr22" localSheetId="18">#REF!</definedName>
    <definedName name="_pr22" localSheetId="1">#REF!</definedName>
    <definedName name="_pr22">#REF!</definedName>
    <definedName name="_pr23" localSheetId="18">#REF!</definedName>
    <definedName name="_pr23" localSheetId="1">#REF!</definedName>
    <definedName name="_pr23">#REF!</definedName>
    <definedName name="_pr24" localSheetId="18">#REF!</definedName>
    <definedName name="_pr24" localSheetId="1">#REF!</definedName>
    <definedName name="_pr24">#REF!</definedName>
    <definedName name="_pr25" localSheetId="18">#REF!</definedName>
    <definedName name="_pr25" localSheetId="1">#REF!</definedName>
    <definedName name="_pr25">#REF!</definedName>
    <definedName name="_pr26" localSheetId="18">#REF!</definedName>
    <definedName name="_pr26" localSheetId="1">#REF!</definedName>
    <definedName name="_pr26">#REF!</definedName>
    <definedName name="_pr27" localSheetId="18">#REF!</definedName>
    <definedName name="_pr27" localSheetId="1">#REF!</definedName>
    <definedName name="_pr27">#REF!</definedName>
    <definedName name="_pr28" localSheetId="18">#REF!</definedName>
    <definedName name="_pr28" localSheetId="1">#REF!</definedName>
    <definedName name="_pr28">#REF!</definedName>
    <definedName name="_pr29" localSheetId="18">#REF!</definedName>
    <definedName name="_pr29" localSheetId="1">#REF!</definedName>
    <definedName name="_pr29">#REF!</definedName>
    <definedName name="_pr30" localSheetId="18">#REF!</definedName>
    <definedName name="_pr30" localSheetId="1">#REF!</definedName>
    <definedName name="_pr30">#REF!</definedName>
    <definedName name="_pr31" localSheetId="18">#REF!</definedName>
    <definedName name="_pr31" localSheetId="1">#REF!</definedName>
    <definedName name="_pr31">#REF!</definedName>
    <definedName name="_pr32" localSheetId="18">#REF!</definedName>
    <definedName name="_pr32" localSheetId="1">#REF!</definedName>
    <definedName name="_pr32">#REF!</definedName>
    <definedName name="_pr33" localSheetId="18">#REF!</definedName>
    <definedName name="_pr33" localSheetId="1">#REF!</definedName>
    <definedName name="_pr33">#REF!</definedName>
    <definedName name="_pr34" localSheetId="18">#REF!</definedName>
    <definedName name="_pr34" localSheetId="1">#REF!</definedName>
    <definedName name="_pr34">#REF!</definedName>
    <definedName name="_pr35" localSheetId="18">#REF!</definedName>
    <definedName name="_pr35" localSheetId="1">#REF!</definedName>
    <definedName name="_pr35">#REF!</definedName>
    <definedName name="_pr36" localSheetId="18">#REF!</definedName>
    <definedName name="_pr36" localSheetId="1">#REF!</definedName>
    <definedName name="_pr36">#REF!</definedName>
    <definedName name="_pr37" localSheetId="18">#REF!</definedName>
    <definedName name="_pr37" localSheetId="1">#REF!</definedName>
    <definedName name="_pr37">#REF!</definedName>
    <definedName name="_pr38" localSheetId="18">#REF!</definedName>
    <definedName name="_pr38" localSheetId="1">#REF!</definedName>
    <definedName name="_pr38">#REF!</definedName>
    <definedName name="_pr39" localSheetId="18">#REF!</definedName>
    <definedName name="_pr39" localSheetId="1">#REF!</definedName>
    <definedName name="_pr39">#REF!</definedName>
    <definedName name="_pr40" localSheetId="18">#REF!</definedName>
    <definedName name="_pr40" localSheetId="1">#REF!</definedName>
    <definedName name="_pr40">#REF!</definedName>
    <definedName name="_pr41" localSheetId="18">#REF!</definedName>
    <definedName name="_pr41" localSheetId="1">#REF!</definedName>
    <definedName name="_pr41">#REF!</definedName>
    <definedName name="_pr42" localSheetId="18">#REF!</definedName>
    <definedName name="_pr42" localSheetId="1">#REF!</definedName>
    <definedName name="_pr42">#REF!</definedName>
    <definedName name="_pr43" localSheetId="18">#REF!</definedName>
    <definedName name="_pr43" localSheetId="1">#REF!</definedName>
    <definedName name="_pr43">#REF!</definedName>
    <definedName name="_pr44" localSheetId="18">#REF!</definedName>
    <definedName name="_pr44" localSheetId="1">#REF!</definedName>
    <definedName name="_pr44">#REF!</definedName>
    <definedName name="_pr45" localSheetId="18">#REF!</definedName>
    <definedName name="_pr45" localSheetId="1">#REF!</definedName>
    <definedName name="_pr45">#REF!</definedName>
    <definedName name="_pr46" localSheetId="18">#REF!</definedName>
    <definedName name="_pr46" localSheetId="1">#REF!</definedName>
    <definedName name="_pr46">#REF!</definedName>
    <definedName name="_pr47" localSheetId="18">#REF!</definedName>
    <definedName name="_pr47" localSheetId="1">#REF!</definedName>
    <definedName name="_pr47">#REF!</definedName>
    <definedName name="_pr48" localSheetId="18">#REF!</definedName>
    <definedName name="_pr48" localSheetId="1">#REF!</definedName>
    <definedName name="_pr48">#REF!</definedName>
    <definedName name="_pr49" localSheetId="18">#REF!</definedName>
    <definedName name="_pr49" localSheetId="1">#REF!</definedName>
    <definedName name="_pr49">#REF!</definedName>
    <definedName name="_pr50" localSheetId="18">#REF!</definedName>
    <definedName name="_pr50" localSheetId="1">#REF!</definedName>
    <definedName name="_pr50">#REF!</definedName>
    <definedName name="_pr51" localSheetId="18">#REF!</definedName>
    <definedName name="_pr51" localSheetId="1">#REF!</definedName>
    <definedName name="_pr51">#REF!</definedName>
    <definedName name="_pr52" localSheetId="18">#REF!</definedName>
    <definedName name="_pr52" localSheetId="1">#REF!</definedName>
    <definedName name="_pr52">#REF!</definedName>
    <definedName name="_pr53" localSheetId="18">#REF!</definedName>
    <definedName name="_pr53" localSheetId="1">#REF!</definedName>
    <definedName name="_pr53">#REF!</definedName>
    <definedName name="_pr54" localSheetId="18">#REF!</definedName>
    <definedName name="_pr54" localSheetId="1">#REF!</definedName>
    <definedName name="_pr54">#REF!</definedName>
    <definedName name="_pr55" localSheetId="18">#REF!</definedName>
    <definedName name="_pr55" localSheetId="1">#REF!</definedName>
    <definedName name="_pr55">#REF!</definedName>
    <definedName name="_pr56" localSheetId="18">#REF!</definedName>
    <definedName name="_pr56" localSheetId="1">#REF!</definedName>
    <definedName name="_pr56">#REF!</definedName>
    <definedName name="_pr57" localSheetId="18">#REF!</definedName>
    <definedName name="_pr57" localSheetId="1">#REF!</definedName>
    <definedName name="_pr57">#REF!</definedName>
    <definedName name="_pr58" localSheetId="18">#REF!</definedName>
    <definedName name="_pr58" localSheetId="1">#REF!</definedName>
    <definedName name="_pr58">#REF!</definedName>
    <definedName name="_pr59" localSheetId="18">#REF!</definedName>
    <definedName name="_pr59" localSheetId="1">#REF!</definedName>
    <definedName name="_pr59">#REF!</definedName>
    <definedName name="_pr60" localSheetId="18">#REF!</definedName>
    <definedName name="_pr60" localSheetId="1">#REF!</definedName>
    <definedName name="_pr60">#REF!</definedName>
    <definedName name="_pr61" localSheetId="18">#REF!</definedName>
    <definedName name="_pr61" localSheetId="1">#REF!</definedName>
    <definedName name="_pr61">#REF!</definedName>
    <definedName name="_pr62" localSheetId="18">#REF!</definedName>
    <definedName name="_pr62" localSheetId="1">#REF!</definedName>
    <definedName name="_pr62">#REF!</definedName>
    <definedName name="_pr63" localSheetId="18">#REF!</definedName>
    <definedName name="_pr63" localSheetId="1">#REF!</definedName>
    <definedName name="_pr63">#REF!</definedName>
    <definedName name="_pr64" localSheetId="18">#REF!</definedName>
    <definedName name="_pr64" localSheetId="1">#REF!</definedName>
    <definedName name="_pr64">#REF!</definedName>
    <definedName name="_pr65" localSheetId="18">#REF!</definedName>
    <definedName name="_pr65" localSheetId="1">#REF!</definedName>
    <definedName name="_pr65">#REF!</definedName>
    <definedName name="_pr66" localSheetId="18">#REF!</definedName>
    <definedName name="_pr66" localSheetId="1">#REF!</definedName>
    <definedName name="_pr66">#REF!</definedName>
    <definedName name="_pr67" localSheetId="18">#REF!</definedName>
    <definedName name="_pr67" localSheetId="1">#REF!</definedName>
    <definedName name="_pr67">#REF!</definedName>
    <definedName name="_pr68" localSheetId="18">#REF!</definedName>
    <definedName name="_pr68" localSheetId="1">#REF!</definedName>
    <definedName name="_pr68">#REF!</definedName>
    <definedName name="_pr69" localSheetId="18">#REF!</definedName>
    <definedName name="_pr69" localSheetId="1">#REF!</definedName>
    <definedName name="_pr69">#REF!</definedName>
    <definedName name="_pr70" localSheetId="18">#REF!</definedName>
    <definedName name="_pr70" localSheetId="1">#REF!</definedName>
    <definedName name="_pr70">#REF!</definedName>
    <definedName name="_pr71" localSheetId="18">#REF!</definedName>
    <definedName name="_pr71" localSheetId="1">#REF!</definedName>
    <definedName name="_pr71">#REF!</definedName>
    <definedName name="_pr72" localSheetId="18">#REF!</definedName>
    <definedName name="_pr72" localSheetId="1">#REF!</definedName>
    <definedName name="_pr72">#REF!</definedName>
    <definedName name="_PRE1" localSheetId="18">#REF!</definedName>
    <definedName name="_PRE1" localSheetId="32">#REF!</definedName>
    <definedName name="_PRE1" localSheetId="40">#REF!</definedName>
    <definedName name="_PRE1" localSheetId="41">#REF!</definedName>
    <definedName name="_PRE1" localSheetId="43">#REF!</definedName>
    <definedName name="_PRE1" localSheetId="64">#REF!</definedName>
    <definedName name="_PRE1" localSheetId="1">#REF!</definedName>
    <definedName name="_PRE1" localSheetId="2">#REF!</definedName>
    <definedName name="_PRE1">#REF!</definedName>
    <definedName name="_PTO97" localSheetId="18">#REF!</definedName>
    <definedName name="_PTO97" localSheetId="1">#REF!</definedName>
    <definedName name="_PTO97">#REF!</definedName>
    <definedName name="_PW2" localSheetId="18">#REF!</definedName>
    <definedName name="_PW2" localSheetId="1">#REF!</definedName>
    <definedName name="_PW2">#REF!</definedName>
    <definedName name="_QTY1" localSheetId="18">#REF!</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18">#REF!</definedName>
    <definedName name="_ref4" localSheetId="32">#REF!</definedName>
    <definedName name="_ref4" localSheetId="40">#REF!</definedName>
    <definedName name="_ref4" localSheetId="41">#REF!</definedName>
    <definedName name="_ref4" localSheetId="43">#REF!</definedName>
    <definedName name="_ref4" localSheetId="64">#REF!</definedName>
    <definedName name="_ref4" localSheetId="1">#REF!</definedName>
    <definedName name="_ref4" localSheetId="2">#REF!</definedName>
    <definedName name="_ref4">#REF!</definedName>
    <definedName name="_RET1" localSheetId="18">'[3]7422CW00'!#REF!</definedName>
    <definedName name="_RET1" localSheetId="1">'[3]7422CW00'!#REF!</definedName>
    <definedName name="_RET1">'[3]7422CW00'!#REF!</definedName>
    <definedName name="_RET2" localSheetId="18">'[3]7422CW00'!#REF!</definedName>
    <definedName name="_RET2" localSheetId="1">'[3]7422CW00'!#REF!</definedName>
    <definedName name="_RET2">'[3]7422CW00'!#REF!</definedName>
    <definedName name="_RET3" localSheetId="18">'[3]7422CW00'!#REF!</definedName>
    <definedName name="_RET3" localSheetId="1">'[3]7422CW00'!#REF!</definedName>
    <definedName name="_RET3">'[3]7422CW00'!#REF!</definedName>
    <definedName name="_RET4" localSheetId="18">'[3]7422CW00'!#REF!</definedName>
    <definedName name="_RET4" localSheetId="1">'[3]7422CW00'!#REF!</definedName>
    <definedName name="_RET4">'[3]7422CW00'!#REF!</definedName>
    <definedName name="_RET5" localSheetId="18">'[3]7422CW00'!#REF!</definedName>
    <definedName name="_RET5" localSheetId="1">'[3]7422CW00'!#REF!</definedName>
    <definedName name="_RET5">'[3]7422CW00'!#REF!</definedName>
    <definedName name="_RET6" localSheetId="18">'[3]7422CW00'!#REF!</definedName>
    <definedName name="_RET6" localSheetId="1">'[3]7422CW00'!#REF!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18" hidden="1">#REF!</definedName>
    <definedName name="_Sort" localSheetId="32" hidden="1">#REF!</definedName>
    <definedName name="_Sort" localSheetId="40" hidden="1">#REF!</definedName>
    <definedName name="_Sort" localSheetId="41" hidden="1">#REF!</definedName>
    <definedName name="_Sort" localSheetId="43" hidden="1">#REF!</definedName>
    <definedName name="_Sort" localSheetId="64" hidden="1">#REF!</definedName>
    <definedName name="_Sort" localSheetId="1" hidden="1">#REF!</definedName>
    <definedName name="_Sort" localSheetId="2" hidden="1">#REF!</definedName>
    <definedName name="_Sort" hidden="1">#REF!</definedName>
    <definedName name="_srn001" localSheetId="18">#REF!</definedName>
    <definedName name="_srn001" localSheetId="32">#REF!</definedName>
    <definedName name="_srn001" localSheetId="40">#REF!</definedName>
    <definedName name="_srn001" localSheetId="41">#REF!</definedName>
    <definedName name="_srn001" localSheetId="43">#REF!</definedName>
    <definedName name="_srn001" localSheetId="64">#REF!</definedName>
    <definedName name="_srn001" localSheetId="1">#REF!</definedName>
    <definedName name="_srn001" localSheetId="2">#REF!</definedName>
    <definedName name="_srn001">#REF!</definedName>
    <definedName name="_SUM1" localSheetId="18">#REF!</definedName>
    <definedName name="_SUM1" localSheetId="1">#REF!</definedName>
    <definedName name="_SUM1">#REF!</definedName>
    <definedName name="_SUM2" localSheetId="18">#REF!</definedName>
    <definedName name="_SUM2" localSheetId="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18">#REF!</definedName>
    <definedName name="_tax1" localSheetId="1">#REF!</definedName>
    <definedName name="_tax1">#REF!</definedName>
    <definedName name="_tax2" localSheetId="18">#REF!</definedName>
    <definedName name="_tax2" localSheetId="1">#REF!</definedName>
    <definedName name="_tax2">#REF!</definedName>
    <definedName name="_tax3" localSheetId="18">#REF!</definedName>
    <definedName name="_tax3" localSheetId="1">#REF!</definedName>
    <definedName name="_tax3">#REF!</definedName>
    <definedName name="_tax4" localSheetId="18">#REF!</definedName>
    <definedName name="_tax4" localSheetId="1">#REF!</definedName>
    <definedName name="_tax4">#REF!</definedName>
    <definedName name="_tc1" localSheetId="18">#REF!</definedName>
    <definedName name="_tc1" localSheetId="1">#REF!</definedName>
    <definedName name="_tc1">#REF!</definedName>
    <definedName name="_tc2" localSheetId="18">#REF!</definedName>
    <definedName name="_tc2" localSheetId="1">#REF!</definedName>
    <definedName name="_tc2">#REF!</definedName>
    <definedName name="_tc3" localSheetId="18">#REF!</definedName>
    <definedName name="_tc3" localSheetId="1">#REF!</definedName>
    <definedName name="_tc3">#REF!</definedName>
    <definedName name="_TOP1" localSheetId="18">#REF!</definedName>
    <definedName name="_TOP1" localSheetId="1">#REF!</definedName>
    <definedName name="_TOP1">#REF!</definedName>
    <definedName name="_TOP10" localSheetId="18">#REF!</definedName>
    <definedName name="_TOP10" localSheetId="1">#REF!</definedName>
    <definedName name="_TOP10">#REF!</definedName>
    <definedName name="_TOP2" localSheetId="18">#REF!</definedName>
    <definedName name="_TOP2" localSheetId="1">#REF!</definedName>
    <definedName name="_TOP2">#REF!</definedName>
    <definedName name="_TOP3" localSheetId="18">#REF!</definedName>
    <definedName name="_TOP3" localSheetId="1">#REF!</definedName>
    <definedName name="_TOP3">#REF!</definedName>
    <definedName name="_TOP4" localSheetId="18">#REF!</definedName>
    <definedName name="_TOP4" localSheetId="1">#REF!</definedName>
    <definedName name="_TOP4">#REF!</definedName>
    <definedName name="_TOP5" localSheetId="18">#REF!</definedName>
    <definedName name="_TOP5" localSheetId="1">#REF!</definedName>
    <definedName name="_TOP5">#REF!</definedName>
    <definedName name="_TOP6" localSheetId="18">#REF!</definedName>
    <definedName name="_TOP6" localSheetId="1">#REF!</definedName>
    <definedName name="_TOP6">#REF!</definedName>
    <definedName name="_TOP7" localSheetId="18">#REF!</definedName>
    <definedName name="_TOP7" localSheetId="1">#REF!</definedName>
    <definedName name="_TOP7">#REF!</definedName>
    <definedName name="_TOP8" localSheetId="18">#REF!</definedName>
    <definedName name="_TOP8" localSheetId="1">#REF!</definedName>
    <definedName name="_TOP8">#REF!</definedName>
    <definedName name="_TOP9" localSheetId="18">#REF!</definedName>
    <definedName name="_TOP9" localSheetId="1">#REF!</definedName>
    <definedName name="_TOP9">#REF!</definedName>
    <definedName name="_TOT1" localSheetId="18">#REF!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18" hidden="1">[8]INST!#REF!</definedName>
    <definedName name="_unj1" localSheetId="1"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18">[11]Tablas!#REF!</definedName>
    <definedName name="_VEX1" localSheetId="1">[11]Tablas!#REF!</definedName>
    <definedName name="_VEX1">[11]Tablas!#REF!</definedName>
    <definedName name="_VFA1" localSheetId="18">[11]Tablas!#REF!</definedName>
    <definedName name="_VFA1" localSheetId="1">[11]Tablas!#REF!</definedName>
    <definedName name="_VFA1">[11]Tablas!#REF!</definedName>
    <definedName name="_vfv4" hidden="1">{"via1",#N/A,TRUE,"general";"via2",#N/A,TRUE,"general";"via3",#N/A,TRUE,"general"}</definedName>
    <definedName name="_VIT1" localSheetId="18">[11]Tablas!#REF!</definedName>
    <definedName name="_VIT1" localSheetId="1">[11]Tablas!#REF!</definedName>
    <definedName name="_VIT1">[11]Tablas!#REF!</definedName>
    <definedName name="_VPR1" localSheetId="18">[11]Tablas!#REF!</definedName>
    <definedName name="_VPR1" localSheetId="1">[11]Tablas!#REF!</definedName>
    <definedName name="_VPR1">[11]Tablas!#REF!</definedName>
    <definedName name="_VPR2" localSheetId="18">[12]Tablas!#REF!</definedName>
    <definedName name="_VPR2" localSheetId="1">[12]Tablas!#REF!</definedName>
    <definedName name="_VPR2">[12]Tablas!#REF!</definedName>
    <definedName name="_VRP1" localSheetId="18">[11]Tablas!#REF!</definedName>
    <definedName name="_VRP1" localSheetId="1">[11]Tablas!#REF!</definedName>
    <definedName name="_VRP1">[11]Tablas!#REF!</definedName>
    <definedName name="_VSM1" localSheetId="18">[11]Tablas!#REF!</definedName>
    <definedName name="_VSM1" localSheetId="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8">'[22]DUB-823'!#REF!</definedName>
    <definedName name="a" localSheetId="29">'[22]DUB-823'!#REF!</definedName>
    <definedName name="a" localSheetId="32">'[22]DUB-823'!#REF!</definedName>
    <definedName name="a" localSheetId="40">'[22]DUB-823'!#REF!</definedName>
    <definedName name="a" localSheetId="41">'[22]DUB-823'!#REF!</definedName>
    <definedName name="a" localSheetId="43">'[22]DUB-823'!#REF!</definedName>
    <definedName name="a" localSheetId="56">'[22]DUB-823'!#REF!</definedName>
    <definedName name="a" localSheetId="64">'[22]DUB-823'!#REF!</definedName>
    <definedName name="a" localSheetId="1">'[22]DUB-823'!#REF!</definedName>
    <definedName name="a" localSheetId="2">'[22]DUB-823'!#REF!</definedName>
    <definedName name="a">'[22]DUB-823'!#REF!</definedName>
    <definedName name="A_1" localSheetId="18">#REF!</definedName>
    <definedName name="A_1" localSheetId="1">#REF!</definedName>
    <definedName name="A_1">#REF!</definedName>
    <definedName name="A_impresión_IM" localSheetId="18">#REF!</definedName>
    <definedName name="A_impresión_IM" localSheetId="32">#REF!</definedName>
    <definedName name="A_impresión_IM" localSheetId="40">#REF!</definedName>
    <definedName name="A_impresión_IM" localSheetId="41">#REF!</definedName>
    <definedName name="A_impresión_IM" localSheetId="43">#REF!</definedName>
    <definedName name="A_impresión_IM" localSheetId="64">#REF!</definedName>
    <definedName name="A_impresión_IM" localSheetId="1">#REF!</definedName>
    <definedName name="A_impresión_IM" localSheetId="2">#REF!</definedName>
    <definedName name="A_impresión_IM">#REF!</definedName>
    <definedName name="A18A200" localSheetId="18">[23]ESPEC!#REF!</definedName>
    <definedName name="A18A200" localSheetId="1">[23]ESPEC!#REF!</definedName>
    <definedName name="A18A200">[23]ESPEC!#REF!</definedName>
    <definedName name="a2a" hidden="1">{"TAB1",#N/A,TRUE,"GENERAL";"TAB2",#N/A,TRUE,"GENERAL";"TAB3",#N/A,TRUE,"GENERAL";"TAB4",#N/A,TRUE,"GENERAL";"TAB5",#N/A,TRUE,"GENERAL"}</definedName>
    <definedName name="aa">[0]!ERR</definedName>
    <definedName name="AAA">[0]!ERR</definedName>
    <definedName name="aaaaaa">[24]otros!$C$5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18">#REF!</definedName>
    <definedName name="AB" localSheetId="1">#REF!</definedName>
    <definedName name="AB">#REF!</definedName>
    <definedName name="aba_1" localSheetId="18">#REF!</definedName>
    <definedName name="aba_1" localSheetId="1">#REF!</definedName>
    <definedName name="aba_1">#REF!</definedName>
    <definedName name="aba_2" localSheetId="18">#REF!</definedName>
    <definedName name="aba_2" localSheetId="1">#REF!</definedName>
    <definedName name="aba_2">#REF!</definedName>
    <definedName name="abc" localSheetId="18">#REF!</definedName>
    <definedName name="abc" localSheetId="32">#REF!</definedName>
    <definedName name="abc" localSheetId="40">#REF!</definedName>
    <definedName name="abc" localSheetId="41">#REF!</definedName>
    <definedName name="abc" localSheetId="43">#REF!</definedName>
    <definedName name="abc" localSheetId="64">#REF!</definedName>
    <definedName name="abc" localSheetId="1">#REF!</definedName>
    <definedName name="abc" localSheetId="2">#REF!</definedName>
    <definedName name="abc">#REF!</definedName>
    <definedName name="ABCD" localSheetId="18" hidden="1">#REF!</definedName>
    <definedName name="ABCD" localSheetId="1" hidden="1">#REF!</definedName>
    <definedName name="ABCD" hidden="1">#REF!</definedName>
    <definedName name="ABCDE" localSheetId="18" hidden="1">#REF!</definedName>
    <definedName name="ABCDE" localSheetId="1" hidden="1">#REF!</definedName>
    <definedName name="ABCDE" hidden="1">#REF!</definedName>
    <definedName name="ABG">[6]AASHTO!$A$2:$F$5</definedName>
    <definedName name="absc" localSheetId="18">[25]!absc</definedName>
    <definedName name="absc" localSheetId="32">[25]!absc</definedName>
    <definedName name="absc" localSheetId="40">[25]!absc</definedName>
    <definedName name="absc" localSheetId="41">[25]!absc</definedName>
    <definedName name="absc" localSheetId="43">[25]!absc</definedName>
    <definedName name="absc" localSheetId="64">[25]!absc</definedName>
    <definedName name="absc" localSheetId="1">[25]!absc</definedName>
    <definedName name="absc" localSheetId="2">[25]!absc</definedName>
    <definedName name="absc">[25]!absc</definedName>
    <definedName name="absc_" localSheetId="18">[26]!absc</definedName>
    <definedName name="absc_" localSheetId="32">[26]!absc</definedName>
    <definedName name="absc_" localSheetId="40">[26]!absc</definedName>
    <definedName name="absc_" localSheetId="41">[26]!absc</definedName>
    <definedName name="absc_" localSheetId="43">[26]!absc</definedName>
    <definedName name="absc_" localSheetId="64">[26]!absc</definedName>
    <definedName name="absc_" localSheetId="1">[26]!absc</definedName>
    <definedName name="absc_" localSheetId="2">[26]!absc</definedName>
    <definedName name="absc_">[26]!absc</definedName>
    <definedName name="absc_1" localSheetId="18">[26]!absc</definedName>
    <definedName name="absc_1" localSheetId="32">[26]!absc</definedName>
    <definedName name="absc_1" localSheetId="40">[26]!absc</definedName>
    <definedName name="absc_1" localSheetId="41">[26]!absc</definedName>
    <definedName name="absc_1" localSheetId="43">[26]!absc</definedName>
    <definedName name="absc_1" localSheetId="64">[26]!absc</definedName>
    <definedName name="absc_1" localSheetId="1">[26]!absc</definedName>
    <definedName name="absc_1" localSheetId="2">[26]!absc</definedName>
    <definedName name="absc_1">[26]!absc</definedName>
    <definedName name="absc1" localSheetId="18">[27]!absc</definedName>
    <definedName name="absc1" localSheetId="32">[27]!absc</definedName>
    <definedName name="absc1" localSheetId="40">[27]!absc</definedName>
    <definedName name="absc1" localSheetId="41">[27]!absc</definedName>
    <definedName name="absc1" localSheetId="43">[27]!absc</definedName>
    <definedName name="absc1" localSheetId="64">[27]!absc</definedName>
    <definedName name="absc1" localSheetId="1">[27]!absc</definedName>
    <definedName name="absc1" localSheetId="2">[27]!absc</definedName>
    <definedName name="absc1">[27]!absc</definedName>
    <definedName name="ac" localSheetId="18">#REF!</definedName>
    <definedName name="ac" localSheetId="1">#REF!</definedName>
    <definedName name="ac">#REF!</definedName>
    <definedName name="AccessDatabase" hidden="1">"C:\C-314\VOLUMENES\volfin4.mdb"</definedName>
    <definedName name="acpm">5000</definedName>
    <definedName name="ACT" localSheetId="18">#REF!</definedName>
    <definedName name="ACT" localSheetId="1">#REF!</definedName>
    <definedName name="ACT">#REF!</definedName>
    <definedName name="ACT_COMP" localSheetId="18">#REF!</definedName>
    <definedName name="ACT_COMP" localSheetId="1">#REF!</definedName>
    <definedName name="ACT_COMP">#REF!</definedName>
    <definedName name="ACT_COMP2" localSheetId="18">#REF!</definedName>
    <definedName name="ACT_COMP2" localSheetId="1">#REF!</definedName>
    <definedName name="ACT_COMP2">#REF!</definedName>
    <definedName name="ACT_CONT" localSheetId="18">#REF!</definedName>
    <definedName name="ACT_CONT" localSheetId="1">#REF!</definedName>
    <definedName name="ACT_CONT">#REF!</definedName>
    <definedName name="ACT_CONT2" localSheetId="18">#REF!</definedName>
    <definedName name="ACT_CONT2" localSheetId="1">#REF!</definedName>
    <definedName name="ACT_CONT2">#REF!</definedName>
    <definedName name="Actividades" localSheetId="18">#REF!</definedName>
    <definedName name="Actividades" localSheetId="1">#REF!</definedName>
    <definedName name="Actividades">#REF!</definedName>
    <definedName name="ACTV" localSheetId="18">#REF!</definedName>
    <definedName name="ACTV" localSheetId="1">#REF!</definedName>
    <definedName name="ACTV">#REF!</definedName>
    <definedName name="acumulado">'[28]Reservas de Petróleo'!$A$2,'[28]Reservas de Petróleo'!$A$1,'[28]Reservas de Petróleo'!$D$4,'[28]Reservas de Petróleo'!$E$1:$E$65536</definedName>
    <definedName name="ad" localSheetId="18">#REF!</definedName>
    <definedName name="ad" localSheetId="32">#REF!</definedName>
    <definedName name="ad" localSheetId="40">#REF!</definedName>
    <definedName name="ad" localSheetId="41">#REF!</definedName>
    <definedName name="ad" localSheetId="43">#REF!</definedName>
    <definedName name="ad" localSheetId="64">#REF!</definedName>
    <definedName name="ad" localSheetId="1">#REF!</definedName>
    <definedName name="ad" localSheetId="2">#REF!</definedName>
    <definedName name="ad">#REF!</definedName>
    <definedName name="ADFGSDB" hidden="1">{"via1",#N/A,TRUE,"general";"via2",#N/A,TRUE,"general";"via3",#N/A,TRUE,"general"}</definedName>
    <definedName name="ADM">[24]otros!$C$2</definedName>
    <definedName name="administrador">[29]Informacion!$B$15</definedName>
    <definedName name="ADMON" localSheetId="18">#REF!</definedName>
    <definedName name="ADMON" localSheetId="1">#REF!</definedName>
    <definedName name="ADMON">#REF!</definedName>
    <definedName name="ADMON1" localSheetId="18">#REF!</definedName>
    <definedName name="ADMON1" localSheetId="1">#REF!</definedName>
    <definedName name="ADMON1">#REF!</definedName>
    <definedName name="adoc1" localSheetId="18">[27]!absc</definedName>
    <definedName name="adoc1" localSheetId="32">[27]!absc</definedName>
    <definedName name="adoc1" localSheetId="40">[27]!absc</definedName>
    <definedName name="adoc1" localSheetId="41">[27]!absc</definedName>
    <definedName name="adoc1" localSheetId="43">[27]!absc</definedName>
    <definedName name="adoc1" localSheetId="64">[27]!absc</definedName>
    <definedName name="adoc1" localSheetId="1">[27]!absc</definedName>
    <definedName name="adoc1" localSheetId="2">[27]!absc</definedName>
    <definedName name="adoc1">[27]!absc</definedName>
    <definedName name="ADOC125" localSheetId="18">[30]!absc</definedName>
    <definedName name="ADOC125" localSheetId="32">[30]!absc</definedName>
    <definedName name="ADOC125" localSheetId="40">[30]!absc</definedName>
    <definedName name="ADOC125" localSheetId="41">[30]!absc</definedName>
    <definedName name="ADOC125" localSheetId="43">[30]!absc</definedName>
    <definedName name="ADOC125" localSheetId="64">[30]!absc</definedName>
    <definedName name="ADOC125" localSheetId="1">[30]!absc</definedName>
    <definedName name="ADOC125" localSheetId="2">[30]!absc</definedName>
    <definedName name="ADOC125">[30]!absc</definedName>
    <definedName name="adoq" localSheetId="18">[31]!absc</definedName>
    <definedName name="adoq" localSheetId="32">[31]!absc</definedName>
    <definedName name="adoq" localSheetId="40">[31]!absc</definedName>
    <definedName name="adoq" localSheetId="41">[31]!absc</definedName>
    <definedName name="adoq" localSheetId="43">[31]!absc</definedName>
    <definedName name="adoq" localSheetId="64">[31]!absc</definedName>
    <definedName name="adoq" localSheetId="1">[31]!absc</definedName>
    <definedName name="adoq" localSheetId="2">[31]!absc</definedName>
    <definedName name="adoq">[31]!absc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18">#REF!</definedName>
    <definedName name="aida" localSheetId="1">#REF!</definedName>
    <definedName name="aida">#REF!</definedName>
    <definedName name="aida1" localSheetId="18">#REF!</definedName>
    <definedName name="aida1" localSheetId="1">#REF!</definedName>
    <definedName name="aida1">#REF!</definedName>
    <definedName name="AIU" localSheetId="18">#REF!</definedName>
    <definedName name="AIU" localSheetId="32">#REF!</definedName>
    <definedName name="AIU" localSheetId="40">#REF!</definedName>
    <definedName name="AIU" localSheetId="41">#REF!</definedName>
    <definedName name="AIU" localSheetId="43">#REF!</definedName>
    <definedName name="AIU" localSheetId="64">#REF!</definedName>
    <definedName name="AIU" localSheetId="1">#REF!</definedName>
    <definedName name="AIU" localSheetId="2">#REF!</definedName>
    <definedName name="AIU">#REF!</definedName>
    <definedName name="AjustDelAIU" localSheetId="18">#REF!</definedName>
    <definedName name="AjustDelAIU" localSheetId="32">#REF!</definedName>
    <definedName name="AjustDelAIU" localSheetId="40">#REF!</definedName>
    <definedName name="AjustDelAIU" localSheetId="41">#REF!</definedName>
    <definedName name="AjustDelAIU" localSheetId="43">#REF!</definedName>
    <definedName name="AjustDelAIU" localSheetId="64">#REF!</definedName>
    <definedName name="AjustDelAIU" localSheetId="1">#REF!</definedName>
    <definedName name="AjustDelAIU" localSheetId="2">#REF!</definedName>
    <definedName name="AjustDelAIU">#REF!</definedName>
    <definedName name="alam" localSheetId="18">#REF!</definedName>
    <definedName name="alam" localSheetId="1">#REF!</definedName>
    <definedName name="alam">#REF!</definedName>
    <definedName name="alc" localSheetId="18">[32]!absc</definedName>
    <definedName name="alc" localSheetId="32">[32]!absc</definedName>
    <definedName name="alc" localSheetId="40">[32]!absc</definedName>
    <definedName name="alc" localSheetId="41">[32]!absc</definedName>
    <definedName name="alc" localSheetId="43">[32]!absc</definedName>
    <definedName name="alc" localSheetId="64">[32]!absc</definedName>
    <definedName name="alc" localSheetId="1">[32]!absc</definedName>
    <definedName name="alc" localSheetId="2">[32]!absc</definedName>
    <definedName name="alc">[32]!absc</definedName>
    <definedName name="AlcanceProyecto" localSheetId="18">#REF!</definedName>
    <definedName name="AlcanceProyecto" localSheetId="1">#REF!</definedName>
    <definedName name="AlcanceProyecto">#REF!</definedName>
    <definedName name="ALM" localSheetId="18">#REF!</definedName>
    <definedName name="ALM" localSheetId="1">#REF!</definedName>
    <definedName name="ALM">#REF!</definedName>
    <definedName name="ALTO">[33]Tabla!$A$1:$A$5</definedName>
    <definedName name="Amount" localSheetId="18">#REF!</definedName>
    <definedName name="Amount" localSheetId="1">#REF!</definedName>
    <definedName name="Amount">#REF!</definedName>
    <definedName name="ANCLAJE" localSheetId="18">'[34]MC SF GAVIONES'!#REF!</definedName>
    <definedName name="ANCLAJE" localSheetId="32">'[34]MC SF GAVIONES'!#REF!</definedName>
    <definedName name="ANCLAJE" localSheetId="40">'[34]MC SF GAVIONES'!#REF!</definedName>
    <definedName name="ANCLAJE" localSheetId="41">'[34]MC SF GAVIONES'!#REF!</definedName>
    <definedName name="ANCLAJE" localSheetId="43">'[34]MC SF GAVIONES'!#REF!</definedName>
    <definedName name="ANCLAJE" localSheetId="64">'[34]MC SF GAVIONES'!#REF!</definedName>
    <definedName name="ANCLAJE" localSheetId="1">'[34]MC SF GAVIONES'!#REF!</definedName>
    <definedName name="ANCLAJE" localSheetId="2">'[34]MC SF GAVIONES'!#REF!</definedName>
    <definedName name="ANCLAJE">'[34]MC SF GAVIONES'!#REF!</definedName>
    <definedName name="AND" localSheetId="18">#REF!</definedName>
    <definedName name="AND" localSheetId="1">#REF!</definedName>
    <definedName name="AND">#REF!</definedName>
    <definedName name="anex7" localSheetId="18">#REF!</definedName>
    <definedName name="anex7" localSheetId="1">#REF!</definedName>
    <definedName name="anex7">#REF!</definedName>
    <definedName name="anex8" localSheetId="18">#REF!</definedName>
    <definedName name="anex8" localSheetId="1">#REF!</definedName>
    <definedName name="anex8">#REF!</definedName>
    <definedName name="anexo1" localSheetId="18">#REF!</definedName>
    <definedName name="anexo1" localSheetId="1">#REF!</definedName>
    <definedName name="anexo1">#REF!</definedName>
    <definedName name="anexo10" localSheetId="18">#REF!</definedName>
    <definedName name="anexo10" localSheetId="1">#REF!</definedName>
    <definedName name="anexo10">#REF!</definedName>
    <definedName name="anexo11" localSheetId="18">#REF!</definedName>
    <definedName name="anexo11" localSheetId="1">#REF!</definedName>
    <definedName name="anexo11">#REF!</definedName>
    <definedName name="anexo12" localSheetId="18">#REF!</definedName>
    <definedName name="anexo12" localSheetId="1">#REF!</definedName>
    <definedName name="anexo12">#REF!</definedName>
    <definedName name="anexo13" localSheetId="18">#REF!</definedName>
    <definedName name="anexo13" localSheetId="1">#REF!</definedName>
    <definedName name="anexo13">#REF!</definedName>
    <definedName name="anexo14" localSheetId="18">#REF!</definedName>
    <definedName name="anexo14" localSheetId="1">#REF!</definedName>
    <definedName name="anexo14">#REF!</definedName>
    <definedName name="anexo15" localSheetId="18">#REF!</definedName>
    <definedName name="anexo15" localSheetId="1">#REF!</definedName>
    <definedName name="anexo15">#REF!</definedName>
    <definedName name="anexo2" localSheetId="18">#REF!</definedName>
    <definedName name="anexo2" localSheetId="1">#REF!</definedName>
    <definedName name="anexo2">#REF!</definedName>
    <definedName name="anexo3" localSheetId="18">#REF!</definedName>
    <definedName name="anexo3" localSheetId="1">#REF!</definedName>
    <definedName name="anexo3">#REF!</definedName>
    <definedName name="anexo4" localSheetId="18">#REF!</definedName>
    <definedName name="anexo4" localSheetId="1">#REF!</definedName>
    <definedName name="anexo4">#REF!</definedName>
    <definedName name="anexo5" localSheetId="18">#REF!</definedName>
    <definedName name="anexo5" localSheetId="1">#REF!</definedName>
    <definedName name="anexo5">#REF!</definedName>
    <definedName name="anexo6" localSheetId="18">#REF!</definedName>
    <definedName name="anexo6" localSheetId="1">#REF!</definedName>
    <definedName name="anexo6">#REF!</definedName>
    <definedName name="anexo7" localSheetId="18">[35]COMPARATIVO!#REF!</definedName>
    <definedName name="anexo7" localSheetId="1">[35]COMPARATIVO!#REF!</definedName>
    <definedName name="anexo7">[35]COMPARATIVO!#REF!</definedName>
    <definedName name="anexo8" localSheetId="18">#REF!</definedName>
    <definedName name="anexo8" localSheetId="1">#REF!</definedName>
    <definedName name="anexo8">#REF!</definedName>
    <definedName name="anexo9" localSheetId="18">#REF!</definedName>
    <definedName name="anexo9" localSheetId="1">#REF!</definedName>
    <definedName name="anexo9">#REF!</definedName>
    <definedName name="anexů7" localSheetId="18">#REF!</definedName>
    <definedName name="anexů7" localSheetId="1">#REF!</definedName>
    <definedName name="anexů7">#REF!</definedName>
    <definedName name="Antic">[36]BASES!$B$33</definedName>
    <definedName name="ANTICIPO">[37]BASES!$B$33</definedName>
    <definedName name="AÑO">[24]PRESUPUESTO!$D$13</definedName>
    <definedName name="AÑOWUIE">'[38]Res-Accide-10'!$R$2:$R$7</definedName>
    <definedName name="apaiy" localSheetId="18">#REF!</definedName>
    <definedName name="apaiy" localSheetId="1">#REF!</definedName>
    <definedName name="apaiy">#REF!</definedName>
    <definedName name="APELLIDOS" localSheetId="18">#REF!</definedName>
    <definedName name="APELLIDOS" localSheetId="1">#REF!</definedName>
    <definedName name="APELLIDOS">#REF!</definedName>
    <definedName name="API" localSheetId="18">#REF!</definedName>
    <definedName name="API" localSheetId="1">#REF!</definedName>
    <definedName name="API">#REF!</definedName>
    <definedName name="APU" localSheetId="18">[39]!absc</definedName>
    <definedName name="APU" localSheetId="32">[39]!absc</definedName>
    <definedName name="APU" localSheetId="40">[39]!absc</definedName>
    <definedName name="APU" localSheetId="41">[39]!absc</definedName>
    <definedName name="APU" localSheetId="43">[39]!absc</definedName>
    <definedName name="APU" localSheetId="64">[39]!absc</definedName>
    <definedName name="APU" localSheetId="1">[39]!absc</definedName>
    <definedName name="APU" localSheetId="2">[39]!absc</definedName>
    <definedName name="APU">[39]!absc</definedName>
    <definedName name="APU_directos" localSheetId="18">#REF!</definedName>
    <definedName name="APU_directos" localSheetId="32">#REF!</definedName>
    <definedName name="APU_directos" localSheetId="40">#REF!</definedName>
    <definedName name="APU_directos" localSheetId="41">#REF!</definedName>
    <definedName name="APU_directos" localSheetId="43">#REF!</definedName>
    <definedName name="APU_directos" localSheetId="64">#REF!</definedName>
    <definedName name="APU_directos" localSheetId="1">#REF!</definedName>
    <definedName name="APU_directos" localSheetId="2">#REF!</definedName>
    <definedName name="APU_directos">#REF!</definedName>
    <definedName name="APU221.1" localSheetId="18">#REF!</definedName>
    <definedName name="APU221.1" localSheetId="32">#REF!</definedName>
    <definedName name="APU221.1" localSheetId="40">#REF!</definedName>
    <definedName name="APU221.1" localSheetId="41">#REF!</definedName>
    <definedName name="APU221.1" localSheetId="43">#REF!</definedName>
    <definedName name="APU221.1" localSheetId="64">#REF!</definedName>
    <definedName name="APU221.1" localSheetId="1">#REF!</definedName>
    <definedName name="APU221.1" localSheetId="2">#REF!</definedName>
    <definedName name="APU221.1">#REF!</definedName>
    <definedName name="APU221.2" localSheetId="18">#REF!</definedName>
    <definedName name="APU221.2" localSheetId="32">#REF!</definedName>
    <definedName name="APU221.2" localSheetId="40">#REF!</definedName>
    <definedName name="APU221.2" localSheetId="41">#REF!</definedName>
    <definedName name="APU221.2" localSheetId="43">#REF!</definedName>
    <definedName name="APU221.2" localSheetId="64">#REF!</definedName>
    <definedName name="APU221.2" localSheetId="1">#REF!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18">#REF!</definedName>
    <definedName name="AQW" localSheetId="1">#REF!</definedName>
    <definedName name="AQW">#REF!</definedName>
    <definedName name="ARANCEL" localSheetId="18">#REF!</definedName>
    <definedName name="ARANCEL" localSheetId="1">#REF!</definedName>
    <definedName name="ARANCEL">#REF!</definedName>
    <definedName name="AREA" localSheetId="18">#REF!</definedName>
    <definedName name="AREA" localSheetId="1">#REF!</definedName>
    <definedName name="AREA">#REF!</definedName>
    <definedName name="_xlnm.Extract" localSheetId="18">#REF!</definedName>
    <definedName name="_xlnm.Extract" localSheetId="1">#REF!</definedName>
    <definedName name="_xlnm.Extract">#REF!</definedName>
    <definedName name="_xlnm.Print_Area" localSheetId="18">#REF!</definedName>
    <definedName name="_xlnm.Print_Area" localSheetId="23">'351.10'!$A$1:$N$102</definedName>
    <definedName name="_xlnm.Print_Area" localSheetId="31">'450.2.1P'!$A$1:$N$102</definedName>
    <definedName name="_xlnm.Print_Area" localSheetId="32">#REF!</definedName>
    <definedName name="_xlnm.Print_Area" localSheetId="55">'5p.'!#REF!</definedName>
    <definedName name="_xlnm.Print_Area" localSheetId="40">#REF!</definedName>
    <definedName name="_xlnm.Print_Area" localSheetId="41">#REF!</definedName>
    <definedName name="_xlnm.Print_Area" localSheetId="43">#REF!</definedName>
    <definedName name="_xlnm.Print_Area" localSheetId="64">#REF!</definedName>
    <definedName name="_xlnm.Print_Area" localSheetId="10">'Acarreos Tramo 2'!$A$1:$Y$81</definedName>
    <definedName name="_xlnm.Print_Area" localSheetId="4">'Acarreos Tramo 2 Fase I'!$A$1:$Y$81</definedName>
    <definedName name="_xlnm.Print_Area" localSheetId="6">'Acarreos Tramo 2 Fase II'!$A$1:$Y$111</definedName>
    <definedName name="_xlnm.Print_Area" localSheetId="11">'Acarreos Tramo 7'!$A$1:$AI$93</definedName>
    <definedName name="_xlnm.Print_Area" localSheetId="5">'Acarreos Tramo 7 Fase I'!$A$1:$AI$93</definedName>
    <definedName name="_xlnm.Print_Area" localSheetId="7">'Acarreos Tramo 7 Fase II'!$A$1:$AI$137</definedName>
    <definedName name="_xlnm.Print_Area" localSheetId="3">'CANTIDADES Fase II todo'!$A$1:$DB$191</definedName>
    <definedName name="_xlnm.Print_Area" localSheetId="8">'CANTIDADES TOTALIZADAS'!$B$1:$CY$183</definedName>
    <definedName name="_xlnm.Print_Area" localSheetId="9">'OBRAS PUNTUALES TRANSVERSAL'!$B$1:$J$153</definedName>
    <definedName name="_xlnm.Print_Area" localSheetId="1">#REF!</definedName>
    <definedName name="_xlnm.Print_Area" localSheetId="2">'PRESUPUESTO ACUMULADO'!$A$1:$AO$255</definedName>
    <definedName name="_xlnm.Print_Area" localSheetId="0">'PRESUPUESTO OFICIAL'!$A$1:$L$97</definedName>
    <definedName name="_xlnm.Print_Area" localSheetId="13">'RESUMEN PRESUPUESTO'!$B$2:$C$18</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18">#REF!</definedName>
    <definedName name="Areatotal" localSheetId="1">#REF!</definedName>
    <definedName name="Areatotal">#REF!</definedName>
    <definedName name="Aref" localSheetId="18">#REF!</definedName>
    <definedName name="Aref" localSheetId="1">#REF!</definedName>
    <definedName name="Aref">#REF!</definedName>
    <definedName name="armuve">[0]!ERR</definedName>
    <definedName name="ARP" localSheetId="18">#REF!</definedName>
    <definedName name="ARP" localSheetId="1">#REF!</definedName>
    <definedName name="ARP">#REF!</definedName>
    <definedName name="ARS" localSheetId="18">#REF!</definedName>
    <definedName name="ARS" localSheetId="1">#REF!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8">MODULO10.auto_abrir</definedName>
    <definedName name="_xlnm.Auto_Open" localSheetId="1">MODULO10.auto_abrir</definedName>
    <definedName name="_xlnm.Auto_Open">MODULO10.auto_abrir</definedName>
    <definedName name="auto1" localSheetId="18">#REF!</definedName>
    <definedName name="auto1" localSheetId="32">#REF!</definedName>
    <definedName name="auto1" localSheetId="40">#REF!</definedName>
    <definedName name="auto1" localSheetId="41">#REF!</definedName>
    <definedName name="auto1" localSheetId="43">#REF!</definedName>
    <definedName name="auto1" localSheetId="64">#REF!</definedName>
    <definedName name="auto1" localSheetId="1">#REF!</definedName>
    <definedName name="auto1" localSheetId="2">#REF!</definedName>
    <definedName name="auto1">#REF!</definedName>
    <definedName name="auto123" localSheetId="18">#REF!</definedName>
    <definedName name="auto123" localSheetId="32">#REF!</definedName>
    <definedName name="auto123" localSheetId="40">#REF!</definedName>
    <definedName name="auto123" localSheetId="41">#REF!</definedName>
    <definedName name="auto123" localSheetId="43">#REF!</definedName>
    <definedName name="auto123" localSheetId="64">#REF!</definedName>
    <definedName name="auto123" localSheetId="1">#REF!</definedName>
    <definedName name="auto123" localSheetId="2">#REF!</definedName>
    <definedName name="auto123">#REF!</definedName>
    <definedName name="auto2" localSheetId="18">#REF!</definedName>
    <definedName name="auto2" localSheetId="32">#REF!</definedName>
    <definedName name="auto2" localSheetId="40">#REF!</definedName>
    <definedName name="auto2" localSheetId="41">#REF!</definedName>
    <definedName name="auto2" localSheetId="43">#REF!</definedName>
    <definedName name="auto2" localSheetId="64">#REF!</definedName>
    <definedName name="auto2" localSheetId="1">#REF!</definedName>
    <definedName name="auto2" localSheetId="2">#REF!</definedName>
    <definedName name="auto2">#REF!</definedName>
    <definedName name="AUTOMOTOR" localSheetId="18">#REF!</definedName>
    <definedName name="AUTOMOTOR" localSheetId="1">#REF!</definedName>
    <definedName name="AUTOMOTOR">#REF!</definedName>
    <definedName name="AUTOMOTOR1" localSheetId="18">#REF!</definedName>
    <definedName name="AUTOMOTOR1" localSheetId="1">#REF!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18">#REF!,#REF!,#REF!,#REF!,#REF!,#REF!,#REF!,#REF!,#REF!,#REF!,#REF!,#REF!,#REF!,#REF!,#REF!,#REF!,#REF!,#REF!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18">#REF!,#REF!,#REF!,#REF!,#REF!,#REF!,#REF!,#REF!,#REF!,#REF!,#REF!,#REF!,#REF!,#REF!,#REF!,#REF!,#REF!,#REF!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8">#REF!</definedName>
    <definedName name="AW" localSheetId="32">#REF!</definedName>
    <definedName name="AW" localSheetId="40">#REF!</definedName>
    <definedName name="AW" localSheetId="41">#REF!</definedName>
    <definedName name="AW" localSheetId="43">#REF!</definedName>
    <definedName name="AW" localSheetId="64">#REF!</definedName>
    <definedName name="AW" localSheetId="1">#REF!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 localSheetId="18">#REF!</definedName>
    <definedName name="bASE" localSheetId="1">#REF!</definedName>
    <definedName name="bASE">#REF!</definedName>
    <definedName name="Base_datos_IM" localSheetId="18">#REF!</definedName>
    <definedName name="Base_datos_IM" localSheetId="1">#REF!</definedName>
    <definedName name="Base_datos_IM">#REF!</definedName>
    <definedName name="base1" localSheetId="18">#REF!</definedName>
    <definedName name="base1" localSheetId="1">#REF!</definedName>
    <definedName name="base1">#REF!</definedName>
    <definedName name="base2" localSheetId="18">#REF!</definedName>
    <definedName name="base2" localSheetId="1">#REF!</definedName>
    <definedName name="base2">#REF!</definedName>
    <definedName name="basedatos">[43]Hoja1!$A$4:$BZ$55</definedName>
    <definedName name="_xlnm.Database" localSheetId="18">#REF!</definedName>
    <definedName name="_xlnm.Database" localSheetId="32">#REF!</definedName>
    <definedName name="_xlnm.Database" localSheetId="40">#REF!</definedName>
    <definedName name="_xlnm.Database" localSheetId="41">#REF!</definedName>
    <definedName name="_xlnm.Database" localSheetId="43">#REF!</definedName>
    <definedName name="_xlnm.Database" localSheetId="64">#REF!</definedName>
    <definedName name="_xlnm.Database" localSheetId="1">#REF!</definedName>
    <definedName name="_xlnm.Database" localSheetId="2">#REF!</definedName>
    <definedName name="_xlnm.Database">#REF!</definedName>
    <definedName name="BaseDeDatos1" localSheetId="18">#REF!</definedName>
    <definedName name="BaseDeDatos1" localSheetId="1">#REF!</definedName>
    <definedName name="BaseDeDatos1">#REF!</definedName>
    <definedName name="basep">[44]PRESUPUESTAL!$A$4:$P$190</definedName>
    <definedName name="Basica_Centro_costo_2001" localSheetId="18">#REF!</definedName>
    <definedName name="Basica_Centro_costo_2001" localSheetId="1">#REF!</definedName>
    <definedName name="Basica_Centro_costo_2001">#REF!</definedName>
    <definedName name="Basica_Facturacion_2001" localSheetId="18">#REF!</definedName>
    <definedName name="Basica_Facturacion_2001" localSheetId="1">#REF!</definedName>
    <definedName name="Basica_Facturacion_2001">#REF!</definedName>
    <definedName name="Basica_Reserva_2001" localSheetId="18">#REF!</definedName>
    <definedName name="Basica_Reserva_2001" localSheetId="1">#REF!</definedName>
    <definedName name="Basica_Reserva_2001">#REF!</definedName>
    <definedName name="Básico" localSheetId="18">#REF!</definedName>
    <definedName name="Básico" localSheetId="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18">#REF!</definedName>
    <definedName name="BC" localSheetId="1">#REF!</definedName>
    <definedName name="BC">#REF!</definedName>
    <definedName name="BCXBDFG" hidden="1">{"TAB1",#N/A,TRUE,"GENERAL";"TAB2",#N/A,TRUE,"GENERAL";"TAB3",#N/A,TRUE,"GENERAL";"TAB4",#N/A,TRUE,"GENERAL";"TAB5",#N/A,TRUE,"GENERAL"}</definedName>
    <definedName name="BDD" localSheetId="18">#REF!</definedName>
    <definedName name="BDD" localSheetId="1">#REF!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18">#REF!</definedName>
    <definedName name="Beg_Bal" localSheetId="1">#REF!</definedName>
    <definedName name="Beg_Bal">#REF!</definedName>
    <definedName name="BENEF.UNIT." localSheetId="18">#REF!</definedName>
    <definedName name="BENEF.UNIT." localSheetId="1">#REF!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8">#REF!</definedName>
    <definedName name="BGT" localSheetId="1">#REF!</definedName>
    <definedName name="BGT">#REF!</definedName>
    <definedName name="bgvfcdx" hidden="1">{"via1",#N/A,TRUE,"general";"via2",#N/A,TRUE,"general";"via3",#N/A,TRUE,"general"}</definedName>
    <definedName name="BHT_F" localSheetId="18">#REF!</definedName>
    <definedName name="BHT_F" localSheetId="1">#REF!</definedName>
    <definedName name="BHT_F">#REF!</definedName>
    <definedName name="bi" localSheetId="18">#REF!</definedName>
    <definedName name="bi" localSheetId="1">#REF!</definedName>
    <definedName name="bi">#REF!</definedName>
    <definedName name="blActividadesDiarias" localSheetId="18">#REF!</definedName>
    <definedName name="blActividadesDiarias" localSheetId="1">#REF!</definedName>
    <definedName name="blActividadesDiarias">#REF!</definedName>
    <definedName name="blCantidades" localSheetId="18">#REF!</definedName>
    <definedName name="blCantidades" localSheetId="1">#REF!</definedName>
    <definedName name="blCantidades">#REF!</definedName>
    <definedName name="blCantidades1" localSheetId="18">#REF!</definedName>
    <definedName name="blCantidades1" localSheetId="1">#REF!</definedName>
    <definedName name="blCantidades1">#REF!</definedName>
    <definedName name="blCantidades2" localSheetId="18">#REF!</definedName>
    <definedName name="blCantidades2" localSheetId="1">#REF!</definedName>
    <definedName name="blCantidades2">#REF!</definedName>
    <definedName name="blComentarioInf1" localSheetId="18">#REF!</definedName>
    <definedName name="blComentarioInf1" localSheetId="1">#REF!</definedName>
    <definedName name="blComentarioInf1">#REF!</definedName>
    <definedName name="blComentarioInf2" localSheetId="18">#REF!</definedName>
    <definedName name="blComentarioInf2" localSheetId="1">#REF!</definedName>
    <definedName name="blComentarioInf2">#REF!</definedName>
    <definedName name="blEjecutado" localSheetId="18">'[45]Ejecutado%'!#REF!</definedName>
    <definedName name="blEjecutado" localSheetId="1">'[45]Ejecutado%'!#REF!</definedName>
    <definedName name="blEjecutado">'[45]Ejecutado%'!#REF!</definedName>
    <definedName name="blEjecutadoPorcen">'[45]Ejecutado$'!$D$1:$CE$45</definedName>
    <definedName name="blEqCantiInf1" localSheetId="18">#REF!</definedName>
    <definedName name="blEqCantiInf1" localSheetId="1">#REF!</definedName>
    <definedName name="blEqCantiInf1">#REF!</definedName>
    <definedName name="blEqCantiInf2" localSheetId="18">#REF!</definedName>
    <definedName name="blEqCantiInf2" localSheetId="1">#REF!</definedName>
    <definedName name="blEqCantiInf2">#REF!</definedName>
    <definedName name="blEqClaseInf1" localSheetId="18">#REF!</definedName>
    <definedName name="blEqClaseInf1" localSheetId="1">#REF!</definedName>
    <definedName name="blEqClaseInf1">#REF!</definedName>
    <definedName name="blEqClaseInf2" localSheetId="18">#REF!</definedName>
    <definedName name="blEqClaseInf2" localSheetId="1">#REF!</definedName>
    <definedName name="blEqClaseInf2">#REF!</definedName>
    <definedName name="blEqTiemiInf1" localSheetId="18">#REF!</definedName>
    <definedName name="blEqTiemiInf1" localSheetId="1">#REF!</definedName>
    <definedName name="blEqTiemiInf1">#REF!</definedName>
    <definedName name="blEqTiemiInf2" localSheetId="18">#REF!</definedName>
    <definedName name="blEqTiemiInf2" localSheetId="1">#REF!</definedName>
    <definedName name="blEqTiemiInf2">#REF!</definedName>
    <definedName name="blFechaInforme" localSheetId="18">#REF!</definedName>
    <definedName name="blFechaInforme" localSheetId="1">#REF!</definedName>
    <definedName name="blFechaInforme">#REF!</definedName>
    <definedName name="blFechaInicio" localSheetId="18">#REF!</definedName>
    <definedName name="blFechaInicio" localSheetId="1">#REF!</definedName>
    <definedName name="blFechaInicio">#REF!</definedName>
    <definedName name="blFisico" localSheetId="18">#REF!</definedName>
    <definedName name="blFisico" localSheetId="1">#REF!</definedName>
    <definedName name="blFisico">#REF!</definedName>
    <definedName name="blHoraEqInf1" localSheetId="18">#REF!</definedName>
    <definedName name="blHoraEqInf1" localSheetId="1">#REF!</definedName>
    <definedName name="blHoraEqInf1">#REF!</definedName>
    <definedName name="blHoraEqInf2" localSheetId="18">#REF!</definedName>
    <definedName name="blHoraEqInf2" localSheetId="1">#REF!</definedName>
    <definedName name="blHoraEqInf2">#REF!</definedName>
    <definedName name="blHoraPerIntInf" localSheetId="18">#REF!</definedName>
    <definedName name="blHoraPerIntInf" localSheetId="1">#REF!</definedName>
    <definedName name="blHoraPerIntInf">#REF!</definedName>
    <definedName name="blHoraPerObraInf" localSheetId="18">#REF!</definedName>
    <definedName name="blHoraPerObraInf" localSheetId="1">#REF!</definedName>
    <definedName name="blHoraPerObraInf">#REF!</definedName>
    <definedName name="blHorasLluviaInf" localSheetId="18">#REF!</definedName>
    <definedName name="blHorasLluviaInf" localSheetId="1">#REF!</definedName>
    <definedName name="blHorasLluviaInf">#REF!</definedName>
    <definedName name="blImagen1" localSheetId="18">#REF!</definedName>
    <definedName name="blImagen1" localSheetId="1">#REF!</definedName>
    <definedName name="blImagen1">#REF!</definedName>
    <definedName name="blImagen2" localSheetId="18">#REF!</definedName>
    <definedName name="blImagen2" localSheetId="1">#REF!</definedName>
    <definedName name="blImagen2">#REF!</definedName>
    <definedName name="blNombreArchivo" localSheetId="18">#REF!</definedName>
    <definedName name="blNombreArchivo" localSheetId="1">#REF!</definedName>
    <definedName name="blNombreArchivo">#REF!</definedName>
    <definedName name="blObservacionesInf" localSheetId="18">#REF!</definedName>
    <definedName name="blObservacionesInf" localSheetId="1">#REF!</definedName>
    <definedName name="blObservacionesInf">#REF!</definedName>
    <definedName name="blPDT" localSheetId="18">#REF!</definedName>
    <definedName name="blPDT" localSheetId="1">#REF!</definedName>
    <definedName name="blPDT">#REF!</definedName>
    <definedName name="blPerAdmiCantInf" localSheetId="18">#REF!</definedName>
    <definedName name="blPerAdmiCantInf" localSheetId="1">#REF!</definedName>
    <definedName name="blPerAdmiCantInf">#REF!</definedName>
    <definedName name="blPerAdmiTiemInf" localSheetId="18">#REF!</definedName>
    <definedName name="blPerAdmiTiemInf" localSheetId="1">#REF!</definedName>
    <definedName name="blPerAdmiTiemInf">#REF!</definedName>
    <definedName name="blPerObraCantInf" localSheetId="18">#REF!</definedName>
    <definedName name="blPerObraCantInf" localSheetId="1">#REF!</definedName>
    <definedName name="blPerObraCantInf">#REF!</definedName>
    <definedName name="blPerObraTiemInf" localSheetId="18">#REF!</definedName>
    <definedName name="blPerObraTiemInf" localSheetId="1">#REF!</definedName>
    <definedName name="blPerObraTiemInf">#REF!</definedName>
    <definedName name="blPersonalAdminInf" localSheetId="18">#REF!</definedName>
    <definedName name="blPersonalAdminInf" localSheetId="1">#REF!</definedName>
    <definedName name="blPersonalAdminInf">#REF!</definedName>
    <definedName name="blPersonalObraInf" localSheetId="18">#REF!</definedName>
    <definedName name="blPersonalObraInf" localSheetId="1">#REF!</definedName>
    <definedName name="blPersonalObraInf">#REF!</definedName>
    <definedName name="BLPH1" localSheetId="18" hidden="1">#REF!</definedName>
    <definedName name="BLPH1" localSheetId="1" hidden="1">#REF!</definedName>
    <definedName name="BLPH1" hidden="1">#REF!</definedName>
    <definedName name="blProgramadoPesos">'[45]Programado$'!$I$1:$CK$45</definedName>
    <definedName name="blReferenciaInforme" localSheetId="18">#REF!</definedName>
    <definedName name="blReferenciaInforme" localSheetId="1">#REF!</definedName>
    <definedName name="blReferenciaInforme">#REF!</definedName>
    <definedName name="bn" localSheetId="18">#REF!</definedName>
    <definedName name="bn" localSheetId="32">#REF!</definedName>
    <definedName name="bn" localSheetId="40">#REF!</definedName>
    <definedName name="bn" localSheetId="41">#REF!</definedName>
    <definedName name="bn" localSheetId="43">#REF!</definedName>
    <definedName name="bn" localSheetId="64">#REF!</definedName>
    <definedName name="bn" localSheetId="1">#REF!</definedName>
    <definedName name="bn" localSheetId="2">#REF!</definedName>
    <definedName name="bn">#REF!</definedName>
    <definedName name="Bombas" localSheetId="18">#REF!</definedName>
    <definedName name="Bombas" localSheetId="1">#REF!</definedName>
    <definedName name="Bombas">#REF!</definedName>
    <definedName name="BONO" localSheetId="18">#REF!</definedName>
    <definedName name="BONO" localSheetId="1">#REF!</definedName>
    <definedName name="BONO">#REF!</definedName>
    <definedName name="BORDER1" localSheetId="18">[46]steel!#REF!</definedName>
    <definedName name="BORDER1" localSheetId="1">[46]steel!#REF!</definedName>
    <definedName name="BORDER1">[46]steel!#REF!</definedName>
    <definedName name="BORDET" localSheetId="18">#REF!</definedName>
    <definedName name="BORDET" localSheetId="1">#REF!</definedName>
    <definedName name="BORDET">#REF!</definedName>
    <definedName name="BORSHE" localSheetId="18">'[3]7422CW00'!#REF!</definedName>
    <definedName name="BORSHE" localSheetId="1">'[3]7422CW00'!#REF!</definedName>
    <definedName name="BORSHE">'[3]7422CW00'!#REF!</definedName>
    <definedName name="BORSUM" localSheetId="18">'[3]7422CW00'!#REF!</definedName>
    <definedName name="BORSUM" localSheetId="1">'[3]7422CW00'!#REF!</definedName>
    <definedName name="BORSUM">'[3]7422CW00'!#REF!</definedName>
    <definedName name="boxes" localSheetId="18">#REF!</definedName>
    <definedName name="boxes" localSheetId="1">#REF!</definedName>
    <definedName name="boxes">#REF!</definedName>
    <definedName name="BQ" localSheetId="18">#REF!</definedName>
    <definedName name="BQ" localSheetId="1">#REF!</definedName>
    <definedName name="BQ">#REF!</definedName>
    <definedName name="br" hidden="1">{"TAB1",#N/A,TRUE,"GENERAL";"TAB2",#N/A,TRUE,"GENERAL";"TAB3",#N/A,TRUE,"GENERAL";"TAB4",#N/A,TRUE,"GENERAL";"TAB5",#N/A,TRUE,"GENERAL"}</definedName>
    <definedName name="BREAKER" localSheetId="18">#REF!</definedName>
    <definedName name="BREAKER" localSheetId="1">#REF!</definedName>
    <definedName name="BREAKER">#REF!</definedName>
    <definedName name="BREAKERS" localSheetId="18">#REF!</definedName>
    <definedName name="BREAKERS" localSheetId="1">#REF!</definedName>
    <definedName name="BREAKERS">#REF!</definedName>
    <definedName name="Breakers_Switches" localSheetId="18">#REF!</definedName>
    <definedName name="Breakers_Switches" localSheetId="1">#REF!</definedName>
    <definedName name="Breakers_Switches">#REF!</definedName>
    <definedName name="Breakers_y_Switches" localSheetId="18">#REF!</definedName>
    <definedName name="Breakers_y_Switches" localSheetId="1">#REF!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18">'[48]Form5 _Pág_ 1'!#REF!</definedName>
    <definedName name="BuiltIn_Print_Area" localSheetId="1">'[48]Form5 _Pág_ 1'!#REF!</definedName>
    <definedName name="BuiltIn_Print_Area">'[48]Form5 _Pág_ 1'!#REF!</definedName>
    <definedName name="BuiltIn_Print_Area___0" localSheetId="18">'[48]Form5 _Pág_ 2'!#REF!</definedName>
    <definedName name="BuiltIn_Print_Area___0" localSheetId="1">'[48]Form5 _Pág_ 2'!#REF!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18">#REF!</definedName>
    <definedName name="C._C." localSheetId="1">#REF!</definedName>
    <definedName name="C._C.">#REF!</definedName>
    <definedName name="C_" localSheetId="18">#REF!</definedName>
    <definedName name="C_" localSheetId="32">#REF!</definedName>
    <definedName name="C_" localSheetId="40">#REF!</definedName>
    <definedName name="C_" localSheetId="41">#REF!</definedName>
    <definedName name="C_" localSheetId="43">#REF!</definedName>
    <definedName name="C_" localSheetId="64">#REF!</definedName>
    <definedName name="C_" localSheetId="1">#REF!</definedName>
    <definedName name="C_" localSheetId="2">#REF!</definedName>
    <definedName name="C_">#REF!</definedName>
    <definedName name="CA" localSheetId="18">#REF!</definedName>
    <definedName name="CA" localSheetId="1">#REF!</definedName>
    <definedName name="CA">#REF!</definedName>
    <definedName name="Cableado" localSheetId="18">#REF!</definedName>
    <definedName name="Cableado" localSheetId="1">#REF!</definedName>
    <definedName name="Cableado">#REF!</definedName>
    <definedName name="CajDol1" localSheetId="18">#REF!</definedName>
    <definedName name="CajDol1" localSheetId="1">#REF!</definedName>
    <definedName name="CajDol1">#REF!</definedName>
    <definedName name="CajDol10" localSheetId="18">#REF!</definedName>
    <definedName name="CajDol10" localSheetId="1">#REF!</definedName>
    <definedName name="CajDol10">#REF!</definedName>
    <definedName name="CajDol11" localSheetId="18">#REF!</definedName>
    <definedName name="CajDol11" localSheetId="1">#REF!</definedName>
    <definedName name="CajDol11">#REF!</definedName>
    <definedName name="CajDol12" localSheetId="18">#REF!</definedName>
    <definedName name="CajDol12" localSheetId="1">#REF!</definedName>
    <definedName name="CajDol12">#REF!</definedName>
    <definedName name="CajDol2" localSheetId="18">#REF!</definedName>
    <definedName name="CajDol2" localSheetId="1">#REF!</definedName>
    <definedName name="CajDol2">#REF!</definedName>
    <definedName name="CajDol3" localSheetId="18">#REF!</definedName>
    <definedName name="CajDol3" localSheetId="1">#REF!</definedName>
    <definedName name="CajDol3">#REF!</definedName>
    <definedName name="CajDol4" localSheetId="18">#REF!</definedName>
    <definedName name="CajDol4" localSheetId="1">#REF!</definedName>
    <definedName name="CajDol4">#REF!</definedName>
    <definedName name="CajDol5" localSheetId="18">#REF!</definedName>
    <definedName name="CajDol5" localSheetId="1">#REF!</definedName>
    <definedName name="CajDol5">#REF!</definedName>
    <definedName name="CajDol6" localSheetId="18">#REF!</definedName>
    <definedName name="CajDol6" localSheetId="1">#REF!</definedName>
    <definedName name="CajDol6">#REF!</definedName>
    <definedName name="CajDol7" localSheetId="18">#REF!</definedName>
    <definedName name="CajDol7" localSheetId="1">#REF!</definedName>
    <definedName name="CajDol7">#REF!</definedName>
    <definedName name="CajDol8" localSheetId="18">#REF!</definedName>
    <definedName name="CajDol8" localSheetId="1">#REF!</definedName>
    <definedName name="CajDol8">#REF!</definedName>
    <definedName name="CajDol9" localSheetId="18">#REF!</definedName>
    <definedName name="CajDol9" localSheetId="1">#REF!</definedName>
    <definedName name="CajDol9">#REF!</definedName>
    <definedName name="CAMPO" localSheetId="18">#REF!</definedName>
    <definedName name="CAMPO" localSheetId="1">#REF!</definedName>
    <definedName name="CAMPO">#REF!</definedName>
    <definedName name="CANT" localSheetId="18">#REF!</definedName>
    <definedName name="CANT" localSheetId="32">#REF!</definedName>
    <definedName name="CANT" localSheetId="40">#REF!</definedName>
    <definedName name="CANT" localSheetId="41">#REF!</definedName>
    <definedName name="CANT" localSheetId="43">#REF!</definedName>
    <definedName name="CANT" localSheetId="64">#REF!</definedName>
    <definedName name="CANT" localSheetId="1">#REF!</definedName>
    <definedName name="CANT" localSheetId="2">#REF!</definedName>
    <definedName name="CANT">#REF!</definedName>
    <definedName name="cantidad" localSheetId="1">'[49]TRAMO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18">#REF!</definedName>
    <definedName name="cap" localSheetId="1">#REF!</definedName>
    <definedName name="cap">#REF!</definedName>
    <definedName name="CAPAC._HSE" localSheetId="18">#REF!</definedName>
    <definedName name="CAPAC._HSE" localSheetId="1">#REF!</definedName>
    <definedName name="CAPAC._HSE">#REF!</definedName>
    <definedName name="CARGA" localSheetId="18">#REF!</definedName>
    <definedName name="CARGA" localSheetId="1">#REF!</definedName>
    <definedName name="CARGA">#REF!</definedName>
    <definedName name="CARGOS" localSheetId="18">#REF!</definedName>
    <definedName name="CARGOS" localSheetId="1">#REF!</definedName>
    <definedName name="CARGOS">#REF!</definedName>
    <definedName name="carlos" localSheetId="18">MODULO10.auto_abrir</definedName>
    <definedName name="carlos" localSheetId="1">MODULO10.auto_abrir</definedName>
    <definedName name="carlos">MODULO10.auto_abrir</definedName>
    <definedName name="CBLES" localSheetId="18">#REF!</definedName>
    <definedName name="CBLES" localSheetId="1">#REF!</definedName>
    <definedName name="CBLES">#REF!</definedName>
    <definedName name="CBLES1" localSheetId="18">#REF!</definedName>
    <definedName name="CBLES1" localSheetId="1">#REF!</definedName>
    <definedName name="CBLES1">#REF!</definedName>
    <definedName name="CBRDISEÑO">[50]SECTORIZACIÓN!$A$12:$G$20</definedName>
    <definedName name="CBWorkbookPriority" hidden="1">-1602700874</definedName>
    <definedName name="CC">[51]Personalizar!$G$22:$G$25</definedName>
    <definedName name="ccccc" hidden="1">{"TAB1",#N/A,TRUE,"GENERAL";"TAB2",#N/A,TRUE,"GENERAL";"TAB3",#N/A,TRUE,"GENERAL";"TAB4",#N/A,TRUE,"GENERAL";"TAB5",#N/A,TRUE,"GENERAL"}</definedName>
    <definedName name="CCCCCC" localSheetId="18">'[52]A. P. U.'!#REF!</definedName>
    <definedName name="CCCCCC" localSheetId="32">'[52]A. P. U.'!#REF!</definedName>
    <definedName name="CCCCCC" localSheetId="40">'[52]A. P. U.'!#REF!</definedName>
    <definedName name="CCCCCC" localSheetId="41">'[52]A. P. U.'!#REF!</definedName>
    <definedName name="CCCCCC" localSheetId="43">'[52]A. P. U.'!#REF!</definedName>
    <definedName name="CCCCCC" localSheetId="64">'[52]A. P. U.'!#REF!</definedName>
    <definedName name="CCCCCC" localSheetId="1">'[52]A. P. U.'!#REF!</definedName>
    <definedName name="CCCCCC" localSheetId="2">'[52]A. P. U.'!#REF!</definedName>
    <definedName name="CCCCCC">'[52]A. P. U.'!#REF!</definedName>
    <definedName name="CCT" localSheetId="18">#REF!</definedName>
    <definedName name="CCT" localSheetId="1">#REF!</definedName>
    <definedName name="CCT">#REF!</definedName>
    <definedName name="ccto210" localSheetId="18">#REF!</definedName>
    <definedName name="ccto210" localSheetId="32">#REF!</definedName>
    <definedName name="ccto210" localSheetId="40">#REF!</definedName>
    <definedName name="ccto210" localSheetId="41">#REF!</definedName>
    <definedName name="ccto210" localSheetId="43">#REF!</definedName>
    <definedName name="ccto210" localSheetId="64">#REF!</definedName>
    <definedName name="ccto210" localSheetId="1">#REF!</definedName>
    <definedName name="ccto210" localSheetId="2">#REF!</definedName>
    <definedName name="ccto210">#REF!</definedName>
    <definedName name="cd">[53]Hoja1!$C$81</definedName>
    <definedName name="cdcdc" hidden="1">{"via1",#N/A,TRUE,"general";"via2",#N/A,TRUE,"general";"via3",#N/A,TRUE,"general"}</definedName>
    <definedName name="CDctrl">[36]CDItem!$G$8</definedName>
    <definedName name="CDE" localSheetId="18">#REF!</definedName>
    <definedName name="CDE" localSheetId="1">#REF!</definedName>
    <definedName name="CDE">#REF!</definedName>
    <definedName name="cdfgrtfd" localSheetId="18" hidden="1">#REF!</definedName>
    <definedName name="cdfgrtfd" localSheetId="1" hidden="1">#REF!</definedName>
    <definedName name="cdfgrtfd" hidden="1">#REF!</definedName>
    <definedName name="ceerf" hidden="1">{"TAB1",#N/A,TRUE,"GENERAL";"TAB2",#N/A,TRUE,"GENERAL";"TAB3",#N/A,TRUE,"GENERAL";"TAB4",#N/A,TRUE,"GENERAL";"TAB5",#N/A,TRUE,"GENERAL"}</definedName>
    <definedName name="CEMENTO">[54]Insum!$A$3:$H$63</definedName>
    <definedName name="CGDI01" localSheetId="18">[11]Tablas!#REF!</definedName>
    <definedName name="CGDI01" localSheetId="1">[11]Tablas!#REF!</definedName>
    <definedName name="CGDI01">[11]Tablas!#REF!</definedName>
    <definedName name="CGDI02" localSheetId="18">[11]Tablas!#REF!</definedName>
    <definedName name="CGDI02" localSheetId="1">[11]Tablas!#REF!</definedName>
    <definedName name="CGDI02">[11]Tablas!#REF!</definedName>
    <definedName name="CGDI03" localSheetId="18">[11]Tablas!#REF!</definedName>
    <definedName name="CGDI03" localSheetId="1">[11]Tablas!#REF!</definedName>
    <definedName name="CGDI03">[11]Tablas!#REF!</definedName>
    <definedName name="CGDI04" localSheetId="18">[11]Tablas!#REF!</definedName>
    <definedName name="CGDI04" localSheetId="1">[11]Tablas!#REF!</definedName>
    <definedName name="CGDI04">[11]Tablas!#REF!</definedName>
    <definedName name="CGDI05" localSheetId="18">[11]Tablas!#REF!</definedName>
    <definedName name="CGDI05" localSheetId="1">[11]Tablas!#REF!</definedName>
    <definedName name="CGDI05">[11]Tablas!#REF!</definedName>
    <definedName name="CGDI06" localSheetId="18">[11]Tablas!#REF!</definedName>
    <definedName name="CGDI06" localSheetId="1">[11]Tablas!#REF!</definedName>
    <definedName name="CGDI06">[11]Tablas!#REF!</definedName>
    <definedName name="CGDI07" localSheetId="18">[11]Tablas!#REF!</definedName>
    <definedName name="CGDI07" localSheetId="1">[11]Tablas!#REF!</definedName>
    <definedName name="CGDI07">[11]Tablas!#REF!</definedName>
    <definedName name="CGDI08" localSheetId="18">[11]Tablas!#REF!</definedName>
    <definedName name="CGDI08" localSheetId="1">[11]Tablas!#REF!</definedName>
    <definedName name="CGDI08">[11]Tablas!#REF!</definedName>
    <definedName name="CGEX01" localSheetId="18">[11]Tablas!#REF!</definedName>
    <definedName name="CGEX01" localSheetId="1">[11]Tablas!#REF!</definedName>
    <definedName name="CGEX01">[11]Tablas!#REF!</definedName>
    <definedName name="CGEX02" localSheetId="18">[11]Tablas!#REF!</definedName>
    <definedName name="CGEX02" localSheetId="1">[11]Tablas!#REF!</definedName>
    <definedName name="CGEX02">[11]Tablas!#REF!</definedName>
    <definedName name="CGEX031" localSheetId="18">[11]Tablas!#REF!</definedName>
    <definedName name="CGEX031" localSheetId="1">[11]Tablas!#REF!</definedName>
    <definedName name="CGEX031">[11]Tablas!#REF!</definedName>
    <definedName name="CGEX04" localSheetId="18">[11]Tablas!#REF!</definedName>
    <definedName name="CGEX04" localSheetId="1">[11]Tablas!#REF!</definedName>
    <definedName name="CGEX04">[11]Tablas!#REF!</definedName>
    <definedName name="CGFI011" localSheetId="18">[11]Tablas!#REF!</definedName>
    <definedName name="CGFI011" localSheetId="1">[11]Tablas!#REF!</definedName>
    <definedName name="CGFI011">[11]Tablas!#REF!</definedName>
    <definedName name="CGFI012" localSheetId="18">[11]Tablas!#REF!</definedName>
    <definedName name="CGFI012" localSheetId="1">[11]Tablas!#REF!</definedName>
    <definedName name="CGFI012">[11]Tablas!#REF!</definedName>
    <definedName name="CGFI021" localSheetId="18">[11]Tablas!#REF!</definedName>
    <definedName name="CGFI021" localSheetId="1">[11]Tablas!#REF!</definedName>
    <definedName name="CGFI021">[11]Tablas!#REF!</definedName>
    <definedName name="CGFI022" localSheetId="18">[11]Tablas!#REF!</definedName>
    <definedName name="CGFI022" localSheetId="1">[11]Tablas!#REF!</definedName>
    <definedName name="CGFI022">[11]Tablas!#REF!</definedName>
    <definedName name="CGFI023" localSheetId="18">[11]Tablas!#REF!</definedName>
    <definedName name="CGFI023" localSheetId="1">[11]Tablas!#REF!</definedName>
    <definedName name="CGFI023">[11]Tablas!#REF!</definedName>
    <definedName name="CGFI024" localSheetId="18">[11]Tablas!#REF!</definedName>
    <definedName name="CGFI024" localSheetId="1">[11]Tablas!#REF!</definedName>
    <definedName name="CGFI024">[11]Tablas!#REF!</definedName>
    <definedName name="CGFI031" localSheetId="18">[11]Tablas!#REF!</definedName>
    <definedName name="CGFI031" localSheetId="1">[11]Tablas!#REF!</definedName>
    <definedName name="CGFI031">[11]Tablas!#REF!</definedName>
    <definedName name="CGFI032" localSheetId="18">[11]Tablas!#REF!</definedName>
    <definedName name="CGFI032" localSheetId="1">[11]Tablas!#REF!</definedName>
    <definedName name="CGFI032">[11]Tablas!#REF!</definedName>
    <definedName name="CGFI0331" localSheetId="18">[11]Tablas!#REF!</definedName>
    <definedName name="CGFI0331" localSheetId="1">[11]Tablas!#REF!</definedName>
    <definedName name="CGFI0331">[11]Tablas!#REF!</definedName>
    <definedName name="CGFI0332" localSheetId="18">[11]Tablas!#REF!</definedName>
    <definedName name="CGFI0332" localSheetId="1">[11]Tablas!#REF!</definedName>
    <definedName name="CGFI0332">[11]Tablas!#REF!</definedName>
    <definedName name="CGFI0333" localSheetId="18">[11]Tablas!#REF!</definedName>
    <definedName name="CGFI0333" localSheetId="1">[11]Tablas!#REF!</definedName>
    <definedName name="CGFI0333">[11]Tablas!#REF!</definedName>
    <definedName name="CGFI0334" localSheetId="18">[11]Tablas!#REF!</definedName>
    <definedName name="CGFI0334" localSheetId="1">[11]Tablas!#REF!</definedName>
    <definedName name="CGFI0334">[11]Tablas!#REF!</definedName>
    <definedName name="CGFI0335" localSheetId="18">[11]Tablas!#REF!</definedName>
    <definedName name="CGFI0335" localSheetId="1">[11]Tablas!#REF!</definedName>
    <definedName name="CGFI0335">[11]Tablas!#REF!</definedName>
    <definedName name="CGFI0341" localSheetId="18">[11]Tablas!#REF!</definedName>
    <definedName name="CGFI0341" localSheetId="1">[11]Tablas!#REF!</definedName>
    <definedName name="CGFI0341">[11]Tablas!#REF!</definedName>
    <definedName name="CGFI0343" localSheetId="18">[11]Tablas!#REF!</definedName>
    <definedName name="CGFI0343" localSheetId="1">[11]Tablas!#REF!</definedName>
    <definedName name="CGFI0343">[11]Tablas!#REF!</definedName>
    <definedName name="CGFI0344" localSheetId="18">[11]Tablas!#REF!</definedName>
    <definedName name="CGFI0344" localSheetId="1">[11]Tablas!#REF!</definedName>
    <definedName name="CGFI0344">[11]Tablas!#REF!</definedName>
    <definedName name="CGPR01" localSheetId="18">[11]Tablas!#REF!</definedName>
    <definedName name="CGPR01" localSheetId="1">[11]Tablas!#REF!</definedName>
    <definedName name="CGPR01">[11]Tablas!#REF!</definedName>
    <definedName name="CGPR021" localSheetId="18">[11]Tablas!#REF!</definedName>
    <definedName name="CGPR021" localSheetId="1">[11]Tablas!#REF!</definedName>
    <definedName name="CGPR021">[11]Tablas!#REF!</definedName>
    <definedName name="CGPR022" localSheetId="18">[11]Tablas!#REF!</definedName>
    <definedName name="CGPR022" localSheetId="1">[11]Tablas!#REF!</definedName>
    <definedName name="CGPR022">[11]Tablas!#REF!</definedName>
    <definedName name="CGPR023" localSheetId="18">[11]Tablas!#REF!</definedName>
    <definedName name="CGPR023" localSheetId="1">[11]Tablas!#REF!</definedName>
    <definedName name="CGPR023">[11]Tablas!#REF!</definedName>
    <definedName name="CGPR024" localSheetId="18">[11]Tablas!#REF!</definedName>
    <definedName name="CGPR024" localSheetId="1">[11]Tablas!#REF!</definedName>
    <definedName name="CGPR024">[11]Tablas!#REF!</definedName>
    <definedName name="CGPR031" localSheetId="18">[11]Tablas!#REF!</definedName>
    <definedName name="CGPR031" localSheetId="1">[11]Tablas!#REF!</definedName>
    <definedName name="CGPR031">[11]Tablas!#REF!</definedName>
    <definedName name="CGPR032" localSheetId="18">[11]Tablas!#REF!</definedName>
    <definedName name="CGPR032" localSheetId="1">[11]Tablas!#REF!</definedName>
    <definedName name="CGPR032">[11]Tablas!#REF!</definedName>
    <definedName name="CGPR0331" localSheetId="18">[11]Tablas!#REF!</definedName>
    <definedName name="CGPR0331" localSheetId="1">[11]Tablas!#REF!</definedName>
    <definedName name="CGPR0331">[11]Tablas!#REF!</definedName>
    <definedName name="CGPR0332" localSheetId="18">[11]Tablas!#REF!</definedName>
    <definedName name="CGPR0332" localSheetId="1">[11]Tablas!#REF!</definedName>
    <definedName name="CGPR0332">[11]Tablas!#REF!</definedName>
    <definedName name="CGPR0333" localSheetId="18">[11]Tablas!#REF!</definedName>
    <definedName name="CGPR0333" localSheetId="1">[11]Tablas!#REF!</definedName>
    <definedName name="CGPR0333">[11]Tablas!#REF!</definedName>
    <definedName name="CGPR041" localSheetId="18">[11]Tablas!#REF!</definedName>
    <definedName name="CGPR041" localSheetId="1">[11]Tablas!#REF!</definedName>
    <definedName name="CGPR041">[11]Tablas!#REF!</definedName>
    <definedName name="CGPR042" localSheetId="18">[11]Tablas!#REF!</definedName>
    <definedName name="CGPR042" localSheetId="1">[11]Tablas!#REF!</definedName>
    <definedName name="CGPR042">[11]Tablas!#REF!</definedName>
    <definedName name="CGPR043" localSheetId="18">[11]Tablas!#REF!</definedName>
    <definedName name="CGPR043" localSheetId="1">[11]Tablas!#REF!</definedName>
    <definedName name="CGPR043">[11]Tablas!#REF!</definedName>
    <definedName name="CGPR051" localSheetId="18">[11]Tablas!#REF!</definedName>
    <definedName name="CGPR051" localSheetId="1">[11]Tablas!#REF!</definedName>
    <definedName name="CGPR051">[11]Tablas!#REF!</definedName>
    <definedName name="CGPR052" localSheetId="18">[11]Tablas!#REF!</definedName>
    <definedName name="CGPR052" localSheetId="1">[11]Tablas!#REF!</definedName>
    <definedName name="CGPR052">[11]Tablas!#REF!</definedName>
    <definedName name="CGPR0531" localSheetId="18">[11]Tablas!#REF!</definedName>
    <definedName name="CGPR0531" localSheetId="1">[11]Tablas!#REF!</definedName>
    <definedName name="CGPR0531">[11]Tablas!#REF!</definedName>
    <definedName name="CGPR0532" localSheetId="18">[11]Tablas!#REF!</definedName>
    <definedName name="CGPR0532" localSheetId="1">[11]Tablas!#REF!</definedName>
    <definedName name="CGPR0532">[11]Tablas!#REF!</definedName>
    <definedName name="CGPR0533" localSheetId="18">[11]Tablas!#REF!</definedName>
    <definedName name="CGPR0533" localSheetId="1">[11]Tablas!#REF!</definedName>
    <definedName name="CGPR0533">[11]Tablas!#REF!</definedName>
    <definedName name="CGPR0534" localSheetId="18">[11]Tablas!#REF!</definedName>
    <definedName name="CGPR0534" localSheetId="1">[11]Tablas!#REF!</definedName>
    <definedName name="CGPR0534">[11]Tablas!#REF!</definedName>
    <definedName name="CGPR0541" localSheetId="18">[11]Tablas!#REF!</definedName>
    <definedName name="CGPR0541" localSheetId="1">[11]Tablas!#REF!</definedName>
    <definedName name="CGPR0541">[11]Tablas!#REF!</definedName>
    <definedName name="CGPR0542" localSheetId="18">[11]Tablas!#REF!</definedName>
    <definedName name="CGPR0542" localSheetId="1">[11]Tablas!#REF!</definedName>
    <definedName name="CGPR0542">[11]Tablas!#REF!</definedName>
    <definedName name="CGPR0543" localSheetId="18">[11]Tablas!#REF!</definedName>
    <definedName name="CGPR0543" localSheetId="1">[11]Tablas!#REF!</definedName>
    <definedName name="CGPR0543">[11]Tablas!#REF!</definedName>
    <definedName name="CGPR061" localSheetId="18">[11]Tablas!#REF!</definedName>
    <definedName name="CGPR061" localSheetId="1">[11]Tablas!#REF!</definedName>
    <definedName name="CGPR061">[11]Tablas!#REF!</definedName>
    <definedName name="CGPR062" localSheetId="18">[11]Tablas!#REF!</definedName>
    <definedName name="CGPR062" localSheetId="1">[11]Tablas!#REF!</definedName>
    <definedName name="CGPR062">[11]Tablas!#REF!</definedName>
    <definedName name="CGPR0621" localSheetId="18">[11]Tablas!#REF!</definedName>
    <definedName name="CGPR0621" localSheetId="1">[11]Tablas!#REF!</definedName>
    <definedName name="CGPR0621">[11]Tablas!#REF!</definedName>
    <definedName name="CGPR0622" localSheetId="18">[11]Tablas!#REF!</definedName>
    <definedName name="CGPR0622" localSheetId="1">[11]Tablas!#REF!</definedName>
    <definedName name="CGPR0622">[11]Tablas!#REF!</definedName>
    <definedName name="CGPR0631" localSheetId="18">[11]Tablas!#REF!</definedName>
    <definedName name="CGPR0631" localSheetId="1">[11]Tablas!#REF!</definedName>
    <definedName name="CGPR0631">[11]Tablas!#REF!</definedName>
    <definedName name="CGPR0632" localSheetId="18">[11]Tablas!#REF!</definedName>
    <definedName name="CGPR0632" localSheetId="1">[11]Tablas!#REF!</definedName>
    <definedName name="CGPR0632">[11]Tablas!#REF!</definedName>
    <definedName name="CGPR0633" localSheetId="18">[11]Tablas!#REF!</definedName>
    <definedName name="CGPR0633" localSheetId="1">[11]Tablas!#REF!</definedName>
    <definedName name="CGPR0633">[11]Tablas!#REF!</definedName>
    <definedName name="CGPR0641" localSheetId="18">[11]Tablas!#REF!</definedName>
    <definedName name="CGPR0641" localSheetId="1">[11]Tablas!#REF!</definedName>
    <definedName name="CGPR0641">[11]Tablas!#REF!</definedName>
    <definedName name="CGPR0642" localSheetId="18">[11]Tablas!#REF!</definedName>
    <definedName name="CGPR0642" localSheetId="1">[11]Tablas!#REF!</definedName>
    <definedName name="CGPR0642">[11]Tablas!#REF!</definedName>
    <definedName name="CGPR0643" localSheetId="18">[11]Tablas!#REF!</definedName>
    <definedName name="CGPR0643" localSheetId="1">[11]Tablas!#REF!</definedName>
    <definedName name="CGPR0643">[11]Tablas!#REF!</definedName>
    <definedName name="CGRF01" localSheetId="18">[11]Tablas!#REF!</definedName>
    <definedName name="CGRF01" localSheetId="1">[11]Tablas!#REF!</definedName>
    <definedName name="CGRF01">[11]Tablas!#REF!</definedName>
    <definedName name="CGRF02" localSheetId="18">[11]Tablas!#REF!</definedName>
    <definedName name="CGRF02" localSheetId="1">[11]Tablas!#REF!</definedName>
    <definedName name="CGRF02">[11]Tablas!#REF!</definedName>
    <definedName name="CGRF031" localSheetId="18">[11]Tablas!#REF!</definedName>
    <definedName name="CGRF031" localSheetId="1">[11]Tablas!#REF!</definedName>
    <definedName name="CGRF031">[11]Tablas!#REF!</definedName>
    <definedName name="CGRF032" localSheetId="18">[11]Tablas!#REF!</definedName>
    <definedName name="CGRF032" localSheetId="1">[11]Tablas!#REF!</definedName>
    <definedName name="CGRF032">[11]Tablas!#REF!</definedName>
    <definedName name="CGRF0331" localSheetId="18">[11]Tablas!#REF!</definedName>
    <definedName name="CGRF0331" localSheetId="1">[11]Tablas!#REF!</definedName>
    <definedName name="CGRF0331">[11]Tablas!#REF!</definedName>
    <definedName name="CGRF0332" localSheetId="18">[11]Tablas!#REF!</definedName>
    <definedName name="CGRF0332" localSheetId="1">[11]Tablas!#REF!</definedName>
    <definedName name="CGRF0332">[11]Tablas!#REF!</definedName>
    <definedName name="CGRF0333" localSheetId="18">[11]Tablas!#REF!</definedName>
    <definedName name="CGRF0333" localSheetId="1">[11]Tablas!#REF!</definedName>
    <definedName name="CGRF0333">[11]Tablas!#REF!</definedName>
    <definedName name="CGRF0334" localSheetId="18">[11]Tablas!#REF!</definedName>
    <definedName name="CGRF0334" localSheetId="1">[11]Tablas!#REF!</definedName>
    <definedName name="CGRF0334">[11]Tablas!#REF!</definedName>
    <definedName name="CGRF0335" localSheetId="18">[11]Tablas!#REF!</definedName>
    <definedName name="CGRF0335" localSheetId="1">[11]Tablas!#REF!</definedName>
    <definedName name="CGRF0335">[11]Tablas!#REF!</definedName>
    <definedName name="CGRF0336" localSheetId="18">[11]Tablas!#REF!</definedName>
    <definedName name="CGRF0336" localSheetId="1">[11]Tablas!#REF!</definedName>
    <definedName name="CGRF0336">[11]Tablas!#REF!</definedName>
    <definedName name="CGRF0337" localSheetId="18">[11]Tablas!#REF!</definedName>
    <definedName name="CGRF0337" localSheetId="1">[11]Tablas!#REF!</definedName>
    <definedName name="CGRF0337">[11]Tablas!#REF!</definedName>
    <definedName name="CGRF0338" localSheetId="18">[11]Tablas!#REF!</definedName>
    <definedName name="CGRF0338" localSheetId="1">[11]Tablas!#REF!</definedName>
    <definedName name="CGRF0338">[11]Tablas!#REF!</definedName>
    <definedName name="CGRF0341" localSheetId="18">[11]Tablas!#REF!</definedName>
    <definedName name="CGRF0341" localSheetId="1">[11]Tablas!#REF!</definedName>
    <definedName name="CGRF0341">[11]Tablas!#REF!</definedName>
    <definedName name="CGRF0342" localSheetId="18">[11]Tablas!#REF!</definedName>
    <definedName name="CGRF0342" localSheetId="1">[11]Tablas!#REF!</definedName>
    <definedName name="CGRF0342">[11]Tablas!#REF!</definedName>
    <definedName name="CGRF0343" localSheetId="18">[11]Tablas!#REF!</definedName>
    <definedName name="CGRF0343" localSheetId="1">[11]Tablas!#REF!</definedName>
    <definedName name="CGRF0343">[11]Tablas!#REF!</definedName>
    <definedName name="CGRF041" localSheetId="18">[11]Tablas!#REF!</definedName>
    <definedName name="CGRF041" localSheetId="1">[11]Tablas!#REF!</definedName>
    <definedName name="CGRF041">[11]Tablas!#REF!</definedName>
    <definedName name="CGRF042" localSheetId="18">[11]Tablas!#REF!</definedName>
    <definedName name="CGRF042" localSheetId="1">[11]Tablas!#REF!</definedName>
    <definedName name="CGRF042">[11]Tablas!#REF!</definedName>
    <definedName name="CGRF0431" localSheetId="18">[11]Tablas!#REF!</definedName>
    <definedName name="CGRF0431" localSheetId="1">[11]Tablas!#REF!</definedName>
    <definedName name="CGRF0431">[11]Tablas!#REF!</definedName>
    <definedName name="CGRF0432" localSheetId="18">[11]Tablas!#REF!</definedName>
    <definedName name="CGRF0432" localSheetId="1">[11]Tablas!#REF!</definedName>
    <definedName name="CGRF0432">[11]Tablas!#REF!</definedName>
    <definedName name="CGRF0433" localSheetId="18">[11]Tablas!#REF!</definedName>
    <definedName name="CGRF0433" localSheetId="1">[11]Tablas!#REF!</definedName>
    <definedName name="CGRF0433">[11]Tablas!#REF!</definedName>
    <definedName name="CGRF0441" localSheetId="18">[11]Tablas!#REF!</definedName>
    <definedName name="CGRF0441" localSheetId="1">[11]Tablas!#REF!</definedName>
    <definedName name="CGRF0441">[11]Tablas!#REF!</definedName>
    <definedName name="CGRF0442" localSheetId="18">[11]Tablas!#REF!</definedName>
    <definedName name="CGRF0442" localSheetId="1">[11]Tablas!#REF!</definedName>
    <definedName name="CGRF0442">[11]Tablas!#REF!</definedName>
    <definedName name="CGRF0443" localSheetId="18">[11]Tablas!#REF!</definedName>
    <definedName name="CGRF0443" localSheetId="1">[11]Tablas!#REF!</definedName>
    <definedName name="CGRF0443">[11]Tablas!#REF!</definedName>
    <definedName name="CGSM01" localSheetId="18">[11]Tablas!#REF!</definedName>
    <definedName name="CGSM01" localSheetId="1">[11]Tablas!#REF!</definedName>
    <definedName name="CGSM01">[11]Tablas!#REF!</definedName>
    <definedName name="CGSM02" localSheetId="18">[11]Tablas!#REF!</definedName>
    <definedName name="CGSM02" localSheetId="1">[11]Tablas!#REF!</definedName>
    <definedName name="CGSM02">[11]Tablas!#REF!</definedName>
    <definedName name="CGSM03" localSheetId="18">[11]Tablas!#REF!</definedName>
    <definedName name="CGSM03" localSheetId="1">[11]Tablas!#REF!</definedName>
    <definedName name="CGSM03">[11]Tablas!#REF!</definedName>
    <definedName name="CGSM04" localSheetId="18">[11]Tablas!#REF!</definedName>
    <definedName name="CGSM04" localSheetId="1">[11]Tablas!#REF!</definedName>
    <definedName name="CGSM04">[11]Tablas!#REF!</definedName>
    <definedName name="CGSM05" localSheetId="18">[11]Tablas!#REF!</definedName>
    <definedName name="CGSM05" localSheetId="1">[11]Tablas!#REF!</definedName>
    <definedName name="CGSM05">[11]Tablas!#REF!</definedName>
    <definedName name="CGSO011" localSheetId="18">[11]Tablas!#REF!</definedName>
    <definedName name="CGSO011" localSheetId="1">[11]Tablas!#REF!</definedName>
    <definedName name="CGSO011">[11]Tablas!#REF!</definedName>
    <definedName name="CGSO012" localSheetId="18">[11]Tablas!#REF!</definedName>
    <definedName name="CGSO012" localSheetId="1">[11]Tablas!#REF!</definedName>
    <definedName name="CGSO012">[11]Tablas!#REF!</definedName>
    <definedName name="CGSO013" localSheetId="18">[11]Tablas!#REF!</definedName>
    <definedName name="CGSO013" localSheetId="1">[11]Tablas!#REF!</definedName>
    <definedName name="CGSO013">[11]Tablas!#REF!</definedName>
    <definedName name="CGSO014" localSheetId="18">[11]Tablas!#REF!</definedName>
    <definedName name="CGSO014" localSheetId="1">[11]Tablas!#REF!</definedName>
    <definedName name="CGSO014">[11]Tablas!#REF!</definedName>
    <definedName name="CGSO02" localSheetId="18">[11]Tablas!#REF!</definedName>
    <definedName name="CGSO02" localSheetId="1">[11]Tablas!#REF!</definedName>
    <definedName name="CGSO02">[11]Tablas!#REF!</definedName>
    <definedName name="CGSO031" localSheetId="18">[11]Tablas!#REF!</definedName>
    <definedName name="CGSO031" localSheetId="1">[11]Tablas!#REF!</definedName>
    <definedName name="CGSO031">[11]Tablas!#REF!</definedName>
    <definedName name="CGSO032" localSheetId="18">[11]Tablas!#REF!</definedName>
    <definedName name="CGSO032" localSheetId="1">[11]Tablas!#REF!</definedName>
    <definedName name="CGSO032">[11]Tablas!#REF!</definedName>
    <definedName name="CGSO033" localSheetId="18">[11]Tablas!#REF!</definedName>
    <definedName name="CGSO033" localSheetId="1">[11]Tablas!#REF!</definedName>
    <definedName name="CGSO033">[11]Tablas!#REF!</definedName>
    <definedName name="CGSO034" localSheetId="18">[11]Tablas!#REF!</definedName>
    <definedName name="CGSO034" localSheetId="1">[11]Tablas!#REF!</definedName>
    <definedName name="CGSO034">[11]Tablas!#REF!</definedName>
    <definedName name="CGSO041" localSheetId="18">[11]Tablas!#REF!</definedName>
    <definedName name="CGSO041" localSheetId="1">[11]Tablas!#REF!</definedName>
    <definedName name="CGSO041">[11]Tablas!#REF!</definedName>
    <definedName name="CGSO042" localSheetId="18">[11]Tablas!#REF!</definedName>
    <definedName name="CGSO042" localSheetId="1">[11]Tablas!#REF!</definedName>
    <definedName name="CGSO042">[11]Tablas!#REF!</definedName>
    <definedName name="CGSO043" localSheetId="18">[11]Tablas!#REF!</definedName>
    <definedName name="CGSO043" localSheetId="1">[11]Tablas!#REF!</definedName>
    <definedName name="CGSO043">[11]Tablas!#REF!</definedName>
    <definedName name="CGSO044" localSheetId="18">[11]Tablas!#REF!</definedName>
    <definedName name="CGSO044" localSheetId="1">[11]Tablas!#REF!</definedName>
    <definedName name="CGSO044">[11]Tablas!#REF!</definedName>
    <definedName name="CGSO051" localSheetId="18">[11]Tablas!#REF!</definedName>
    <definedName name="CGSO051" localSheetId="1">[11]Tablas!#REF!</definedName>
    <definedName name="CGSO051">[11]Tablas!#REF!</definedName>
    <definedName name="CGSO052" localSheetId="18">[11]Tablas!#REF!</definedName>
    <definedName name="CGSO052" localSheetId="1">[11]Tablas!#REF!</definedName>
    <definedName name="CGSO052">[11]Tablas!#REF!</definedName>
    <definedName name="CGSO053" localSheetId="18">[11]Tablas!#REF!</definedName>
    <definedName name="CGSO053" localSheetId="1">[11]Tablas!#REF!</definedName>
    <definedName name="CGSO053">[11]Tablas!#REF!</definedName>
    <definedName name="CGSO054" localSheetId="18">[11]Tablas!#REF!</definedName>
    <definedName name="CGSO054" localSheetId="1">[11]Tablas!#REF!</definedName>
    <definedName name="CGSO054">[11]Tablas!#REF!</definedName>
    <definedName name="CGSO055" localSheetId="18">[11]Tablas!#REF!</definedName>
    <definedName name="CGSO055" localSheetId="1">[11]Tablas!#REF!</definedName>
    <definedName name="CGSO055">[11]Tablas!#REF!</definedName>
    <definedName name="CGSO061" localSheetId="18">[11]Tablas!#REF!</definedName>
    <definedName name="CGSO061" localSheetId="1">[11]Tablas!#REF!</definedName>
    <definedName name="CGSO061">[11]Tablas!#REF!</definedName>
    <definedName name="CGSO062" localSheetId="18">[11]Tablas!#REF!</definedName>
    <definedName name="CGSO062" localSheetId="1">[11]Tablas!#REF!</definedName>
    <definedName name="CGSO062">[11]Tablas!#REF!</definedName>
    <definedName name="CGSO063" localSheetId="18">[11]Tablas!#REF!</definedName>
    <definedName name="CGSO063" localSheetId="1">[11]Tablas!#REF!</definedName>
    <definedName name="CGSO063">[11]Tablas!#REF!</definedName>
    <definedName name="CGSO064" localSheetId="18">[11]Tablas!#REF!</definedName>
    <definedName name="CGSO064" localSheetId="1">[11]Tablas!#REF!</definedName>
    <definedName name="CGSO064">[11]Tablas!#REF!</definedName>
    <definedName name="CGTR011" localSheetId="18">[11]Tablas!#REF!</definedName>
    <definedName name="CGTR011" localSheetId="1">[11]Tablas!#REF!</definedName>
    <definedName name="CGTR011">[11]Tablas!#REF!</definedName>
    <definedName name="CGTR012" localSheetId="18">[11]Tablas!#REF!</definedName>
    <definedName name="CGTR012" localSheetId="1">[11]Tablas!#REF!</definedName>
    <definedName name="CGTR012">[11]Tablas!#REF!</definedName>
    <definedName name="CGTR021" localSheetId="18">[11]Tablas!#REF!</definedName>
    <definedName name="CGTR021" localSheetId="1">[11]Tablas!#REF!</definedName>
    <definedName name="CGTR021">[11]Tablas!#REF!</definedName>
    <definedName name="CGTR022" localSheetId="18">[11]Tablas!#REF!</definedName>
    <definedName name="CGTR022" localSheetId="1">[11]Tablas!#REF!</definedName>
    <definedName name="CGTR022">[11]Tablas!#REF!</definedName>
    <definedName name="CGTR023" localSheetId="18">[11]Tablas!#REF!</definedName>
    <definedName name="CGTR023" localSheetId="1">[11]Tablas!#REF!</definedName>
    <definedName name="CGTR023">[11]Tablas!#REF!</definedName>
    <definedName name="CGTR031" localSheetId="18">[11]Tablas!#REF!</definedName>
    <definedName name="CGTR031" localSheetId="1">[11]Tablas!#REF!</definedName>
    <definedName name="CGTR031">[11]Tablas!#REF!</definedName>
    <definedName name="CGTR032" localSheetId="18">[11]Tablas!#REF!</definedName>
    <definedName name="CGTR032" localSheetId="1">[11]Tablas!#REF!</definedName>
    <definedName name="CGTR032">[11]Tablas!#REF!</definedName>
    <definedName name="CGTR033" localSheetId="18">[11]Tablas!#REF!</definedName>
    <definedName name="CGTR033" localSheetId="1">[11]Tablas!#REF!</definedName>
    <definedName name="CGTR033">[11]Tablas!#REF!</definedName>
    <definedName name="CGTR034" localSheetId="18">[11]Tablas!#REF!</definedName>
    <definedName name="CGTR034" localSheetId="1">[11]Tablas!#REF!</definedName>
    <definedName name="CGTR034">[11]Tablas!#REF!</definedName>
    <definedName name="CGTR035" localSheetId="18">[11]Tablas!#REF!</definedName>
    <definedName name="CGTR035" localSheetId="1">[11]Tablas!#REF!</definedName>
    <definedName name="CGTR035">[11]Tablas!#REF!</definedName>
    <definedName name="CGTR036" localSheetId="18">[11]Tablas!#REF!</definedName>
    <definedName name="CGTR036" localSheetId="1">[11]Tablas!#REF!</definedName>
    <definedName name="CGTR036">[11]Tablas!#REF!</definedName>
    <definedName name="CGTR037" localSheetId="18">[11]Tablas!#REF!</definedName>
    <definedName name="CGTR037" localSheetId="1">[11]Tablas!#REF!</definedName>
    <definedName name="CGTR037">[11]Tablas!#REF!</definedName>
    <definedName name="CGTR038" localSheetId="18">[11]Tablas!#REF!</definedName>
    <definedName name="CGTR038" localSheetId="1">[11]Tablas!#REF!</definedName>
    <definedName name="CGTR038">[11]Tablas!#REF!</definedName>
    <definedName name="CGTR039" localSheetId="18">[11]Tablas!#REF!</definedName>
    <definedName name="CGTR039" localSheetId="1">[11]Tablas!#REF!</definedName>
    <definedName name="CGTR039">[11]Tablas!#REF!</definedName>
    <definedName name="CGTR041" localSheetId="18">[11]Tablas!#REF!</definedName>
    <definedName name="CGTR041" localSheetId="1">[11]Tablas!#REF!</definedName>
    <definedName name="CGTR041">[11]Tablas!#REF!</definedName>
    <definedName name="CGTR042" localSheetId="18">[11]Tablas!#REF!</definedName>
    <definedName name="CGTR042" localSheetId="1">[11]Tablas!#REF!</definedName>
    <definedName name="CGTR042">[11]Tablas!#REF!</definedName>
    <definedName name="CGTR043" localSheetId="18">[11]Tablas!#REF!</definedName>
    <definedName name="CGTR043" localSheetId="1">[11]Tablas!#REF!</definedName>
    <definedName name="CGTR043">[11]Tablas!#REF!</definedName>
    <definedName name="CGTR044" localSheetId="18">[11]Tablas!#REF!</definedName>
    <definedName name="CGTR044" localSheetId="1">[11]Tablas!#REF!</definedName>
    <definedName name="CGTR044">[11]Tablas!#REF!</definedName>
    <definedName name="CGTR051" localSheetId="18">[11]Tablas!#REF!</definedName>
    <definedName name="CGTR051" localSheetId="1">[11]Tablas!#REF!</definedName>
    <definedName name="CGTR051">[11]Tablas!#REF!</definedName>
    <definedName name="Ch" localSheetId="18">#REF!</definedName>
    <definedName name="Ch" localSheetId="1">#REF!</definedName>
    <definedName name="Ch">#REF!</definedName>
    <definedName name="CHK_PU" localSheetId="18">'[3]7422CW00'!#REF!</definedName>
    <definedName name="CHK_PU" localSheetId="1">'[3]7422CW00'!#REF!</definedName>
    <definedName name="CHK_PU">'[3]7422CW00'!#REF!</definedName>
    <definedName name="CHP" localSheetId="18">#REF!</definedName>
    <definedName name="CHP" localSheetId="1">#REF!</definedName>
    <definedName name="CHP">#REF!</definedName>
    <definedName name="CISNEROS" localSheetId="18">#REF!</definedName>
    <definedName name="CISNEROS" localSheetId="1">#REF!</definedName>
    <definedName name="CISNEROS">#REF!</definedName>
    <definedName name="cjsa" localSheetId="18" hidden="1">#REF!</definedName>
    <definedName name="cjsa" localSheetId="1" hidden="1">#REF!</definedName>
    <definedName name="cjsa" hidden="1">#REF!</definedName>
    <definedName name="CL" localSheetId="18">#REF!</definedName>
    <definedName name="CL" localSheetId="1">#REF!</definedName>
    <definedName name="CL">#REF!</definedName>
    <definedName name="cmf">[55]Hoja1!$C$27</definedName>
    <definedName name="CMIBLE" localSheetId="18">#REF!</definedName>
    <definedName name="CMIBLE" localSheetId="1">#REF!</definedName>
    <definedName name="CMIBLE">#REF!</definedName>
    <definedName name="CMIBLE1" localSheetId="18">#REF!</definedName>
    <definedName name="CMIBLE1" localSheetId="1">#REF!</definedName>
    <definedName name="CMIBLE1">#REF!</definedName>
    <definedName name="CodActEco">[10]EMPRESA!$F$10</definedName>
    <definedName name="codigo" localSheetId="18">#REF!,#REF!</definedName>
    <definedName name="codigo" localSheetId="1">#REF!,#REF!</definedName>
    <definedName name="codigo">#REF!,#REF!</definedName>
    <definedName name="CodigoInversion" localSheetId="18">#REF!</definedName>
    <definedName name="CodigoInversion" localSheetId="1">#REF!</definedName>
    <definedName name="CodigoInversion">#REF!</definedName>
    <definedName name="CodigoProyecto" localSheetId="18">#REF!</definedName>
    <definedName name="CodigoProyecto" localSheetId="1">#REF!</definedName>
    <definedName name="CodigoProyecto">#REF!</definedName>
    <definedName name="Codigos" localSheetId="18">#REF!</definedName>
    <definedName name="Codigos" localSheetId="1">#REF!</definedName>
    <definedName name="Codigos">#REF!</definedName>
    <definedName name="cogvsiruj" localSheetId="18">[35]COMPARATIVO!#REF!</definedName>
    <definedName name="cogvsiruj" localSheetId="1">[35]COMPARATIVO!#REF!</definedName>
    <definedName name="cogvsiruj">[35]COMPARATIVO!#REF!</definedName>
    <definedName name="COLON" localSheetId="18">#REF!</definedName>
    <definedName name="COLON" localSheetId="1">#REF!</definedName>
    <definedName name="COLON">#REF!</definedName>
    <definedName name="Com">'[41]LIQUIDA-NOMINA'!$AL$4</definedName>
    <definedName name="COMIDA" localSheetId="18">#REF!</definedName>
    <definedName name="COMIDA" localSheetId="1">#REF!</definedName>
    <definedName name="COMIDA">#REF!</definedName>
    <definedName name="Compresores" localSheetId="18">#REF!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[41]CONTRATO!$E$8</definedName>
    <definedName name="COPIA">[0]!ERR</definedName>
    <definedName name="COPIA1" localSheetId="18">#REF!</definedName>
    <definedName name="COPIA1" localSheetId="1">#REF!</definedName>
    <definedName name="COPIA1">#REF!</definedName>
    <definedName name="COPIA2" localSheetId="18">#REF!</definedName>
    <definedName name="COPIA2" localSheetId="1">#REF!</definedName>
    <definedName name="COPIA2">#REF!</definedName>
    <definedName name="copiao4">[0]!ERR</definedName>
    <definedName name="corri">[0]!ERR</definedName>
    <definedName name="COSTO_FRENTE">[57]BITACORA!$E$1:$E$65536</definedName>
    <definedName name="costo2" localSheetId="18" hidden="1">#REF!</definedName>
    <definedName name="costo2" localSheetId="1" hidden="1">#REF!</definedName>
    <definedName name="costo2" hidden="1">#REF!</definedName>
    <definedName name="COSTODIRECTO" localSheetId="18">#REF!</definedName>
    <definedName name="COSTODIRECTO" localSheetId="32">#REF!</definedName>
    <definedName name="COSTODIRECTO" localSheetId="40">#REF!</definedName>
    <definedName name="COSTODIRECTO" localSheetId="41">#REF!</definedName>
    <definedName name="COSTODIRECTO" localSheetId="43">#REF!</definedName>
    <definedName name="COSTODIRECTO" localSheetId="64">#REF!</definedName>
    <definedName name="COSTODIRECTO" localSheetId="1">#REF!</definedName>
    <definedName name="COSTODIRECTO" localSheetId="2">#REF!</definedName>
    <definedName name="COSTODIRECTO">#REF!</definedName>
    <definedName name="COSTOS">[58]TARIFAS!$A$1:$F$52</definedName>
    <definedName name="CRIT" localSheetId="18">#REF!</definedName>
    <definedName name="CRIT" localSheetId="1">#REF!</definedName>
    <definedName name="CRIT">#REF!</definedName>
    <definedName name="CRIT_APIAY" localSheetId="18">#REF!</definedName>
    <definedName name="CRIT_APIAY" localSheetId="1">#REF!</definedName>
    <definedName name="CRIT_APIAY">#REF!</definedName>
    <definedName name="CRIT_CHICHI" localSheetId="18">#REF!</definedName>
    <definedName name="CRIT_CHICHI" localSheetId="1">#REF!</definedName>
    <definedName name="CRIT_CHICHI">#REF!</definedName>
    <definedName name="CRIT_CHICHI1" localSheetId="18">#REF!</definedName>
    <definedName name="CRIT_CHICHI1" localSheetId="1">#REF!</definedName>
    <definedName name="CRIT_CHICHI1">#REF!</definedName>
    <definedName name="CRIT_DOL" localSheetId="18">#REF!</definedName>
    <definedName name="CRIT_DOL" localSheetId="1">#REF!</definedName>
    <definedName name="CRIT_DOL">#REF!</definedName>
    <definedName name="CRIT_DOL1" localSheetId="18">#REF!</definedName>
    <definedName name="CRIT_DOL1" localSheetId="1">#REF!</definedName>
    <definedName name="CRIT_DOL1">#REF!</definedName>
    <definedName name="CRIT1" localSheetId="18">#REF!</definedName>
    <definedName name="CRIT1" localSheetId="1">#REF!</definedName>
    <definedName name="CRIT1">#REF!</definedName>
    <definedName name="Criteria_MI">[59]civ_roma!$C$803:$G$804</definedName>
    <definedName name="Criterios_IM" localSheetId="18">'[3]7422CW00'!#REF!</definedName>
    <definedName name="Criterios_IM" localSheetId="1">'[3]7422CW00'!#REF!</definedName>
    <definedName name="Criterios_IM">'[3]7422CW00'!#REF!</definedName>
    <definedName name="Criticidad">[60]Tabla!$A$1:$A$5</definedName>
    <definedName name="cs" localSheetId="18">#REF!</definedName>
    <definedName name="cs" localSheetId="1">#REF!</definedName>
    <definedName name="cs">#REF!</definedName>
    <definedName name="CS_AVG_SIZE" localSheetId="18">#REF!</definedName>
    <definedName name="CS_AVG_SIZE" localSheetId="1">#REF!</definedName>
    <definedName name="CS_AVG_SIZE">#REF!</definedName>
    <definedName name="CS_WELDING" localSheetId="18">#REF!</definedName>
    <definedName name="CS_WELDING" localSheetId="1">#REF!</definedName>
    <definedName name="CS_WELDING">#REF!</definedName>
    <definedName name="CTA" localSheetId="18">#REF!</definedName>
    <definedName name="CTA" localSheetId="32">#REF!</definedName>
    <definedName name="CTA" localSheetId="40">#REF!</definedName>
    <definedName name="CTA" localSheetId="41">#REF!</definedName>
    <definedName name="CTA" localSheetId="43">#REF!</definedName>
    <definedName name="CTA" localSheetId="64">#REF!</definedName>
    <definedName name="CTA" localSheetId="1">#REF!</definedName>
    <definedName name="CTA" localSheetId="2">#REF!</definedName>
    <definedName name="CTA">#REF!</definedName>
    <definedName name="CTE" localSheetId="18">#REF!</definedName>
    <definedName name="CTE" localSheetId="1">#REF!</definedName>
    <definedName name="CTE">#REF!</definedName>
    <definedName name="CTR" localSheetId="18">'[3]7422CW00'!#REF!</definedName>
    <definedName name="CTR" localSheetId="1">'[3]7422CW00'!#REF!</definedName>
    <definedName name="CTR">'[3]7422CW00'!#REF!</definedName>
    <definedName name="CTRPAG" localSheetId="18">'[3]7422CW00'!#REF!</definedName>
    <definedName name="CTRPAG" localSheetId="1">'[3]7422CW00'!#REF!</definedName>
    <definedName name="CTRPAG">'[3]7422CW00'!#REF!</definedName>
    <definedName name="CUAL">[0]!ERR</definedName>
    <definedName name="CUBS" localSheetId="18">#REF!</definedName>
    <definedName name="CUBS" localSheetId="32">#REF!</definedName>
    <definedName name="CUBS" localSheetId="40">#REF!</definedName>
    <definedName name="CUBS" localSheetId="41">#REF!</definedName>
    <definedName name="CUBS" localSheetId="43">#REF!</definedName>
    <definedName name="CUBS" localSheetId="64">#REF!</definedName>
    <definedName name="CUBS" localSheetId="1">#REF!</definedName>
    <definedName name="CUBS" localSheetId="2">#REF!</definedName>
    <definedName name="CUBS">#REF!</definedName>
    <definedName name="CUNET" hidden="1">{"via1",#N/A,TRUE,"general";"via2",#N/A,TRUE,"general";"via3",#N/A,TRUE,"general"}</definedName>
    <definedName name="Customize" localSheetId="18">[51]!Customize</definedName>
    <definedName name="Customize" localSheetId="1">[51]!Customize</definedName>
    <definedName name="Customize">[51]!Customize</definedName>
    <definedName name="cv" localSheetId="18">#REF!</definedName>
    <definedName name="cv" localSheetId="29">#REF!</definedName>
    <definedName name="cv" localSheetId="32">#REF!</definedName>
    <definedName name="cv" localSheetId="40">#REF!</definedName>
    <definedName name="cv" localSheetId="41">#REF!</definedName>
    <definedName name="cv" localSheetId="43">#REF!</definedName>
    <definedName name="cv" localSheetId="56">#REF!</definedName>
    <definedName name="cv" localSheetId="64">#REF!</definedName>
    <definedName name="cv" localSheetId="1">#REF!</definedName>
    <definedName name="cv" localSheetId="2">#REF!</definedName>
    <definedName name="cv">#REF!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18">#REF!</definedName>
    <definedName name="D_1" localSheetId="1">#REF!</definedName>
    <definedName name="D_1">#REF!</definedName>
    <definedName name="DAFT" localSheetId="18">#REF!</definedName>
    <definedName name="DAFT" localSheetId="1">#REF!</definedName>
    <definedName name="DAFT">#REF!</definedName>
    <definedName name="DANODO" localSheetId="18">#REF!</definedName>
    <definedName name="DANODO" localSheetId="1">#REF!</definedName>
    <definedName name="DANODO">#REF!</definedName>
    <definedName name="DANODOF" localSheetId="18">#REF!</definedName>
    <definedName name="DANODOF" localSheetId="1">#REF!</definedName>
    <definedName name="DANODOF">#REF!</definedName>
    <definedName name="DANODOFT" localSheetId="18">#REF!</definedName>
    <definedName name="DANODOFT" localSheetId="1">#REF!</definedName>
    <definedName name="DANODOFT">#REF!</definedName>
    <definedName name="dario" localSheetId="18">'[22]GPI 526'!#REF!</definedName>
    <definedName name="dario" localSheetId="29">'[22]GPI 526'!#REF!</definedName>
    <definedName name="dario" localSheetId="32">'[22]GPI 526'!#REF!</definedName>
    <definedName name="dario" localSheetId="40">'[22]GPI 526'!#REF!</definedName>
    <definedName name="dario" localSheetId="41">'[22]GPI 526'!#REF!</definedName>
    <definedName name="dario" localSheetId="43">'[22]GPI 526'!#REF!</definedName>
    <definedName name="dario" localSheetId="56">'[22]GPI 526'!#REF!</definedName>
    <definedName name="dario" localSheetId="64">'[22]GPI 526'!#REF!</definedName>
    <definedName name="dario" localSheetId="1">'[22]GPI 526'!#REF!</definedName>
    <definedName name="dario" localSheetId="2">'[22]GPI 526'!#REF!</definedName>
    <definedName name="dario">'[22]GPI 526'!#REF!</definedName>
    <definedName name="DASD" hidden="1">{"TAB1",#N/A,TRUE,"GENERAL";"TAB2",#N/A,TRUE,"GENERAL";"TAB3",#N/A,TRUE,"GENERAL";"TAB4",#N/A,TRUE,"GENERAL";"TAB5",#N/A,TRUE,"GENERAL"}</definedName>
    <definedName name="Data" localSheetId="18">#REF!</definedName>
    <definedName name="Data" localSheetId="1">#REF!</definedName>
    <definedName name="Data">#REF!</definedName>
    <definedName name="data1" localSheetId="18">#REF!</definedName>
    <definedName name="data1" localSheetId="1">#REF!</definedName>
    <definedName name="data1">#REF!</definedName>
    <definedName name="data10" localSheetId="18">#REF!</definedName>
    <definedName name="data10" localSheetId="1">#REF!</definedName>
    <definedName name="data10">#REF!</definedName>
    <definedName name="data11" localSheetId="18">#REF!</definedName>
    <definedName name="data11" localSheetId="1">#REF!</definedName>
    <definedName name="data11">#REF!</definedName>
    <definedName name="data12" localSheetId="18">#REF!</definedName>
    <definedName name="data12" localSheetId="1">#REF!</definedName>
    <definedName name="data12">#REF!</definedName>
    <definedName name="data13" localSheetId="18">#REF!</definedName>
    <definedName name="data13" localSheetId="1">#REF!</definedName>
    <definedName name="data13">#REF!</definedName>
    <definedName name="data14" localSheetId="18">#REF!</definedName>
    <definedName name="data14" localSheetId="1">#REF!</definedName>
    <definedName name="data14">#REF!</definedName>
    <definedName name="data15" localSheetId="18">#REF!</definedName>
    <definedName name="data15" localSheetId="1">#REF!</definedName>
    <definedName name="data15">#REF!</definedName>
    <definedName name="data16" localSheetId="18">#REF!</definedName>
    <definedName name="data16" localSheetId="1">#REF!</definedName>
    <definedName name="data16">#REF!</definedName>
    <definedName name="data17" localSheetId="18">#REF!</definedName>
    <definedName name="data17" localSheetId="1">#REF!</definedName>
    <definedName name="data17">#REF!</definedName>
    <definedName name="data18" localSheetId="18">#REF!</definedName>
    <definedName name="data18" localSheetId="1">#REF!</definedName>
    <definedName name="data18">#REF!</definedName>
    <definedName name="data19" localSheetId="18">#REF!</definedName>
    <definedName name="data19" localSheetId="1">#REF!</definedName>
    <definedName name="data19">#REF!</definedName>
    <definedName name="data2" localSheetId="18">#REF!</definedName>
    <definedName name="data2" localSheetId="1">#REF!</definedName>
    <definedName name="data2">#REF!</definedName>
    <definedName name="data20" localSheetId="18">#REF!</definedName>
    <definedName name="data20" localSheetId="1">#REF!</definedName>
    <definedName name="data20">#REF!</definedName>
    <definedName name="data21" localSheetId="18">#REF!</definedName>
    <definedName name="data21" localSheetId="1">#REF!</definedName>
    <definedName name="data21">#REF!</definedName>
    <definedName name="data22" localSheetId="18">#REF!</definedName>
    <definedName name="data22" localSheetId="1">#REF!</definedName>
    <definedName name="data22">#REF!</definedName>
    <definedName name="data23" localSheetId="18">#REF!</definedName>
    <definedName name="data23" localSheetId="1">#REF!</definedName>
    <definedName name="data23">#REF!</definedName>
    <definedName name="data24" localSheetId="18">#REF!</definedName>
    <definedName name="data24" localSheetId="1">#REF!</definedName>
    <definedName name="data24">#REF!</definedName>
    <definedName name="data25" localSheetId="18">#REF!</definedName>
    <definedName name="data25" localSheetId="1">#REF!</definedName>
    <definedName name="data25">#REF!</definedName>
    <definedName name="data26" localSheetId="18">#REF!</definedName>
    <definedName name="data26" localSheetId="1">#REF!</definedName>
    <definedName name="data26">#REF!</definedName>
    <definedName name="data27" localSheetId="18">#REF!</definedName>
    <definedName name="data27" localSheetId="1">#REF!</definedName>
    <definedName name="data27">#REF!</definedName>
    <definedName name="data28" localSheetId="18">#REF!</definedName>
    <definedName name="data28" localSheetId="1">#REF!</definedName>
    <definedName name="data28">#REF!</definedName>
    <definedName name="data29" localSheetId="18">#REF!</definedName>
    <definedName name="data29" localSheetId="1">#REF!</definedName>
    <definedName name="data29">#REF!</definedName>
    <definedName name="data3" localSheetId="18">#REF!</definedName>
    <definedName name="data3" localSheetId="1">#REF!</definedName>
    <definedName name="data3">#REF!</definedName>
    <definedName name="data30" localSheetId="18">#REF!</definedName>
    <definedName name="data30" localSheetId="1">#REF!</definedName>
    <definedName name="data30">#REF!</definedName>
    <definedName name="data31" localSheetId="18">#REF!</definedName>
    <definedName name="data31" localSheetId="1">#REF!</definedName>
    <definedName name="data31">#REF!</definedName>
    <definedName name="data32" localSheetId="18">#REF!</definedName>
    <definedName name="data32" localSheetId="1">#REF!</definedName>
    <definedName name="data32">#REF!</definedName>
    <definedName name="data33" localSheetId="18">#REF!</definedName>
    <definedName name="data33" localSheetId="1">#REF!</definedName>
    <definedName name="data33">#REF!</definedName>
    <definedName name="data34" localSheetId="18">#REF!</definedName>
    <definedName name="data34" localSheetId="1">#REF!</definedName>
    <definedName name="data34">#REF!</definedName>
    <definedName name="data35" localSheetId="18">#REF!</definedName>
    <definedName name="data35" localSheetId="1">#REF!</definedName>
    <definedName name="data35">#REF!</definedName>
    <definedName name="data36" localSheetId="18">#REF!</definedName>
    <definedName name="data36" localSheetId="1">#REF!</definedName>
    <definedName name="data36">#REF!</definedName>
    <definedName name="data37" localSheetId="18">#REF!</definedName>
    <definedName name="data37" localSheetId="1">#REF!</definedName>
    <definedName name="data37">#REF!</definedName>
    <definedName name="data38" localSheetId="18">#REF!</definedName>
    <definedName name="data38" localSheetId="1">#REF!</definedName>
    <definedName name="data38">#REF!</definedName>
    <definedName name="data39" localSheetId="18">#REF!</definedName>
    <definedName name="data39" localSheetId="1">#REF!</definedName>
    <definedName name="data39">#REF!</definedName>
    <definedName name="data4" localSheetId="18">#REF!</definedName>
    <definedName name="data4" localSheetId="1">#REF!</definedName>
    <definedName name="data4">#REF!</definedName>
    <definedName name="data40" localSheetId="18">#REF!</definedName>
    <definedName name="data40" localSheetId="1">#REF!</definedName>
    <definedName name="data40">#REF!</definedName>
    <definedName name="data41" localSheetId="18">#REF!</definedName>
    <definedName name="data41" localSheetId="1">#REF!</definedName>
    <definedName name="data41">#REF!</definedName>
    <definedName name="data42" localSheetId="18">#REF!</definedName>
    <definedName name="data42" localSheetId="1">#REF!</definedName>
    <definedName name="data42">#REF!</definedName>
    <definedName name="data43" localSheetId="18">#REF!</definedName>
    <definedName name="data43" localSheetId="1">#REF!</definedName>
    <definedName name="data43">#REF!</definedName>
    <definedName name="data44" localSheetId="18">#REF!</definedName>
    <definedName name="data44" localSheetId="1">#REF!</definedName>
    <definedName name="data44">#REF!</definedName>
    <definedName name="data45" localSheetId="18">#REF!</definedName>
    <definedName name="data45" localSheetId="1">#REF!</definedName>
    <definedName name="data45">#REF!</definedName>
    <definedName name="data46" localSheetId="18">#REF!</definedName>
    <definedName name="data46" localSheetId="1">#REF!</definedName>
    <definedName name="data46">#REF!</definedName>
    <definedName name="data47" localSheetId="18">#REF!</definedName>
    <definedName name="data47" localSheetId="1">#REF!</definedName>
    <definedName name="data47">#REF!</definedName>
    <definedName name="data48" localSheetId="18">#REF!</definedName>
    <definedName name="data48" localSheetId="1">#REF!</definedName>
    <definedName name="data48">#REF!</definedName>
    <definedName name="data49" localSheetId="18">#REF!</definedName>
    <definedName name="data49" localSheetId="1">#REF!</definedName>
    <definedName name="data49">#REF!</definedName>
    <definedName name="data5" localSheetId="18">#REF!</definedName>
    <definedName name="data5" localSheetId="1">#REF!</definedName>
    <definedName name="data5">#REF!</definedName>
    <definedName name="data50" localSheetId="18">#REF!</definedName>
    <definedName name="data50" localSheetId="1">#REF!</definedName>
    <definedName name="data50">#REF!</definedName>
    <definedName name="data51" localSheetId="18">#REF!</definedName>
    <definedName name="data51" localSheetId="1">#REF!</definedName>
    <definedName name="data51">#REF!</definedName>
    <definedName name="data52" localSheetId="18">#REF!</definedName>
    <definedName name="data52" localSheetId="1">#REF!</definedName>
    <definedName name="data52">#REF!</definedName>
    <definedName name="data53" localSheetId="18">#REF!</definedName>
    <definedName name="data53" localSheetId="1">#REF!</definedName>
    <definedName name="data53">#REF!</definedName>
    <definedName name="data54" localSheetId="18">#REF!</definedName>
    <definedName name="data54" localSheetId="1">#REF!</definedName>
    <definedName name="data54">#REF!</definedName>
    <definedName name="data55" localSheetId="18">#REF!</definedName>
    <definedName name="data55" localSheetId="1">#REF!</definedName>
    <definedName name="data55">#REF!</definedName>
    <definedName name="data56" localSheetId="18">#REF!</definedName>
    <definedName name="data56" localSheetId="1">#REF!</definedName>
    <definedName name="data56">#REF!</definedName>
    <definedName name="data57" localSheetId="18">#REF!</definedName>
    <definedName name="data57" localSheetId="1">#REF!</definedName>
    <definedName name="data57">#REF!</definedName>
    <definedName name="data58" localSheetId="18">#REF!</definedName>
    <definedName name="data58" localSheetId="1">#REF!</definedName>
    <definedName name="data58">#REF!</definedName>
    <definedName name="data59" localSheetId="18">#REF!</definedName>
    <definedName name="data59" localSheetId="1">#REF!</definedName>
    <definedName name="data59">#REF!</definedName>
    <definedName name="data6" localSheetId="18">#REF!</definedName>
    <definedName name="data6" localSheetId="1">#REF!</definedName>
    <definedName name="data6">#REF!</definedName>
    <definedName name="data60" localSheetId="18">#REF!</definedName>
    <definedName name="data60" localSheetId="1">#REF!</definedName>
    <definedName name="data60">#REF!</definedName>
    <definedName name="data61" localSheetId="18">#REF!</definedName>
    <definedName name="data61" localSheetId="1">#REF!</definedName>
    <definedName name="data61">#REF!</definedName>
    <definedName name="data62" localSheetId="18">#REF!</definedName>
    <definedName name="data62" localSheetId="1">#REF!</definedName>
    <definedName name="data62">#REF!</definedName>
    <definedName name="data63" localSheetId="18">#REF!</definedName>
    <definedName name="data63" localSheetId="1">#REF!</definedName>
    <definedName name="data63">#REF!</definedName>
    <definedName name="data64" localSheetId="18">#REF!</definedName>
    <definedName name="data64" localSheetId="1">#REF!</definedName>
    <definedName name="data64">#REF!</definedName>
    <definedName name="data65" localSheetId="18">#REF!</definedName>
    <definedName name="data65" localSheetId="1">#REF!</definedName>
    <definedName name="data65">#REF!</definedName>
    <definedName name="data66" localSheetId="18">#REF!</definedName>
    <definedName name="data66" localSheetId="1">#REF!</definedName>
    <definedName name="data66">#REF!</definedName>
    <definedName name="data67" localSheetId="18">#REF!</definedName>
    <definedName name="data67" localSheetId="1">#REF!</definedName>
    <definedName name="data67">#REF!</definedName>
    <definedName name="data68" localSheetId="18">#REF!</definedName>
    <definedName name="data68" localSheetId="1">#REF!</definedName>
    <definedName name="data68">#REF!</definedName>
    <definedName name="data69" localSheetId="18">#REF!</definedName>
    <definedName name="data69" localSheetId="1">#REF!</definedName>
    <definedName name="data69">#REF!</definedName>
    <definedName name="data7" localSheetId="18">#REF!</definedName>
    <definedName name="data7" localSheetId="1">#REF!</definedName>
    <definedName name="data7">#REF!</definedName>
    <definedName name="data70" localSheetId="18">#REF!</definedName>
    <definedName name="data70" localSheetId="1">#REF!</definedName>
    <definedName name="data70">#REF!</definedName>
    <definedName name="data8" localSheetId="18">#REF!</definedName>
    <definedName name="data8" localSheetId="1">#REF!</definedName>
    <definedName name="data8">#REF!</definedName>
    <definedName name="data9" localSheetId="18">#REF!</definedName>
    <definedName name="data9" localSheetId="1">#REF!</definedName>
    <definedName name="data9">#REF!</definedName>
    <definedName name="Database" localSheetId="18">#REF!</definedName>
    <definedName name="Database" localSheetId="1">#REF!</definedName>
    <definedName name="Database">#REF!</definedName>
    <definedName name="Database_MI">[59]civ_roma!$C$9:$G$799</definedName>
    <definedName name="DATO1">'[61]46'!$D$3:$CK$429</definedName>
    <definedName name="DATOS" localSheetId="18">#REF!</definedName>
    <definedName name="DATOS" localSheetId="1">#REF!</definedName>
    <definedName name="DATOS">#REF!</definedName>
    <definedName name="DBASE1" localSheetId="18">#REF!</definedName>
    <definedName name="DBASE1" localSheetId="1">#REF!</definedName>
    <definedName name="DBASE1">#REF!</definedName>
    <definedName name="DBASE2" localSheetId="18">#REF!</definedName>
    <definedName name="DBASE2" localSheetId="1">#REF!</definedName>
    <definedName name="DBASE2">#REF!</definedName>
    <definedName name="DBASE3" localSheetId="18">#REF!</definedName>
    <definedName name="DBASE3" localSheetId="1">#REF!</definedName>
    <definedName name="DBASE3">#REF!</definedName>
    <definedName name="dbfdfbi" hidden="1">{"TAB1",#N/A,TRUE,"GENERAL";"TAB2",#N/A,TRUE,"GENERAL";"TAB3",#N/A,TRUE,"GENERAL";"TAB4",#N/A,TRUE,"GENERAL";"TAB5",#N/A,TRUE,"GENERAL"}</definedName>
    <definedName name="Dbgcm" localSheetId="18">#REF!</definedName>
    <definedName name="Dbgcm" localSheetId="32">#REF!</definedName>
    <definedName name="Dbgcm" localSheetId="40">#REF!</definedName>
    <definedName name="Dbgcm" localSheetId="41">#REF!</definedName>
    <definedName name="Dbgcm" localSheetId="43">#REF!</definedName>
    <definedName name="Dbgcm" localSheetId="64">#REF!</definedName>
    <definedName name="Dbgcm" localSheetId="1">#REF!</definedName>
    <definedName name="Dbgcm" localSheetId="2">#REF!</definedName>
    <definedName name="Dbgcm">#REF!</definedName>
    <definedName name="dc" localSheetId="18">#REF!</definedName>
    <definedName name="dc" localSheetId="1">#REF!</definedName>
    <definedName name="dc">#REF!</definedName>
    <definedName name="Dcacm" localSheetId="18">#REF!</definedName>
    <definedName name="Dcacm" localSheetId="32">#REF!</definedName>
    <definedName name="Dcacm" localSheetId="40">#REF!</definedName>
    <definedName name="Dcacm" localSheetId="41">#REF!</definedName>
    <definedName name="Dcacm" localSheetId="43">#REF!</definedName>
    <definedName name="Dcacm" localSheetId="64">#REF!</definedName>
    <definedName name="Dcacm" localSheetId="1">#REF!</definedName>
    <definedName name="Dcacm" localSheetId="2">#REF!</definedName>
    <definedName name="Dcacm">#REF!</definedName>
    <definedName name="DCI" localSheetId="18">[12]Tablas!#REF!</definedName>
    <definedName name="DCI" localSheetId="1">[12]Tablas!#REF!</definedName>
    <definedName name="DCI">[12]Tablas!#REF!</definedName>
    <definedName name="DCI1_1" localSheetId="18">[12]Tablas!#REF!</definedName>
    <definedName name="DCI1_1" localSheetId="1">[12]Tablas!#REF!</definedName>
    <definedName name="DCI1_1">[12]Tablas!#REF!</definedName>
    <definedName name="DCI1_1_1" localSheetId="18">[12]Tablas!#REF!</definedName>
    <definedName name="DCI1_1_1" localSheetId="1">[12]Tablas!#REF!</definedName>
    <definedName name="DCI1_1_1">[12]Tablas!#REF!</definedName>
    <definedName name="DCI1_1_2" localSheetId="18">[12]Tablas!#REF!</definedName>
    <definedName name="DCI1_1_2" localSheetId="1">[12]Tablas!#REF!</definedName>
    <definedName name="DCI1_1_2">[12]Tablas!#REF!</definedName>
    <definedName name="DCI1_1_3" localSheetId="18">[12]Tablas!#REF!</definedName>
    <definedName name="DCI1_1_3" localSheetId="1">[12]Tablas!#REF!</definedName>
    <definedName name="DCI1_1_3">[12]Tablas!#REF!</definedName>
    <definedName name="DCI1_1_4" localSheetId="18">[12]Tablas!#REF!</definedName>
    <definedName name="DCI1_1_4" localSheetId="1">[12]Tablas!#REF!</definedName>
    <definedName name="DCI1_1_4">[12]Tablas!#REF!</definedName>
    <definedName name="DCI1_2" localSheetId="18">[12]Tablas!#REF!</definedName>
    <definedName name="DCI1_2" localSheetId="1">[12]Tablas!#REF!</definedName>
    <definedName name="DCI1_2">[12]Tablas!#REF!</definedName>
    <definedName name="DCI1_3" localSheetId="18">[12]Tablas!#REF!</definedName>
    <definedName name="DCI1_3" localSheetId="1">[12]Tablas!#REF!</definedName>
    <definedName name="DCI1_3">[12]Tablas!#REF!</definedName>
    <definedName name="DCI1_4" localSheetId="18">[12]Tablas!#REF!</definedName>
    <definedName name="DCI1_4" localSheetId="1">[12]Tablas!#REF!</definedName>
    <definedName name="DCI1_4">[12]Tablas!#REF!</definedName>
    <definedName name="DCorriente" localSheetId="18">#REF!</definedName>
    <definedName name="DCorriente" localSheetId="1">#REF!</definedName>
    <definedName name="DCorriente">#REF!</definedName>
    <definedName name="Dcorriente1" localSheetId="18">'[62]Pta a tierra'!#REF!</definedName>
    <definedName name="Dcorriente1" localSheetId="1">'[62]Pta a tierra'!#REF!</definedName>
    <definedName name="Dcorriente1">'[62]Pta a tierra'!#REF!</definedName>
    <definedName name="DCSDCTV" hidden="1">{"via1",#N/A,TRUE,"general";"via2",#N/A,TRUE,"general";"via3",#N/A,TRUE,"general"}</definedName>
    <definedName name="dd" localSheetId="18">#REF!</definedName>
    <definedName name="dd" localSheetId="32">#REF!</definedName>
    <definedName name="dd" localSheetId="40">#REF!</definedName>
    <definedName name="dd" localSheetId="41">#REF!</definedName>
    <definedName name="dd" localSheetId="43">#REF!</definedName>
    <definedName name="dd" localSheetId="64">#REF!</definedName>
    <definedName name="dd" localSheetId="1">#REF!</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18">[12]Tablas!#REF!</definedName>
    <definedName name="DDS" localSheetId="1">[12]Tablas!#REF!</definedName>
    <definedName name="DDS">[12]Tablas!#REF!</definedName>
    <definedName name="DDS1_1" localSheetId="18">[12]Tablas!#REF!</definedName>
    <definedName name="DDS1_1" localSheetId="1">[12]Tablas!#REF!</definedName>
    <definedName name="DDS1_1">[12]Tablas!#REF!</definedName>
    <definedName name="DDS1_1_1" localSheetId="18">[12]Tablas!#REF!</definedName>
    <definedName name="DDS1_1_1" localSheetId="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18">#REF!</definedName>
    <definedName name="demanto" localSheetId="29">#REF!</definedName>
    <definedName name="demanto" localSheetId="32">#REF!</definedName>
    <definedName name="demanto" localSheetId="40">#REF!</definedName>
    <definedName name="demanto" localSheetId="41">#REF!</definedName>
    <definedName name="demanto" localSheetId="43">#REF!</definedName>
    <definedName name="demanto" localSheetId="56">#REF!</definedName>
    <definedName name="demanto" localSheetId="64">#REF!</definedName>
    <definedName name="demanto" localSheetId="1">#REF!</definedName>
    <definedName name="demanto" localSheetId="2">#REF!</definedName>
    <definedName name="demanto">#REF!</definedName>
    <definedName name="DEMOLICIÓN">'[63]BASE-LISTAS'!$B$24:$B$29</definedName>
    <definedName name="DEP_VPR_GRM" localSheetId="18">#REF!</definedName>
    <definedName name="DEP_VPR_GRM" localSheetId="1">#REF!</definedName>
    <definedName name="DEP_VPR_GRM">#REF!</definedName>
    <definedName name="DEP_VPR_GRN" localSheetId="18">#REF!</definedName>
    <definedName name="DEP_VPR_GRN" localSheetId="1">#REF!</definedName>
    <definedName name="DEP_VPR_GRN">#REF!</definedName>
    <definedName name="DEP_VPR_GRS" localSheetId="18">#REF!</definedName>
    <definedName name="DEP_VPR_GRS" localSheetId="1">#REF!</definedName>
    <definedName name="DEP_VPR_GRS">#REF!</definedName>
    <definedName name="DEP_VPR_GTP" localSheetId="18">#REF!</definedName>
    <definedName name="DEP_VPR_GTP" localSheetId="1">#REF!</definedName>
    <definedName name="DEP_VPR_GTP">#REF!</definedName>
    <definedName name="DEP_VPR_NA" localSheetId="18">#REF!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8">#REF!</definedName>
    <definedName name="DERFE" localSheetId="1">#REF!</definedName>
    <definedName name="DERFE">#REF!</definedName>
    <definedName name="desarrolladas">'[28]Reservas de Petróleo'!$A$2,'[28]Reservas de Petróleo'!$A$1,'[28]Reservas de Petróleo'!$D$4,'[28]Reservas de Petróleo'!$F$1:$F$65536</definedName>
    <definedName name="DESCUNMI" localSheetId="18">#REF!</definedName>
    <definedName name="DESCUNMI" localSheetId="1">#REF!</definedName>
    <definedName name="DESCUNMI">#REF!</definedName>
    <definedName name="DEST_ART" localSheetId="18">[46]steel!#REF!</definedName>
    <definedName name="DEST_ART" localSheetId="1">[46]steel!#REF!</definedName>
    <definedName name="DEST_ART">[46]steel!#REF!</definedName>
    <definedName name="DESTCOD" localSheetId="18">'[3]7422CW00'!#REF!</definedName>
    <definedName name="DESTCOD" localSheetId="1">'[3]7422CW00'!#REF!</definedName>
    <definedName name="DESTCOD">'[3]7422CW00'!#REF!</definedName>
    <definedName name="DESTFG" localSheetId="18">'[3]7422CW00'!#REF!</definedName>
    <definedName name="DESTFG" localSheetId="1">'[3]7422CW00'!#REF!</definedName>
    <definedName name="DESTFG">'[3]7422CW00'!#REF!</definedName>
    <definedName name="DESTQTY" localSheetId="18">'[3]7422CW00'!#REF!</definedName>
    <definedName name="DESTQTY" localSheetId="1">'[3]7422CW00'!#REF!</definedName>
    <definedName name="DESTQTY">'[3]7422CW00'!#REF!</definedName>
    <definedName name="DETAIL" localSheetId="18">#REF!</definedName>
    <definedName name="DETAIL" localSheetId="1">#REF!</definedName>
    <definedName name="DETAIL">#REF!</definedName>
    <definedName name="Detalle_Reserva" localSheetId="18">#REF!</definedName>
    <definedName name="Detalle_Reserva" localSheetId="1">#REF!</definedName>
    <definedName name="Detalle_Reserva">#REF!</definedName>
    <definedName name="DEX" localSheetId="18">#REF!</definedName>
    <definedName name="DEX" localSheetId="32">#REF!</definedName>
    <definedName name="DEX" localSheetId="40">#REF!</definedName>
    <definedName name="DEX" localSheetId="41">#REF!</definedName>
    <definedName name="DEX" localSheetId="43">#REF!</definedName>
    <definedName name="DEX" localSheetId="64">#REF!</definedName>
    <definedName name="DEX" localSheetId="1">#REF!</definedName>
    <definedName name="DEX" localSheetId="2">#REF!</definedName>
    <definedName name="DEX">#REF!</definedName>
    <definedName name="DF" localSheetId="18">[64]Cronograma!#REF!</definedName>
    <definedName name="DF" localSheetId="1">[64]Cronograma!#REF!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18">[12]Tablas!#REF!</definedName>
    <definedName name="DGO" localSheetId="1">[12]Tablas!#REF!</definedName>
    <definedName name="DGO">[12]Tablas!#REF!</definedName>
    <definedName name="DGO1_1" localSheetId="18">[12]Tablas!#REF!</definedName>
    <definedName name="DGO1_1" localSheetId="1">[12]Tablas!#REF!</definedName>
    <definedName name="DGO1_1">[12]Tablas!#REF!</definedName>
    <definedName name="DGO1_1_1" localSheetId="18">[12]Tablas!#REF!</definedName>
    <definedName name="DGO1_1_1" localSheetId="1">[12]Tablas!#REF!</definedName>
    <definedName name="DGO1_1_1">[12]Tablas!#REF!</definedName>
    <definedName name="DGP" localSheetId="18">[12]Tablas!#REF!</definedName>
    <definedName name="DGP" localSheetId="1">[12]Tablas!#REF!</definedName>
    <definedName name="DGP">[12]Tablas!#REF!</definedName>
    <definedName name="DGP1_1" localSheetId="18">[12]Tablas!#REF!</definedName>
    <definedName name="DGP1_1" localSheetId="1">[12]Tablas!#REF!</definedName>
    <definedName name="DGP1_1">[12]Tablas!#REF!</definedName>
    <definedName name="DGP1_1_1" localSheetId="18">[12]Tablas!#REF!</definedName>
    <definedName name="DGP1_1_1" localSheetId="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[24]PRESUPUESTO!$B$13</definedName>
    <definedName name="Diámetro" localSheetId="18">#REF!</definedName>
    <definedName name="Diámetro" localSheetId="1">#REF!</definedName>
    <definedName name="Diámetro">#REF!</definedName>
    <definedName name="diámetroft" localSheetId="18">#REF!</definedName>
    <definedName name="diámetroft" localSheetId="1">#REF!</definedName>
    <definedName name="diámetroft">#REF!</definedName>
    <definedName name="diferencia" localSheetId="18">'[65]MEDIA GEOMETRICA'!$J$8,'[65]MEDIA GEOMETRICA'!$N$8,'[65]MEDIA GEOMETRICA'!$R$8,'[65]MEDIA GEOMETRICA'!$V$8,'[65]MEDIA GEOMETRICA'!$Z$8,'[65]MEDIA GEOMETRICA'!$AD$8,'[65]MEDIA GEOMETRICA'!$AH$8,'[65]MEDIA GEOMETRICA'!$AL$8,'[65]MEDIA GEOMETRICA'!#REF!,'[65]MEDIA GEOMETRICA'!#REF!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8">[12]Tablas!#REF!</definedName>
    <definedName name="DIJ" localSheetId="1">[12]Tablas!#REF!</definedName>
    <definedName name="DIJ">[12]Tablas!#REF!</definedName>
    <definedName name="DIJ1_1" localSheetId="18">[12]Tablas!#REF!</definedName>
    <definedName name="DIJ1_1" localSheetId="1">[12]Tablas!#REF!</definedName>
    <definedName name="DIJ1_1">[12]Tablas!#REF!</definedName>
    <definedName name="DIJ1_1_1" localSheetId="18">[12]Tablas!#REF!</definedName>
    <definedName name="DIJ1_1_1" localSheetId="1">[12]Tablas!#REF!</definedName>
    <definedName name="DIJ1_1_1">[12]Tablas!#REF!</definedName>
    <definedName name="DIJ1_1_2" localSheetId="18">[12]Tablas!#REF!</definedName>
    <definedName name="DIJ1_1_2" localSheetId="1">[12]Tablas!#REF!</definedName>
    <definedName name="DIJ1_1_2">[12]Tablas!#REF!</definedName>
    <definedName name="DIJ1_1_3" localSheetId="18">[12]Tablas!#REF!</definedName>
    <definedName name="DIJ1_1_3" localSheetId="1">[12]Tablas!#REF!</definedName>
    <definedName name="DIJ1_1_3">[12]Tablas!#REF!</definedName>
    <definedName name="DIJ1_1_4" localSheetId="18">[12]Tablas!#REF!</definedName>
    <definedName name="DIJ1_1_4" localSheetId="1">[12]Tablas!#REF!</definedName>
    <definedName name="DIJ1_1_4">[12]Tablas!#REF!</definedName>
    <definedName name="DIJ1_1_5" localSheetId="18">[12]Tablas!#REF!</definedName>
    <definedName name="DIJ1_1_5" localSheetId="1">[12]Tablas!#REF!</definedName>
    <definedName name="DIJ1_1_5">[12]Tablas!#REF!</definedName>
    <definedName name="DIJ1_2" localSheetId="18">[12]Tablas!#REF!</definedName>
    <definedName name="DIJ1_2" localSheetId="1">[12]Tablas!#REF!</definedName>
    <definedName name="DIJ1_2">[12]Tablas!#REF!</definedName>
    <definedName name="DIJ1_3" localSheetId="18">[12]Tablas!#REF!</definedName>
    <definedName name="DIJ1_3" localSheetId="1">[12]Tablas!#REF!</definedName>
    <definedName name="DIJ1_3">[12]Tablas!#REF!</definedName>
    <definedName name="DIJ1_4" localSheetId="18">[12]Tablas!#REF!</definedName>
    <definedName name="DIJ1_4" localSheetId="1">[12]Tablas!#REF!</definedName>
    <definedName name="DIJ1_4">[12]Tablas!#REF!</definedName>
    <definedName name="DIJ1_5" localSheetId="18">[12]Tablas!#REF!</definedName>
    <definedName name="DIJ1_5" localSheetId="1">[12]Tablas!#REF!</definedName>
    <definedName name="DIJ1_5">[12]Tablas!#REF!</definedName>
    <definedName name="Direccion">[41]EMPRESA!$F$14</definedName>
    <definedName name="display_area_2" localSheetId="18">#REF!</definedName>
    <definedName name="display_area_2" localSheetId="1">#REF!</definedName>
    <definedName name="display_area_2">#REF!</definedName>
    <definedName name="djdytj" hidden="1">{"TAB1",#N/A,TRUE,"GENERAL";"TAB2",#N/A,TRUE,"GENERAL";"TAB3",#N/A,TRUE,"GENERAL";"TAB4",#N/A,TRUE,"GENERAL";"TAB5",#N/A,TRUE,"GENERAL"}</definedName>
    <definedName name="DMxUS" localSheetId="18">#REF!</definedName>
    <definedName name="DMxUS" localSheetId="1">#REF!</definedName>
    <definedName name="DMxUS">#REF!</definedName>
    <definedName name="do" localSheetId="18">#REF!</definedName>
    <definedName name="do" localSheetId="1">#REF!</definedName>
    <definedName name="do">#REF!</definedName>
    <definedName name="dolar" localSheetId="18">#REF!</definedName>
    <definedName name="dolar" localSheetId="1">#REF!</definedName>
    <definedName name="dolar">#REF!</definedName>
    <definedName name="DOLLAR">[66]CÁLCULOS!$H$34</definedName>
    <definedName name="DOTACIÓN" localSheetId="18">#REF!</definedName>
    <definedName name="DOTACIÓN" localSheetId="1">#REF!</definedName>
    <definedName name="DOTACIÓN">#REF!</definedName>
    <definedName name="DPI" localSheetId="18">[12]Tablas!#REF!</definedName>
    <definedName name="DPI" localSheetId="1">[12]Tablas!#REF!</definedName>
    <definedName name="DPI">[12]Tablas!#REF!</definedName>
    <definedName name="DPI1_1" localSheetId="18">[12]Tablas!#REF!</definedName>
    <definedName name="DPI1_1" localSheetId="1">[12]Tablas!#REF!</definedName>
    <definedName name="DPI1_1">[12]Tablas!#REF!</definedName>
    <definedName name="DPI1_1_1" localSheetId="18">[12]Tablas!#REF!</definedName>
    <definedName name="DPI1_1_1" localSheetId="1">[12]Tablas!#REF!</definedName>
    <definedName name="DPI1_1_1">[12]Tablas!#REF!</definedName>
    <definedName name="DPY" localSheetId="18">[12]Tablas!#REF!</definedName>
    <definedName name="DPY" localSheetId="1">[12]Tablas!#REF!</definedName>
    <definedName name="DPY">[12]Tablas!#REF!</definedName>
    <definedName name="DPY1_1" localSheetId="18">[12]Tablas!#REF!</definedName>
    <definedName name="DPY1_1" localSheetId="1">[12]Tablas!#REF!</definedName>
    <definedName name="DPY1_1">[12]Tablas!#REF!</definedName>
    <definedName name="DPY1_1_1" localSheetId="18">[12]Tablas!#REF!</definedName>
    <definedName name="DPY1_1_1" localSheetId="1">[12]Tablas!#REF!</definedName>
    <definedName name="DPY1_1_1">[12]Tablas!#REF!</definedName>
    <definedName name="DRI" localSheetId="18">[12]Tablas!#REF!</definedName>
    <definedName name="DRI" localSheetId="1">[12]Tablas!#REF!</definedName>
    <definedName name="DRI">[12]Tablas!#REF!</definedName>
    <definedName name="DRI1_1" localSheetId="18">[12]Tablas!#REF!</definedName>
    <definedName name="DRI1_1" localSheetId="1">[12]Tablas!#REF!</definedName>
    <definedName name="DRI1_1">[12]Tablas!#REF!</definedName>
    <definedName name="DRI1_1_1" localSheetId="18">[12]Tablas!#REF!</definedName>
    <definedName name="DRI1_1_1" localSheetId="1">[12]Tablas!#REF!</definedName>
    <definedName name="DRI1_1_1">[12]Tablas!#REF!</definedName>
    <definedName name="DRI1_1_2" localSheetId="18">[12]Tablas!#REF!</definedName>
    <definedName name="DRI1_1_2" localSheetId="1">[12]Tablas!#REF!</definedName>
    <definedName name="DRI1_1_2">[12]Tablas!#REF!</definedName>
    <definedName name="DRI1_1_3" localSheetId="18">[12]Tablas!#REF!</definedName>
    <definedName name="DRI1_1_3" localSheetId="1">[12]Tablas!#REF!</definedName>
    <definedName name="DRI1_1_3">[12]Tablas!#REF!</definedName>
    <definedName name="DRI1_1_4" localSheetId="18">[12]Tablas!#REF!</definedName>
    <definedName name="DRI1_1_4" localSheetId="1">[12]Tablas!#REF!</definedName>
    <definedName name="DRI1_1_4">[12]Tablas!#REF!</definedName>
    <definedName name="DRI1_2" localSheetId="18">[12]Tablas!#REF!</definedName>
    <definedName name="DRI1_2" localSheetId="1">[12]Tablas!#REF!</definedName>
    <definedName name="DRI1_2">[12]Tablas!#REF!</definedName>
    <definedName name="DRI1_3" localSheetId="18">[12]Tablas!#REF!</definedName>
    <definedName name="DRI1_3" localSheetId="1">[12]Tablas!#REF!</definedName>
    <definedName name="DRI1_3">[12]Tablas!#REF!</definedName>
    <definedName name="DRI1_4" localSheetId="18">[12]Tablas!#REF!</definedName>
    <definedName name="DRI1_4" localSheetId="1">[12]Tablas!#REF!</definedName>
    <definedName name="DRI1_4">[12]Tablas!#REF!</definedName>
    <definedName name="DRL" localSheetId="18">[12]Tablas!#REF!</definedName>
    <definedName name="DRL" localSheetId="1">[12]Tablas!#REF!</definedName>
    <definedName name="DRL">[12]Tablas!#REF!</definedName>
    <definedName name="DRL1_1" localSheetId="18">[12]Tablas!#REF!</definedName>
    <definedName name="DRL1_1" localSheetId="1">[12]Tablas!#REF!</definedName>
    <definedName name="DRL1_1">[12]Tablas!#REF!</definedName>
    <definedName name="DRL1_1_1" localSheetId="18">[12]Tablas!#REF!</definedName>
    <definedName name="DRL1_1_1" localSheetId="1">[12]Tablas!#REF!</definedName>
    <definedName name="DRL1_1_1">[12]Tablas!#REF!</definedName>
    <definedName name="DRL1_1_2" localSheetId="18">[12]Tablas!#REF!</definedName>
    <definedName name="DRL1_1_2" localSheetId="1">[12]Tablas!#REF!</definedName>
    <definedName name="DRL1_1_2">[12]Tablas!#REF!</definedName>
    <definedName name="DRL1_1_3" localSheetId="18">[12]Tablas!#REF!</definedName>
    <definedName name="DRL1_1_3" localSheetId="1">[12]Tablas!#REF!</definedName>
    <definedName name="DRL1_1_3">[12]Tablas!#REF!</definedName>
    <definedName name="DRL1_1_4" localSheetId="18">[12]Tablas!#REF!</definedName>
    <definedName name="DRL1_1_4" localSheetId="1">[12]Tablas!#REF!</definedName>
    <definedName name="DRL1_1_4">[12]Tablas!#REF!</definedName>
    <definedName name="DRL1_2" localSheetId="18">[12]Tablas!#REF!</definedName>
    <definedName name="DRL1_2" localSheetId="1">[12]Tablas!#REF!</definedName>
    <definedName name="DRL1_2">[12]Tablas!#REF!</definedName>
    <definedName name="DRL1_3" localSheetId="18">[12]Tablas!#REF!</definedName>
    <definedName name="DRL1_3" localSheetId="1">[12]Tablas!#REF!</definedName>
    <definedName name="DRL1_3">[12]Tablas!#REF!</definedName>
    <definedName name="DRL1_4" localSheetId="18">[12]Tablas!#REF!</definedName>
    <definedName name="DRL1_4" localSheetId="1">[12]Tablas!#REF!</definedName>
    <definedName name="DRL1_4">[12]Tablas!#REF!</definedName>
    <definedName name="dry" hidden="1">{"via1",#N/A,TRUE,"general";"via2",#N/A,TRUE,"general";"via3",#N/A,TRUE,"general"}</definedName>
    <definedName name="DS" localSheetId="18">[64]Cronograma!#REF!</definedName>
    <definedName name="DS" localSheetId="1">[64]Cronograma!#REF!</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 localSheetId="18">#REF!</definedName>
    <definedName name="Dsbcm" localSheetId="32">#REF!</definedName>
    <definedName name="Dsbcm" localSheetId="40">#REF!</definedName>
    <definedName name="Dsbcm" localSheetId="41">#REF!</definedName>
    <definedName name="Dsbcm" localSheetId="43">#REF!</definedName>
    <definedName name="Dsbcm" localSheetId="64">#REF!</definedName>
    <definedName name="Dsbcm" localSheetId="1">#REF!</definedName>
    <definedName name="Dsbcm" localSheetId="2">#REF!</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18">[12]Tablas!#REF!</definedName>
    <definedName name="DSP" localSheetId="1">[12]Tablas!#REF!</definedName>
    <definedName name="DSP">[12]Tablas!#REF!</definedName>
    <definedName name="DSP1_1" localSheetId="18">[12]Tablas!#REF!</definedName>
    <definedName name="DSP1_1" localSheetId="1">[12]Tablas!#REF!</definedName>
    <definedName name="DSP1_1">[12]Tablas!#REF!</definedName>
    <definedName name="DSP1_1_1" localSheetId="18">[12]Tablas!#REF!</definedName>
    <definedName name="DSP1_1_1" localSheetId="1">[12]Tablas!#REF!</definedName>
    <definedName name="DSP1_1_1">[12]Tablas!#REF!</definedName>
    <definedName name="dt" localSheetId="18">#REF!</definedName>
    <definedName name="dt" localSheetId="1">#REF!</definedName>
    <definedName name="dt">#REF!</definedName>
    <definedName name="dtrhj" hidden="1">{"via1",#N/A,TRUE,"general";"via2",#N/A,TRUE,"general";"via3",#N/A,TRUE,"general"}</definedName>
    <definedName name="dxfgg" hidden="1">{"via1",#N/A,TRUE,"general";"via2",#N/A,TRUE,"general";"via3",#N/A,TRUE,"general"}</definedName>
    <definedName name="E" localSheetId="18">#REF!</definedName>
    <definedName name="E" localSheetId="1">#REF!</definedName>
    <definedName name="E">#REF!</definedName>
    <definedName name="e3e33" hidden="1">{"via1",#N/A,TRUE,"general";"via2",#N/A,TRUE,"general";"via3",#N/A,TRUE,"general"}</definedName>
    <definedName name="ECP" localSheetId="18">[12]Tablas!#REF!</definedName>
    <definedName name="ECP" localSheetId="1">[12]Tablas!#REF!</definedName>
    <definedName name="ECP">[12]Tablas!#REF!</definedName>
    <definedName name="ECP1_1" localSheetId="18">[12]Tablas!#REF!</definedName>
    <definedName name="ECP1_1" localSheetId="1">[12]Tablas!#REF!</definedName>
    <definedName name="ECP1_1">[12]Tablas!#REF!</definedName>
    <definedName name="ECP1_1_1" localSheetId="18">[12]Tablas!#REF!</definedName>
    <definedName name="ECP1_1_1" localSheetId="1">[12]Tablas!#REF!</definedName>
    <definedName name="ECP1_1_1">[12]Tablas!#REF!</definedName>
    <definedName name="EDC" localSheetId="18">#REF!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18">#REF!</definedName>
    <definedName name="EF" localSheetId="1">#REF!</definedName>
    <definedName name="EF">#REF!</definedName>
    <definedName name="EFA" localSheetId="18">#REF!</definedName>
    <definedName name="EFA" localSheetId="1">#REF!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[24]PRESUPUESTO!$E$7</definedName>
    <definedName name="Ejecutivo">'[68]Info Ejec'!$A$1:$AV$153</definedName>
    <definedName name="ELIMINACIONPROYC" localSheetId="18">#REF!</definedName>
    <definedName name="ELIMINACIONPROYC" localSheetId="1">#REF!</definedName>
    <definedName name="ELIMINACIONPROYC">#REF!</definedName>
    <definedName name="emanto" localSheetId="18">#REF!</definedName>
    <definedName name="emanto" localSheetId="29">#REF!</definedName>
    <definedName name="emanto" localSheetId="32">#REF!</definedName>
    <definedName name="emanto" localSheetId="40">#REF!</definedName>
    <definedName name="emanto" localSheetId="41">#REF!</definedName>
    <definedName name="emanto" localSheetId="43">#REF!</definedName>
    <definedName name="emanto" localSheetId="56">#REF!</definedName>
    <definedName name="emanto" localSheetId="64">#REF!</definedName>
    <definedName name="emanto" localSheetId="1">#REF!</definedName>
    <definedName name="emanto" localSheetId="2">#REF!</definedName>
    <definedName name="emanto">#REF!</definedName>
    <definedName name="eme">[0]!ERR</definedName>
    <definedName name="EMPLEADO" localSheetId="18">#REF!</definedName>
    <definedName name="EMPLEADO" localSheetId="1">#REF!</definedName>
    <definedName name="EMPLEADO">#REF!</definedName>
    <definedName name="Empresa">[41]EMPRESA!$F$6</definedName>
    <definedName name="EMULSION" localSheetId="18">#REF!</definedName>
    <definedName name="EMULSION" localSheetId="1">#REF!</definedName>
    <definedName name="EMULSION">#REF!</definedName>
    <definedName name="End_Bal" localSheetId="18">#REF!</definedName>
    <definedName name="End_Bal" localSheetId="1">#REF!</definedName>
    <definedName name="End_Bal">#REF!</definedName>
    <definedName name="ene" localSheetId="18">#REF!</definedName>
    <definedName name="ene" localSheetId="1">#REF!</definedName>
    <definedName name="ene">#REF!</definedName>
    <definedName name="Ensayos" localSheetId="18">#REF!</definedName>
    <definedName name="Ensayos" localSheetId="1">#REF!</definedName>
    <definedName name="Ensayos">#REF!</definedName>
    <definedName name="ENTRADASP" localSheetId="18">#REF!</definedName>
    <definedName name="ENTRADASP" localSheetId="32">#REF!</definedName>
    <definedName name="ENTRADASP" localSheetId="40">#REF!</definedName>
    <definedName name="ENTRADASP" localSheetId="41">#REF!</definedName>
    <definedName name="ENTRADASP" localSheetId="43">#REF!</definedName>
    <definedName name="ENTRADASP" localSheetId="64">#REF!</definedName>
    <definedName name="ENTRADASP" localSheetId="1">#REF!</definedName>
    <definedName name="ENTRADASP" localSheetId="2">#REF!</definedName>
    <definedName name="ENTRADASP">#REF!</definedName>
    <definedName name="EPECIALIDAD_SIDOE" localSheetId="18">[12]Tablas!#REF!</definedName>
    <definedName name="EPECIALIDAD_SIDOE" localSheetId="1">[12]Tablas!#REF!</definedName>
    <definedName name="EPECIALIDAD_SIDOE">[12]Tablas!#REF!</definedName>
    <definedName name="equipo">[69]Equipo!$A$7:$A$65536</definedName>
    <definedName name="EQUIPO1" localSheetId="18">#REF!</definedName>
    <definedName name="EQUIPO1" localSheetId="1">#REF!</definedName>
    <definedName name="EQUIPO1">#REF!</definedName>
    <definedName name="EQUIPOS">'[70]TABLA EQUIPOS'!$A$3:$D$70</definedName>
    <definedName name="EQUIPOS1" localSheetId="18">#REF!</definedName>
    <definedName name="EQUIPOS1" localSheetId="1">#REF!</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18">#REF!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18">#REF!</definedName>
    <definedName name="ESA" localSheetId="1">#REF!</definedName>
    <definedName name="ESA">#REF!</definedName>
    <definedName name="ESE" localSheetId="18">#REF!</definedName>
    <definedName name="ESE" localSheetId="1">#REF!</definedName>
    <definedName name="ESE">#REF!</definedName>
    <definedName name="ESPE" localSheetId="18">#REF!</definedName>
    <definedName name="ESPE" localSheetId="1">#REF!</definedName>
    <definedName name="ESPE">#REF!</definedName>
    <definedName name="ESPECIFICACION" localSheetId="18">#REF!</definedName>
    <definedName name="ESPECIFICACION" localSheetId="32">#REF!</definedName>
    <definedName name="ESPECIFICACION" localSheetId="40">#REF!</definedName>
    <definedName name="ESPECIFICACION" localSheetId="41">#REF!</definedName>
    <definedName name="ESPECIFICACION" localSheetId="43">#REF!</definedName>
    <definedName name="ESPECIFICACION" localSheetId="64">#REF!</definedName>
    <definedName name="ESPECIFICACION" localSheetId="1">#REF!</definedName>
    <definedName name="ESPECIFICACION" localSheetId="2">#REF!</definedName>
    <definedName name="ESPECIFICACION">#REF!</definedName>
    <definedName name="Especificación" localSheetId="18">#REF!</definedName>
    <definedName name="Especificación" localSheetId="32">#REF!</definedName>
    <definedName name="Especificación" localSheetId="40">#REF!</definedName>
    <definedName name="Especificación" localSheetId="41">#REF!</definedName>
    <definedName name="Especificación" localSheetId="43">#REF!</definedName>
    <definedName name="Especificación" localSheetId="64">#REF!</definedName>
    <definedName name="Especificación" localSheetId="1">#REF!</definedName>
    <definedName name="Especificación" localSheetId="2">#REF!</definedName>
    <definedName name="Especificación">#REF!</definedName>
    <definedName name="ESTA" localSheetId="18">#REF!</definedName>
    <definedName name="ESTA" localSheetId="1">#REF!</definedName>
    <definedName name="ESTA">#REF!</definedName>
    <definedName name="Estados" localSheetId="18">#REF!</definedName>
    <definedName name="Estados" localSheetId="1">#REF!</definedName>
    <definedName name="Estados">#REF!</definedName>
    <definedName name="Estimate_Factor">1</definedName>
    <definedName name="ESTRAE" localSheetId="18">'[3]7422CW00'!#REF!</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8">#REF!</definedName>
    <definedName name="ETAP" localSheetId="1">#REF!</definedName>
    <definedName name="ETAP">#REF!</definedName>
    <definedName name="ETAPA_PACC" localSheetId="18">#REF!</definedName>
    <definedName name="ETAPA_PACC" localSheetId="1">#REF!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8">#REF!</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18" hidden="1">#REF!</definedName>
    <definedName name="EX" localSheetId="1" hidden="1">#REF!</definedName>
    <definedName name="EX" hidden="1">#REF!</definedName>
    <definedName name="EX_1" localSheetId="18" hidden="1">#REF!</definedName>
    <definedName name="EX_1" localSheetId="1" hidden="1">#REF!</definedName>
    <definedName name="EX_1" hidden="1">#REF!</definedName>
    <definedName name="EXC" localSheetId="18">#REF!</definedName>
    <definedName name="EXC" localSheetId="29">#REF!</definedName>
    <definedName name="EXC" localSheetId="32">#REF!</definedName>
    <definedName name="EXC" localSheetId="40">#REF!</definedName>
    <definedName name="EXC" localSheetId="41">#REF!</definedName>
    <definedName name="EXC" localSheetId="43">#REF!</definedName>
    <definedName name="EXC" localSheetId="56">#REF!</definedName>
    <definedName name="EXC" localSheetId="64">#REF!</definedName>
    <definedName name="EXC" localSheetId="1">#REF!</definedName>
    <definedName name="EXC" localSheetId="2">#REF!</definedName>
    <definedName name="EXC">#REF!</definedName>
    <definedName name="EXCAV_1" localSheetId="18">#REF!</definedName>
    <definedName name="EXCAV_1" localSheetId="1">#REF!</definedName>
    <definedName name="EXCAV_1">#REF!</definedName>
    <definedName name="EXCAV_2" localSheetId="18">#REF!</definedName>
    <definedName name="EXCAV_2" localSheetId="1">#REF!</definedName>
    <definedName name="EXCAV_2">#REF!</definedName>
    <definedName name="exCEL" localSheetId="18">#REF!</definedName>
    <definedName name="exCEL" localSheetId="29">#REF!</definedName>
    <definedName name="exCEL" localSheetId="32">#REF!</definedName>
    <definedName name="exCEL" localSheetId="40">#REF!</definedName>
    <definedName name="exCEL" localSheetId="41">#REF!</definedName>
    <definedName name="exCEL" localSheetId="43">#REF!</definedName>
    <definedName name="exCEL" localSheetId="56">#REF!</definedName>
    <definedName name="exCEL" localSheetId="64">#REF!</definedName>
    <definedName name="exCEL" localSheetId="1">#REF!</definedName>
    <definedName name="exCEL" localSheetId="2">#REF!</definedName>
    <definedName name="exCEL">#REF!</definedName>
    <definedName name="Excel_BuiltIn_Print_Area_3" localSheetId="18">#REF!</definedName>
    <definedName name="Excel_BuiltIn_Print_Area_3" localSheetId="29">#REF!</definedName>
    <definedName name="Excel_BuiltIn_Print_Area_3" localSheetId="32">#REF!</definedName>
    <definedName name="Excel_BuiltIn_Print_Area_3" localSheetId="40">#REF!</definedName>
    <definedName name="Excel_BuiltIn_Print_Area_3" localSheetId="41">#REF!</definedName>
    <definedName name="Excel_BuiltIn_Print_Area_3" localSheetId="43">#REF!</definedName>
    <definedName name="Excel_BuiltIn_Print_Area_3" localSheetId="56">#REF!</definedName>
    <definedName name="Excel_BuiltIn_Print_Area_3" localSheetId="64">#REF!</definedName>
    <definedName name="Excel_BuiltIn_Print_Area_3" localSheetId="1">#REF!</definedName>
    <definedName name="Excel_BuiltIn_Print_Area_3" localSheetId="2">#REF!</definedName>
    <definedName name="Excel_BuiltIn_Print_Area_3">#REF!</definedName>
    <definedName name="Excel_BuiltIn_Print_Area_3_X" localSheetId="18">#REF!</definedName>
    <definedName name="Excel_BuiltIn_Print_Area_3_X" localSheetId="29">#REF!</definedName>
    <definedName name="Excel_BuiltIn_Print_Area_3_X" localSheetId="32">#REF!</definedName>
    <definedName name="Excel_BuiltIn_Print_Area_3_X" localSheetId="40">#REF!</definedName>
    <definedName name="Excel_BuiltIn_Print_Area_3_X" localSheetId="41">#REF!</definedName>
    <definedName name="Excel_BuiltIn_Print_Area_3_X" localSheetId="43">#REF!</definedName>
    <definedName name="Excel_BuiltIn_Print_Area_3_X" localSheetId="56">#REF!</definedName>
    <definedName name="Excel_BuiltIn_Print_Area_3_X" localSheetId="64">#REF!</definedName>
    <definedName name="Excel_BuiltIn_Print_Area_3_X" localSheetId="1">#REF!</definedName>
    <definedName name="Excel_BuiltIn_Print_Area_3_X" localSheetId="2">#REF!</definedName>
    <definedName name="Excel_BuiltIn_Print_Area_3_X">#REF!</definedName>
    <definedName name="Excel_BuiltIn_Print_Titles_10" localSheetId="18">[22]SKJ452!#REF!</definedName>
    <definedName name="Excel_BuiltIn_Print_Titles_10" localSheetId="29">[22]SKJ452!#REF!</definedName>
    <definedName name="Excel_BuiltIn_Print_Titles_10" localSheetId="32">[22]SKJ452!#REF!</definedName>
    <definedName name="Excel_BuiltIn_Print_Titles_10" localSheetId="40">[22]SKJ452!#REF!</definedName>
    <definedName name="Excel_BuiltIn_Print_Titles_10" localSheetId="41">[22]SKJ452!#REF!</definedName>
    <definedName name="Excel_BuiltIn_Print_Titles_10" localSheetId="43">[22]SKJ452!#REF!</definedName>
    <definedName name="Excel_BuiltIn_Print_Titles_10" localSheetId="56">[22]SKJ452!#REF!</definedName>
    <definedName name="Excel_BuiltIn_Print_Titles_10" localSheetId="64">[22]SKJ452!#REF!</definedName>
    <definedName name="Excel_BuiltIn_Print_Titles_10" localSheetId="1">[22]SKJ452!#REF!</definedName>
    <definedName name="Excel_BuiltIn_Print_Titles_10" localSheetId="2">[22]SKJ452!#REF!</definedName>
    <definedName name="Excel_BuiltIn_Print_Titles_10">[22]SKJ452!#REF!</definedName>
    <definedName name="Excel_BuiltIn_Print_Titles_11" localSheetId="18">[22]ITA878!#REF!</definedName>
    <definedName name="Excel_BuiltIn_Print_Titles_11" localSheetId="29">[22]ITA878!#REF!</definedName>
    <definedName name="Excel_BuiltIn_Print_Titles_11" localSheetId="32">[22]ITA878!#REF!</definedName>
    <definedName name="Excel_BuiltIn_Print_Titles_11" localSheetId="40">[22]ITA878!#REF!</definedName>
    <definedName name="Excel_BuiltIn_Print_Titles_11" localSheetId="41">[22]ITA878!#REF!</definedName>
    <definedName name="Excel_BuiltIn_Print_Titles_11" localSheetId="43">[22]ITA878!#REF!</definedName>
    <definedName name="Excel_BuiltIn_Print_Titles_11" localSheetId="56">[22]ITA878!#REF!</definedName>
    <definedName name="Excel_BuiltIn_Print_Titles_11" localSheetId="64">[22]ITA878!#REF!</definedName>
    <definedName name="Excel_BuiltIn_Print_Titles_11" localSheetId="1">[22]ITA878!#REF!</definedName>
    <definedName name="Excel_BuiltIn_Print_Titles_11" localSheetId="2">[22]ITA878!#REF!</definedName>
    <definedName name="Excel_BuiltIn_Print_Titles_11">[22]ITA878!#REF!</definedName>
    <definedName name="Excel_BuiltIn_Print_Titles_12" localSheetId="18">'[22]AEA-944'!#REF!</definedName>
    <definedName name="Excel_BuiltIn_Print_Titles_12" localSheetId="29">'[22]AEA-944'!#REF!</definedName>
    <definedName name="Excel_BuiltIn_Print_Titles_12" localSheetId="32">'[22]AEA-944'!#REF!</definedName>
    <definedName name="Excel_BuiltIn_Print_Titles_12" localSheetId="40">'[22]AEA-944'!#REF!</definedName>
    <definedName name="Excel_BuiltIn_Print_Titles_12" localSheetId="41">'[22]AEA-944'!#REF!</definedName>
    <definedName name="Excel_BuiltIn_Print_Titles_12" localSheetId="43">'[22]AEA-944'!#REF!</definedName>
    <definedName name="Excel_BuiltIn_Print_Titles_12" localSheetId="56">'[22]AEA-944'!#REF!</definedName>
    <definedName name="Excel_BuiltIn_Print_Titles_12" localSheetId="64">'[22]AEA-944'!#REF!</definedName>
    <definedName name="Excel_BuiltIn_Print_Titles_12" localSheetId="1">'[22]AEA-944'!#REF!</definedName>
    <definedName name="Excel_BuiltIn_Print_Titles_12" localSheetId="2">'[22]AEA-944'!#REF!</definedName>
    <definedName name="Excel_BuiltIn_Print_Titles_12">'[22]AEA-944'!#REF!</definedName>
    <definedName name="Excel_BuiltIn_Print_Titles_13" localSheetId="18">'[22]DUB-823'!#REF!</definedName>
    <definedName name="Excel_BuiltIn_Print_Titles_13" localSheetId="29">'[22]DUB-823'!#REF!</definedName>
    <definedName name="Excel_BuiltIn_Print_Titles_13" localSheetId="32">'[22]DUB-823'!#REF!</definedName>
    <definedName name="Excel_BuiltIn_Print_Titles_13" localSheetId="40">'[22]DUB-823'!#REF!</definedName>
    <definedName name="Excel_BuiltIn_Print_Titles_13" localSheetId="41">'[22]DUB-823'!#REF!</definedName>
    <definedName name="Excel_BuiltIn_Print_Titles_13" localSheetId="43">'[22]DUB-823'!#REF!</definedName>
    <definedName name="Excel_BuiltIn_Print_Titles_13" localSheetId="56">'[22]DUB-823'!#REF!</definedName>
    <definedName name="Excel_BuiltIn_Print_Titles_13" localSheetId="64">'[22]DUB-823'!#REF!</definedName>
    <definedName name="Excel_BuiltIn_Print_Titles_13" localSheetId="1">'[22]DUB-823'!#REF!</definedName>
    <definedName name="Excel_BuiltIn_Print_Titles_13" localSheetId="2">'[22]DUB-823'!#REF!</definedName>
    <definedName name="Excel_BuiltIn_Print_Titles_13">'[22]DUB-823'!#REF!</definedName>
    <definedName name="Excel_BuiltIn_Print_Titles_14" localSheetId="18">'[22]GPI 526'!#REF!</definedName>
    <definedName name="Excel_BuiltIn_Print_Titles_14" localSheetId="29">'[22]GPI 526'!#REF!</definedName>
    <definedName name="Excel_BuiltIn_Print_Titles_14" localSheetId="32">'[22]GPI 526'!#REF!</definedName>
    <definedName name="Excel_BuiltIn_Print_Titles_14" localSheetId="40">'[22]GPI 526'!#REF!</definedName>
    <definedName name="Excel_BuiltIn_Print_Titles_14" localSheetId="41">'[22]GPI 526'!#REF!</definedName>
    <definedName name="Excel_BuiltIn_Print_Titles_14" localSheetId="43">'[22]GPI 526'!#REF!</definedName>
    <definedName name="Excel_BuiltIn_Print_Titles_14" localSheetId="56">'[22]GPI 526'!#REF!</definedName>
    <definedName name="Excel_BuiltIn_Print_Titles_14" localSheetId="64">'[22]GPI 526'!#REF!</definedName>
    <definedName name="Excel_BuiltIn_Print_Titles_14" localSheetId="1">'[22]GPI 526'!#REF!</definedName>
    <definedName name="Excel_BuiltIn_Print_Titles_14" localSheetId="2">'[22]GPI 526'!#REF!</definedName>
    <definedName name="Excel_BuiltIn_Print_Titles_14">'[22]GPI 526'!#REF!</definedName>
    <definedName name="Excel_BuiltIn_Print_Titles_15" localSheetId="18">#REF!</definedName>
    <definedName name="Excel_BuiltIn_Print_Titles_15" localSheetId="29">#REF!</definedName>
    <definedName name="Excel_BuiltIn_Print_Titles_15" localSheetId="32">#REF!</definedName>
    <definedName name="Excel_BuiltIn_Print_Titles_15" localSheetId="40">#REF!</definedName>
    <definedName name="Excel_BuiltIn_Print_Titles_15" localSheetId="41">#REF!</definedName>
    <definedName name="Excel_BuiltIn_Print_Titles_15" localSheetId="43">#REF!</definedName>
    <definedName name="Excel_BuiltIn_Print_Titles_15" localSheetId="56">#REF!</definedName>
    <definedName name="Excel_BuiltIn_Print_Titles_15" localSheetId="64">#REF!</definedName>
    <definedName name="Excel_BuiltIn_Print_Titles_15" localSheetId="1">#REF!</definedName>
    <definedName name="Excel_BuiltIn_Print_Titles_15" localSheetId="2">#REF!</definedName>
    <definedName name="Excel_BuiltIn_Print_Titles_15">#REF!</definedName>
    <definedName name="Excel_BuiltIn_Print_Titles_16" localSheetId="18">#REF!</definedName>
    <definedName name="Excel_BuiltIn_Print_Titles_16" localSheetId="29">#REF!</definedName>
    <definedName name="Excel_BuiltIn_Print_Titles_16" localSheetId="32">#REF!</definedName>
    <definedName name="Excel_BuiltIn_Print_Titles_16" localSheetId="40">#REF!</definedName>
    <definedName name="Excel_BuiltIn_Print_Titles_16" localSheetId="41">#REF!</definedName>
    <definedName name="Excel_BuiltIn_Print_Titles_16" localSheetId="43">#REF!</definedName>
    <definedName name="Excel_BuiltIn_Print_Titles_16" localSheetId="56">#REF!</definedName>
    <definedName name="Excel_BuiltIn_Print_Titles_16" localSheetId="64">#REF!</definedName>
    <definedName name="Excel_BuiltIn_Print_Titles_16" localSheetId="1">#REF!</definedName>
    <definedName name="Excel_BuiltIn_Print_Titles_16" localSheetId="2">#REF!</definedName>
    <definedName name="Excel_BuiltIn_Print_Titles_16">#REF!</definedName>
    <definedName name="Excel_BuiltIn_Print_Titles_17" localSheetId="18">#REF!</definedName>
    <definedName name="Excel_BuiltIn_Print_Titles_17" localSheetId="29">#REF!</definedName>
    <definedName name="Excel_BuiltIn_Print_Titles_17" localSheetId="32">#REF!</definedName>
    <definedName name="Excel_BuiltIn_Print_Titles_17" localSheetId="40">#REF!</definedName>
    <definedName name="Excel_BuiltIn_Print_Titles_17" localSheetId="41">#REF!</definedName>
    <definedName name="Excel_BuiltIn_Print_Titles_17" localSheetId="43">#REF!</definedName>
    <definedName name="Excel_BuiltIn_Print_Titles_17" localSheetId="56">#REF!</definedName>
    <definedName name="Excel_BuiltIn_Print_Titles_17" localSheetId="64">#REF!</definedName>
    <definedName name="Excel_BuiltIn_Print_Titles_17" localSheetId="1">#REF!</definedName>
    <definedName name="Excel_BuiltIn_Print_Titles_17" localSheetId="2">#REF!</definedName>
    <definedName name="Excel_BuiltIn_Print_Titles_17">#REF!</definedName>
    <definedName name="Excel_BuiltIn_Print_Titles_18" localSheetId="18">#REF!</definedName>
    <definedName name="Excel_BuiltIn_Print_Titles_18" localSheetId="29">#REF!</definedName>
    <definedName name="Excel_BuiltIn_Print_Titles_18" localSheetId="32">#REF!</definedName>
    <definedName name="Excel_BuiltIn_Print_Titles_18" localSheetId="40">#REF!</definedName>
    <definedName name="Excel_BuiltIn_Print_Titles_18" localSheetId="41">#REF!</definedName>
    <definedName name="Excel_BuiltIn_Print_Titles_18" localSheetId="43">#REF!</definedName>
    <definedName name="Excel_BuiltIn_Print_Titles_18" localSheetId="56">#REF!</definedName>
    <definedName name="Excel_BuiltIn_Print_Titles_18" localSheetId="64">#REF!</definedName>
    <definedName name="Excel_BuiltIn_Print_Titles_18" localSheetId="1">#REF!</definedName>
    <definedName name="Excel_BuiltIn_Print_Titles_18" localSheetId="2">#REF!</definedName>
    <definedName name="Excel_BuiltIn_Print_Titles_18">#REF!</definedName>
    <definedName name="Excel_BuiltIn_Print_Titles_19" localSheetId="18">[22]XXJ617!#REF!</definedName>
    <definedName name="Excel_BuiltIn_Print_Titles_19" localSheetId="29">[22]XXJ617!#REF!</definedName>
    <definedName name="Excel_BuiltIn_Print_Titles_19" localSheetId="32">[22]XXJ617!#REF!</definedName>
    <definedName name="Excel_BuiltIn_Print_Titles_19" localSheetId="40">[22]XXJ617!#REF!</definedName>
    <definedName name="Excel_BuiltIn_Print_Titles_19" localSheetId="41">[22]XXJ617!#REF!</definedName>
    <definedName name="Excel_BuiltIn_Print_Titles_19" localSheetId="43">[22]XXJ617!#REF!</definedName>
    <definedName name="Excel_BuiltIn_Print_Titles_19" localSheetId="56">[22]XXJ617!#REF!</definedName>
    <definedName name="Excel_BuiltIn_Print_Titles_19" localSheetId="64">[22]XXJ617!#REF!</definedName>
    <definedName name="Excel_BuiltIn_Print_Titles_19" localSheetId="1">[22]XXJ617!#REF!</definedName>
    <definedName name="Excel_BuiltIn_Print_Titles_19" localSheetId="2">[22]XXJ617!#REF!</definedName>
    <definedName name="Excel_BuiltIn_Print_Titles_19">[22]XXJ617!#REF!</definedName>
    <definedName name="Excel_BuiltIn_Print_Titles_20" localSheetId="18">#REF!</definedName>
    <definedName name="Excel_BuiltIn_Print_Titles_20" localSheetId="29">#REF!</definedName>
    <definedName name="Excel_BuiltIn_Print_Titles_20" localSheetId="32">#REF!</definedName>
    <definedName name="Excel_BuiltIn_Print_Titles_20" localSheetId="40">#REF!</definedName>
    <definedName name="Excel_BuiltIn_Print_Titles_20" localSheetId="41">#REF!</definedName>
    <definedName name="Excel_BuiltIn_Print_Titles_20" localSheetId="43">#REF!</definedName>
    <definedName name="Excel_BuiltIn_Print_Titles_20" localSheetId="56">#REF!</definedName>
    <definedName name="Excel_BuiltIn_Print_Titles_20" localSheetId="64">#REF!</definedName>
    <definedName name="Excel_BuiltIn_Print_Titles_20" localSheetId="1">#REF!</definedName>
    <definedName name="Excel_BuiltIn_Print_Titles_20" localSheetId="2">#REF!</definedName>
    <definedName name="Excel_BuiltIn_Print_Titles_20">#REF!</definedName>
    <definedName name="Excel_BuiltIn_Print_Titles_21" localSheetId="18">[22]SNG_855!#REF!</definedName>
    <definedName name="Excel_BuiltIn_Print_Titles_21" localSheetId="29">[22]SNG_855!#REF!</definedName>
    <definedName name="Excel_BuiltIn_Print_Titles_21" localSheetId="32">[22]SNG_855!#REF!</definedName>
    <definedName name="Excel_BuiltIn_Print_Titles_21" localSheetId="40">[22]SNG_855!#REF!</definedName>
    <definedName name="Excel_BuiltIn_Print_Titles_21" localSheetId="41">[22]SNG_855!#REF!</definedName>
    <definedName name="Excel_BuiltIn_Print_Titles_21" localSheetId="43">[22]SNG_855!#REF!</definedName>
    <definedName name="Excel_BuiltIn_Print_Titles_21" localSheetId="56">[22]SNG_855!#REF!</definedName>
    <definedName name="Excel_BuiltIn_Print_Titles_21" localSheetId="64">[22]SNG_855!#REF!</definedName>
    <definedName name="Excel_BuiltIn_Print_Titles_21" localSheetId="1">[22]SNG_855!#REF!</definedName>
    <definedName name="Excel_BuiltIn_Print_Titles_21" localSheetId="2">[22]SNG_855!#REF!</definedName>
    <definedName name="Excel_BuiltIn_Print_Titles_21">[22]SNG_855!#REF!</definedName>
    <definedName name="Excel_BuiltIn_Print_Titles_23" localSheetId="18">#REF!</definedName>
    <definedName name="Excel_BuiltIn_Print_Titles_23" localSheetId="29">#REF!</definedName>
    <definedName name="Excel_BuiltIn_Print_Titles_23" localSheetId="32">#REF!</definedName>
    <definedName name="Excel_BuiltIn_Print_Titles_23" localSheetId="40">#REF!</definedName>
    <definedName name="Excel_BuiltIn_Print_Titles_23" localSheetId="41">#REF!</definedName>
    <definedName name="Excel_BuiltIn_Print_Titles_23" localSheetId="43">#REF!</definedName>
    <definedName name="Excel_BuiltIn_Print_Titles_23" localSheetId="56">#REF!</definedName>
    <definedName name="Excel_BuiltIn_Print_Titles_23" localSheetId="64">#REF!</definedName>
    <definedName name="Excel_BuiltIn_Print_Titles_23" localSheetId="1">#REF!</definedName>
    <definedName name="Excel_BuiltIn_Print_Titles_23" localSheetId="2">#REF!</definedName>
    <definedName name="Excel_BuiltIn_Print_Titles_23">#REF!</definedName>
    <definedName name="Excel_BuiltIn_Print_Titles_3" localSheetId="18">#REF!</definedName>
    <definedName name="Excel_BuiltIn_Print_Titles_3" localSheetId="29">#REF!</definedName>
    <definedName name="Excel_BuiltIn_Print_Titles_3" localSheetId="32">#REF!</definedName>
    <definedName name="Excel_BuiltIn_Print_Titles_3" localSheetId="40">#REF!</definedName>
    <definedName name="Excel_BuiltIn_Print_Titles_3" localSheetId="41">#REF!</definedName>
    <definedName name="Excel_BuiltIn_Print_Titles_3" localSheetId="43">#REF!</definedName>
    <definedName name="Excel_BuiltIn_Print_Titles_3" localSheetId="56">#REF!</definedName>
    <definedName name="Excel_BuiltIn_Print_Titles_3" localSheetId="64">#REF!</definedName>
    <definedName name="Excel_BuiltIn_Print_Titles_3" localSheetId="1">#REF!</definedName>
    <definedName name="Excel_BuiltIn_Print_Titles_3" localSheetId="2">#REF!</definedName>
    <definedName name="Excel_BuiltIn_Print_Titles_3">#REF!</definedName>
    <definedName name="Excel_BuiltIn_Print_Titles_5" localSheetId="18">'[22]VEA 374'!#REF!</definedName>
    <definedName name="Excel_BuiltIn_Print_Titles_5" localSheetId="29">'[22]VEA 374'!#REF!</definedName>
    <definedName name="Excel_BuiltIn_Print_Titles_5" localSheetId="32">'[22]VEA 374'!#REF!</definedName>
    <definedName name="Excel_BuiltIn_Print_Titles_5" localSheetId="40">'[22]VEA 374'!#REF!</definedName>
    <definedName name="Excel_BuiltIn_Print_Titles_5" localSheetId="41">'[22]VEA 374'!#REF!</definedName>
    <definedName name="Excel_BuiltIn_Print_Titles_5" localSheetId="43">'[22]VEA 374'!#REF!</definedName>
    <definedName name="Excel_BuiltIn_Print_Titles_5" localSheetId="56">'[22]VEA 374'!#REF!</definedName>
    <definedName name="Excel_BuiltIn_Print_Titles_5" localSheetId="64">'[22]VEA 374'!#REF!</definedName>
    <definedName name="Excel_BuiltIn_Print_Titles_5" localSheetId="1">'[22]VEA 374'!#REF!</definedName>
    <definedName name="Excel_BuiltIn_Print_Titles_5" localSheetId="2">'[22]VEA 374'!#REF!</definedName>
    <definedName name="Excel_BuiltIn_Print_Titles_5">'[22]VEA 374'!#REF!</definedName>
    <definedName name="Excel_BuiltIn_Print_Titles_5_XX" localSheetId="18">'[22]VEA 374'!#REF!</definedName>
    <definedName name="Excel_BuiltIn_Print_Titles_5_XX" localSheetId="29">'[22]VEA 374'!#REF!</definedName>
    <definedName name="Excel_BuiltIn_Print_Titles_5_XX" localSheetId="32">'[22]VEA 374'!#REF!</definedName>
    <definedName name="Excel_BuiltIn_Print_Titles_5_XX" localSheetId="40">'[22]VEA 374'!#REF!</definedName>
    <definedName name="Excel_BuiltIn_Print_Titles_5_XX" localSheetId="41">'[22]VEA 374'!#REF!</definedName>
    <definedName name="Excel_BuiltIn_Print_Titles_5_XX" localSheetId="43">'[22]VEA 374'!#REF!</definedName>
    <definedName name="Excel_BuiltIn_Print_Titles_5_XX" localSheetId="56">'[22]VEA 374'!#REF!</definedName>
    <definedName name="Excel_BuiltIn_Print_Titles_5_XX" localSheetId="64">'[22]VEA 374'!#REF!</definedName>
    <definedName name="Excel_BuiltIn_Print_Titles_5_XX" localSheetId="1">'[22]VEA 374'!#REF!</definedName>
    <definedName name="Excel_BuiltIn_Print_Titles_5_XX" localSheetId="2">'[22]VEA 374'!#REF!</definedName>
    <definedName name="Excel_BuiltIn_Print_Titles_5_XX">'[22]VEA 374'!#REF!</definedName>
    <definedName name="Excel_BuiltIn_Print_Titles_6" localSheetId="18">#REF!</definedName>
    <definedName name="Excel_BuiltIn_Print_Titles_6" localSheetId="29">#REF!</definedName>
    <definedName name="Excel_BuiltIn_Print_Titles_6" localSheetId="32">#REF!</definedName>
    <definedName name="Excel_BuiltIn_Print_Titles_6" localSheetId="40">#REF!</definedName>
    <definedName name="Excel_BuiltIn_Print_Titles_6" localSheetId="41">#REF!</definedName>
    <definedName name="Excel_BuiltIn_Print_Titles_6" localSheetId="43">#REF!</definedName>
    <definedName name="Excel_BuiltIn_Print_Titles_6" localSheetId="56">#REF!</definedName>
    <definedName name="Excel_BuiltIn_Print_Titles_6" localSheetId="64">#REF!</definedName>
    <definedName name="Excel_BuiltIn_Print_Titles_6" localSheetId="1">#REF!</definedName>
    <definedName name="Excel_BuiltIn_Print_Titles_6" localSheetId="2">#REF!</definedName>
    <definedName name="Excel_BuiltIn_Print_Titles_6">#REF!</definedName>
    <definedName name="Excel_BuiltIn_Print_Titles_7" localSheetId="18">[22]HFB024!#REF!</definedName>
    <definedName name="Excel_BuiltIn_Print_Titles_7" localSheetId="29">[22]HFB024!#REF!</definedName>
    <definedName name="Excel_BuiltIn_Print_Titles_7" localSheetId="32">[22]HFB024!#REF!</definedName>
    <definedName name="Excel_BuiltIn_Print_Titles_7" localSheetId="40">[22]HFB024!#REF!</definedName>
    <definedName name="Excel_BuiltIn_Print_Titles_7" localSheetId="41">[22]HFB024!#REF!</definedName>
    <definedName name="Excel_BuiltIn_Print_Titles_7" localSheetId="43">[22]HFB024!#REF!</definedName>
    <definedName name="Excel_BuiltIn_Print_Titles_7" localSheetId="56">[22]HFB024!#REF!</definedName>
    <definedName name="Excel_BuiltIn_Print_Titles_7" localSheetId="64">[22]HFB024!#REF!</definedName>
    <definedName name="Excel_BuiltIn_Print_Titles_7" localSheetId="1">[22]HFB024!#REF!</definedName>
    <definedName name="Excel_BuiltIn_Print_Titles_7" localSheetId="2">[22]HFB024!#REF!</definedName>
    <definedName name="Excel_BuiltIn_Print_Titles_7">[22]HFB024!#REF!</definedName>
    <definedName name="Excel_BuiltIn_Print_Titles_8" localSheetId="18">#REF!</definedName>
    <definedName name="Excel_BuiltIn_Print_Titles_8" localSheetId="29">#REF!</definedName>
    <definedName name="Excel_BuiltIn_Print_Titles_8" localSheetId="32">#REF!</definedName>
    <definedName name="Excel_BuiltIn_Print_Titles_8" localSheetId="40">#REF!</definedName>
    <definedName name="Excel_BuiltIn_Print_Titles_8" localSheetId="41">#REF!</definedName>
    <definedName name="Excel_BuiltIn_Print_Titles_8" localSheetId="43">#REF!</definedName>
    <definedName name="Excel_BuiltIn_Print_Titles_8" localSheetId="56">#REF!</definedName>
    <definedName name="Excel_BuiltIn_Print_Titles_8" localSheetId="64">#REF!</definedName>
    <definedName name="Excel_BuiltIn_Print_Titles_8" localSheetId="1">#REF!</definedName>
    <definedName name="Excel_BuiltIn_Print_Titles_8" localSheetId="2">#REF!</definedName>
    <definedName name="Excel_BuiltIn_Print_Titles_8">#REF!</definedName>
    <definedName name="Excel_BuiltIn_Print_Titles_9" localSheetId="18">[22]PAJ825!#REF!</definedName>
    <definedName name="Excel_BuiltIn_Print_Titles_9" localSheetId="29">[22]PAJ825!#REF!</definedName>
    <definedName name="Excel_BuiltIn_Print_Titles_9" localSheetId="32">[22]PAJ825!#REF!</definedName>
    <definedName name="Excel_BuiltIn_Print_Titles_9" localSheetId="40">[22]PAJ825!#REF!</definedName>
    <definedName name="Excel_BuiltIn_Print_Titles_9" localSheetId="41">[22]PAJ825!#REF!</definedName>
    <definedName name="Excel_BuiltIn_Print_Titles_9" localSheetId="43">[22]PAJ825!#REF!</definedName>
    <definedName name="Excel_BuiltIn_Print_Titles_9" localSheetId="56">[22]PAJ825!#REF!</definedName>
    <definedName name="Excel_BuiltIn_Print_Titles_9" localSheetId="64">[22]PAJ825!#REF!</definedName>
    <definedName name="Excel_BuiltIn_Print_Titles_9" localSheetId="1">[22]PAJ825!#REF!</definedName>
    <definedName name="Excel_BuiltIn_Print_Titles_9" localSheetId="2">[22]PAJ825!#REF!</definedName>
    <definedName name="Excel_BuiltIn_Print_Titles_9">[22]PAJ825!#REF!</definedName>
    <definedName name="EXCROC">'[73]Análisis de precios'!$H$52</definedName>
    <definedName name="ExtensionCoordinador" localSheetId="18">#REF!</definedName>
    <definedName name="ExtensionCoordinador" localSheetId="1">#REF!</definedName>
    <definedName name="ExtensionCoordinador">#REF!</definedName>
    <definedName name="Extra_Pay" localSheetId="18">#REF!</definedName>
    <definedName name="Extra_Pay" localSheetId="1">#REF!</definedName>
    <definedName name="Extra_Pay">#REF!</definedName>
    <definedName name="Extracción_IM" localSheetId="18">#REF!</definedName>
    <definedName name="Extracción_IM" localSheetId="1">#REF!</definedName>
    <definedName name="Extracción_IM">#REF!</definedName>
    <definedName name="Extras">'[41]LIQUIDA-NOMINA'!$AH$4</definedName>
    <definedName name="F._INGRESO" localSheetId="18">#REF!</definedName>
    <definedName name="F._INGRESO" localSheetId="1">#REF!</definedName>
    <definedName name="F._INGRESO">#REF!</definedName>
    <definedName name="F._RETIRO" localSheetId="18">#REF!</definedName>
    <definedName name="F._RETIRO" localSheetId="1">#REF!</definedName>
    <definedName name="F._RETIRO">#REF!</definedName>
    <definedName name="F.L" localSheetId="18">#REF!</definedName>
    <definedName name="F.L" localSheetId="1">#REF!</definedName>
    <definedName name="F.L">#REF!</definedName>
    <definedName name="Facilidades" localSheetId="18">#REF!</definedName>
    <definedName name="Facilidades" localSheetId="1">#REF!</definedName>
    <definedName name="Facilidades">#REF!</definedName>
    <definedName name="factor" localSheetId="18">#REF!</definedName>
    <definedName name="factor" localSheetId="1">#REF!</definedName>
    <definedName name="factor">#REF!</definedName>
    <definedName name="FareWellStmnt" localSheetId="18">[51]!FareWellStmnt</definedName>
    <definedName name="FareWellStmnt" localSheetId="1">[51]!FareWellStmnt</definedName>
    <definedName name="FareWellStmnt">[51]!FareWellStmnt</definedName>
    <definedName name="FaseProyecto" localSheetId="18">#REF!</definedName>
    <definedName name="FaseProyecto" localSheetId="1">#REF!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1.32</definedName>
    <definedName name="Fecha">[74]Tablas!$B$1:$B$65536</definedName>
    <definedName name="FechaInicio">[41]CONTRATO!$E$10</definedName>
    <definedName name="FechaTermina">[41]CONTRATO!$E$11</definedName>
    <definedName name="FechaTerminacion" localSheetId="18">#REF!</definedName>
    <definedName name="FechaTerminacion" localSheetId="1">#REF!</definedName>
    <definedName name="FechaTerminacion">#REF!</definedName>
    <definedName name="fer" localSheetId="18">'[38]Res-Accide-10'!#REF!</definedName>
    <definedName name="fer" localSheetId="32">'[38]Res-Accide-10'!#REF!</definedName>
    <definedName name="fer" localSheetId="40">'[38]Res-Accide-10'!#REF!</definedName>
    <definedName name="fer" localSheetId="41">'[38]Res-Accide-10'!#REF!</definedName>
    <definedName name="fer" localSheetId="43">'[38]Res-Accide-10'!#REF!</definedName>
    <definedName name="fer" localSheetId="64">'[38]Res-Accide-10'!#REF!</definedName>
    <definedName name="fer" localSheetId="1">'[38]Res-Accide-10'!#REF!</definedName>
    <definedName name="fer" localSheetId="2">'[38]Res-Accide-10'!#REF!</definedName>
    <definedName name="fer">'[38]Res-Accide-10'!#REF!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8">'[75]7422CW00'!#REF!</definedName>
    <definedName name="fgh" localSheetId="1">'[75]7422CW00'!#REF!</definedName>
    <definedName name="fgh">'[75]7422CW00'!#REF!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18">#REF!</definedName>
    <definedName name="fi" localSheetId="1">#REF!</definedName>
    <definedName name="fi">#REF!</definedName>
    <definedName name="FIBER" localSheetId="18">#REF!</definedName>
    <definedName name="FIBER" localSheetId="1">#REF!</definedName>
    <definedName name="FIBER">#REF!</definedName>
    <definedName name="Fil_Fechas" localSheetId="18">#REF!</definedName>
    <definedName name="Fil_Fechas" localSheetId="1">#REF!</definedName>
    <definedName name="Fil_Fechas">#REF!</definedName>
    <definedName name="fill1" localSheetId="18" hidden="1">#REF!</definedName>
    <definedName name="fill1" localSheetId="1" hidden="1">#REF!</definedName>
    <definedName name="fill1" hidden="1">#REF!</definedName>
    <definedName name="FILTROS" localSheetId="18">#REF!</definedName>
    <definedName name="FILTROS" localSheetId="1">#REF!</definedName>
    <definedName name="FILTROS">#REF!</definedName>
    <definedName name="FINANCIACION">[0]!ERR</definedName>
    <definedName name="FinePrint" localSheetId="18">[51]!FinePrint</definedName>
    <definedName name="FinePrint" localSheetId="1">[51]!FinePrint</definedName>
    <definedName name="FinePrint">[51]!FinePrint</definedName>
    <definedName name="FM">1.18</definedName>
    <definedName name="fnic">[55]Hoja1!$C$13</definedName>
    <definedName name="FO">1.32</definedName>
    <definedName name="FORDESCR" localSheetId="18">'[3]7422CW00'!#REF!</definedName>
    <definedName name="FORDESCR" localSheetId="1">'[3]7422CW00'!#REF!</definedName>
    <definedName name="FORDESCR">'[3]7422CW00'!#REF!</definedName>
    <definedName name="FORM_C3">[76]Hoja1!$A$33:$N$51</definedName>
    <definedName name="FORMOLT" localSheetId="18">'[3]7422CW00'!#REF!</definedName>
    <definedName name="FORMOLT" localSheetId="1">'[3]7422CW00'!#REF!</definedName>
    <definedName name="FORMOLT">'[3]7422CW00'!#REF!</definedName>
    <definedName name="FORSHE" localSheetId="18">'[3]7422CW00'!#REF!</definedName>
    <definedName name="FORSHE" localSheetId="1">'[3]7422CW00'!#REF!</definedName>
    <definedName name="FORSHE">'[3]7422CW00'!#REF!</definedName>
    <definedName name="FORUNMIS" localSheetId="18">'[3]7422CW00'!#REF!</definedName>
    <definedName name="FORUNMIS" localSheetId="1">'[3]7422CW00'!#REF!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18">#REF!</definedName>
    <definedName name="Full_Print" localSheetId="1">#REF!</definedName>
    <definedName name="Full_Print">#REF!</definedName>
    <definedName name="fwff" hidden="1">{"via1",#N/A,TRUE,"general";"via2",#N/A,TRUE,"general";"via3",#N/A,TRUE,"general"}</definedName>
    <definedName name="fwwe" hidden="1">{"via1",#N/A,TRUE,"general";"via2",#N/A,TRUE,"general";"via3",#N/A,TRUE,"general"}</definedName>
    <definedName name="G" localSheetId="18">#REF!</definedName>
    <definedName name="G" localSheetId="1">#REF!</definedName>
    <definedName name="G">#REF!</definedName>
    <definedName name="G.Eg" localSheetId="18">#REF!</definedName>
    <definedName name="G.Eg" localSheetId="1">#REF!</definedName>
    <definedName name="G.Eg">#REF!</definedName>
    <definedName name="G.Em" localSheetId="18">#REF!</definedName>
    <definedName name="G.Em" localSheetId="1">#REF!</definedName>
    <definedName name="G.Em">#REF!</definedName>
    <definedName name="G.Eo" localSheetId="18">#REF!</definedName>
    <definedName name="G.Eo" localSheetId="1">#REF!</definedName>
    <definedName name="G.Eo">#REF!</definedName>
    <definedName name="G.Ew" localSheetId="18">#REF!</definedName>
    <definedName name="G.Ew" localSheetId="1">#REF!</definedName>
    <definedName name="G.Ew">#REF!</definedName>
    <definedName name="G_C1" localSheetId="18">[12]Tablas!#REF!</definedName>
    <definedName name="G_C1" localSheetId="1">[12]Tablas!#REF!</definedName>
    <definedName name="G_C1">[12]Tablas!#REF!</definedName>
    <definedName name="G_C10" localSheetId="18">[12]Tablas!#REF!</definedName>
    <definedName name="G_C10" localSheetId="1">[12]Tablas!#REF!</definedName>
    <definedName name="G_C10">[12]Tablas!#REF!</definedName>
    <definedName name="G_C11" localSheetId="18">[12]Tablas!#REF!</definedName>
    <definedName name="G_C11" localSheetId="1">[12]Tablas!#REF!</definedName>
    <definedName name="G_C11">[12]Tablas!#REF!</definedName>
    <definedName name="G_C12" localSheetId="18">[12]Tablas!#REF!</definedName>
    <definedName name="G_C12" localSheetId="1">[12]Tablas!#REF!</definedName>
    <definedName name="G_C12">[12]Tablas!#REF!</definedName>
    <definedName name="G_C13" localSheetId="18">[12]Tablas!#REF!</definedName>
    <definedName name="G_C13" localSheetId="1">[12]Tablas!#REF!</definedName>
    <definedName name="G_C13">[12]Tablas!#REF!</definedName>
    <definedName name="G_C14" localSheetId="18">[12]Tablas!#REF!</definedName>
    <definedName name="G_C14" localSheetId="1">[12]Tablas!#REF!</definedName>
    <definedName name="G_C14">[12]Tablas!#REF!</definedName>
    <definedName name="G_C15" localSheetId="18">[12]Tablas!#REF!</definedName>
    <definedName name="G_C15" localSheetId="1">[12]Tablas!#REF!</definedName>
    <definedName name="G_C15">[12]Tablas!#REF!</definedName>
    <definedName name="G_C16" localSheetId="18">[12]Tablas!#REF!</definedName>
    <definedName name="G_C16" localSheetId="1">[12]Tablas!#REF!</definedName>
    <definedName name="G_C16">[12]Tablas!#REF!</definedName>
    <definedName name="G_C17" localSheetId="18">[12]Tablas!#REF!</definedName>
    <definedName name="G_C17" localSheetId="1">[12]Tablas!#REF!</definedName>
    <definedName name="G_C17">[12]Tablas!#REF!</definedName>
    <definedName name="G_C18" localSheetId="18">[12]Tablas!#REF!</definedName>
    <definedName name="G_C18" localSheetId="1">[12]Tablas!#REF!</definedName>
    <definedName name="G_C18">[12]Tablas!#REF!</definedName>
    <definedName name="G_C19" localSheetId="18">[12]Tablas!#REF!</definedName>
    <definedName name="G_C19" localSheetId="1">[12]Tablas!#REF!</definedName>
    <definedName name="G_C19">[12]Tablas!#REF!</definedName>
    <definedName name="G_C2" localSheetId="18">[12]Tablas!#REF!</definedName>
    <definedName name="G_C2" localSheetId="1">[12]Tablas!#REF!</definedName>
    <definedName name="G_C2">[12]Tablas!#REF!</definedName>
    <definedName name="G_C20" localSheetId="18">[12]Tablas!#REF!</definedName>
    <definedName name="G_C20" localSheetId="1">[12]Tablas!#REF!</definedName>
    <definedName name="G_C20">[12]Tablas!#REF!</definedName>
    <definedName name="G_C21" localSheetId="18">[12]Tablas!#REF!</definedName>
    <definedName name="G_C21" localSheetId="1">[12]Tablas!#REF!</definedName>
    <definedName name="G_C21">[12]Tablas!#REF!</definedName>
    <definedName name="G_C22" localSheetId="18">[12]Tablas!#REF!</definedName>
    <definedName name="G_C22" localSheetId="1">[12]Tablas!#REF!</definedName>
    <definedName name="G_C22">[12]Tablas!#REF!</definedName>
    <definedName name="G_C3" localSheetId="18">[12]Tablas!#REF!</definedName>
    <definedName name="G_C3" localSheetId="1">[12]Tablas!#REF!</definedName>
    <definedName name="G_C3">[12]Tablas!#REF!</definedName>
    <definedName name="G_C4" localSheetId="18">[12]Tablas!#REF!</definedName>
    <definedName name="G_C4" localSheetId="1">[12]Tablas!#REF!</definedName>
    <definedName name="G_C4">[12]Tablas!#REF!</definedName>
    <definedName name="G_C5" localSheetId="18">[12]Tablas!#REF!</definedName>
    <definedName name="G_C5" localSheetId="1">[12]Tablas!#REF!</definedName>
    <definedName name="G_C5">[12]Tablas!#REF!</definedName>
    <definedName name="G_C6" localSheetId="18">[12]Tablas!#REF!</definedName>
    <definedName name="G_C6" localSheetId="1">[12]Tablas!#REF!</definedName>
    <definedName name="G_C6">[12]Tablas!#REF!</definedName>
    <definedName name="G_C7" localSheetId="18">[12]Tablas!#REF!</definedName>
    <definedName name="G_C7" localSheetId="1">[12]Tablas!#REF!</definedName>
    <definedName name="G_C7">[12]Tablas!#REF!</definedName>
    <definedName name="G_C8" localSheetId="18">[12]Tablas!#REF!</definedName>
    <definedName name="G_C8" localSheetId="1">[12]Tablas!#REF!</definedName>
    <definedName name="G_C8">[12]Tablas!#REF!</definedName>
    <definedName name="G_C9" localSheetId="18">[12]Tablas!#REF!</definedName>
    <definedName name="G_C9" localSheetId="1">[12]Tablas!#REF!</definedName>
    <definedName name="G_C9">[12]Tablas!#REF!</definedName>
    <definedName name="G1_" localSheetId="18">#REF!</definedName>
    <definedName name="G1_" localSheetId="1">#REF!</definedName>
    <definedName name="G1_">#REF!</definedName>
    <definedName name="GAJ" localSheetId="18">#REF!</definedName>
    <definedName name="GAJ" localSheetId="32">#REF!</definedName>
    <definedName name="GAJ" localSheetId="40">#REF!</definedName>
    <definedName name="GAJ" localSheetId="41">#REF!</definedName>
    <definedName name="GAJ" localSheetId="43">#REF!</definedName>
    <definedName name="GAJ" localSheetId="64">#REF!</definedName>
    <definedName name="GAJ" localSheetId="1">#REF!</definedName>
    <definedName name="GAJ" localSheetId="2">#REF!</definedName>
    <definedName name="GAJ">#REF!</definedName>
    <definedName name="GAS" localSheetId="18">[12]Tablas!#REF!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18">[11]Tablas!#REF!</definedName>
    <definedName name="GCB" localSheetId="1">[11]Tablas!#REF!</definedName>
    <definedName name="GCB">[11]Tablas!#REF!</definedName>
    <definedName name="GCI" localSheetId="18">[12]Tablas!#REF!</definedName>
    <definedName name="GCI" localSheetId="1">[12]Tablas!#REF!</definedName>
    <definedName name="GCI">[12]Tablas!#REF!</definedName>
    <definedName name="GCN" localSheetId="18">[12]Tablas!#REF!</definedName>
    <definedName name="GCN" localSheetId="1">[12]Tablas!#REF!</definedName>
    <definedName name="GCN">[12]Tablas!#REF!</definedName>
    <definedName name="GCP" localSheetId="18">[12]Tablas!#REF!</definedName>
    <definedName name="GCP" localSheetId="1">[12]Tablas!#REF!</definedName>
    <definedName name="GCP">[12]Tablas!#REF!</definedName>
    <definedName name="GDN" localSheetId="18">[12]Tablas!#REF!</definedName>
    <definedName name="GDN" localSheetId="1">[12]Tablas!#REF!</definedName>
    <definedName name="GDN">[12]Tablas!#REF!</definedName>
    <definedName name="GDR" localSheetId="18">[12]Tablas!#REF!</definedName>
    <definedName name="GDR" localSheetId="1">[12]Tablas!#REF!</definedName>
    <definedName name="GDR">[12]Tablas!#REF!</definedName>
    <definedName name="gdt" hidden="1">{"TAB1",#N/A,TRUE,"GENERAL";"TAB2",#N/A,TRUE,"GENERAL";"TAB3",#N/A,TRUE,"GENERAL";"TAB4",#N/A,TRUE,"GENERAL";"TAB5",#N/A,TRUE,"GENERAL"}</definedName>
    <definedName name="GEA" localSheetId="18">[12]Tablas!#REF!</definedName>
    <definedName name="GEA" localSheetId="1">[12]Tablas!#REF!</definedName>
    <definedName name="GEA">[12]Tablas!#REF!</definedName>
    <definedName name="GEA1_1" localSheetId="18">[12]Tablas!#REF!</definedName>
    <definedName name="GEA1_1" localSheetId="1">[12]Tablas!#REF!</definedName>
    <definedName name="GEA1_1">[12]Tablas!#REF!</definedName>
    <definedName name="GEA1_1_1" localSheetId="18">[12]Tablas!#REF!</definedName>
    <definedName name="GEA1_1_1" localSheetId="1">[12]Tablas!#REF!</definedName>
    <definedName name="GEA1_1_1">[12]Tablas!#REF!</definedName>
    <definedName name="GEA1_1_10" localSheetId="18">[12]Tablas!#REF!</definedName>
    <definedName name="GEA1_1_10" localSheetId="1">[12]Tablas!#REF!</definedName>
    <definedName name="GEA1_1_10">[12]Tablas!#REF!</definedName>
    <definedName name="GEA1_1_2" localSheetId="18">[12]Tablas!#REF!</definedName>
    <definedName name="GEA1_1_2" localSheetId="1">[12]Tablas!#REF!</definedName>
    <definedName name="GEA1_1_2">[12]Tablas!#REF!</definedName>
    <definedName name="GEA1_1_3" localSheetId="18">[12]Tablas!#REF!</definedName>
    <definedName name="GEA1_1_3" localSheetId="1">[12]Tablas!#REF!</definedName>
    <definedName name="GEA1_1_3">[12]Tablas!#REF!</definedName>
    <definedName name="GEA1_1_4" localSheetId="18">[12]Tablas!#REF!</definedName>
    <definedName name="GEA1_1_4" localSheetId="1">[12]Tablas!#REF!</definedName>
    <definedName name="GEA1_1_4">[12]Tablas!#REF!</definedName>
    <definedName name="GEA1_1_5" localSheetId="18">[12]Tablas!#REF!</definedName>
    <definedName name="GEA1_1_5" localSheetId="1">[12]Tablas!#REF!</definedName>
    <definedName name="GEA1_1_5">[12]Tablas!#REF!</definedName>
    <definedName name="GEA1_1_6" localSheetId="18">[12]Tablas!#REF!</definedName>
    <definedName name="GEA1_1_6" localSheetId="1">[12]Tablas!#REF!</definedName>
    <definedName name="GEA1_1_6">[12]Tablas!#REF!</definedName>
    <definedName name="GEA1_1_7" localSheetId="18">[12]Tablas!#REF!</definedName>
    <definedName name="GEA1_1_7" localSheetId="1">[12]Tablas!#REF!</definedName>
    <definedName name="GEA1_1_7">[12]Tablas!#REF!</definedName>
    <definedName name="GEA1_1_8" localSheetId="18">[12]Tablas!#REF!</definedName>
    <definedName name="GEA1_1_8" localSheetId="1">[12]Tablas!#REF!</definedName>
    <definedName name="GEA1_1_8">[12]Tablas!#REF!</definedName>
    <definedName name="GEA1_1_9" localSheetId="18">[12]Tablas!#REF!</definedName>
    <definedName name="GEA1_1_9" localSheetId="1">[12]Tablas!#REF!</definedName>
    <definedName name="GEA1_1_9">[12]Tablas!#REF!</definedName>
    <definedName name="GEA1_2" localSheetId="18">[12]Tablas!#REF!</definedName>
    <definedName name="GEA1_2" localSheetId="1">[12]Tablas!#REF!</definedName>
    <definedName name="GEA1_2">[12]Tablas!#REF!</definedName>
    <definedName name="GEA1_3" localSheetId="18">[12]Tablas!#REF!</definedName>
    <definedName name="GEA1_3" localSheetId="1">[12]Tablas!#REF!</definedName>
    <definedName name="GEA1_3">[12]Tablas!#REF!</definedName>
    <definedName name="GEA1_4" localSheetId="18">[12]Tablas!#REF!</definedName>
    <definedName name="GEA1_4" localSheetId="1">[12]Tablas!#REF!</definedName>
    <definedName name="GEA1_4">[12]Tablas!#REF!</definedName>
    <definedName name="GEC" localSheetId="18">[12]Tablas!#REF!</definedName>
    <definedName name="GEC" localSheetId="1">[12]Tablas!#REF!</definedName>
    <definedName name="GEC">[12]Tablas!#REF!</definedName>
    <definedName name="GEC_ON_DAPIAY" localSheetId="18">#REF!</definedName>
    <definedName name="GEC_ON_DAPIAY" localSheetId="1">#REF!</definedName>
    <definedName name="GEC_ON_DAPIAY">#REF!</definedName>
    <definedName name="GEC_ON_GER" localSheetId="18">#REF!</definedName>
    <definedName name="GEC_ON_GER" localSheetId="1">#REF!</definedName>
    <definedName name="GEC_ON_GER">#REF!</definedName>
    <definedName name="geg" hidden="1">{"via1",#N/A,TRUE,"general";"via2",#N/A,TRUE,"general";"via3",#N/A,TRUE,"general"}</definedName>
    <definedName name="GENERAL" localSheetId="18">#REF!</definedName>
    <definedName name="GENERAL" localSheetId="1">#REF!</definedName>
    <definedName name="GENERAL">#REF!</definedName>
    <definedName name="GENERAL1" localSheetId="18">#REF!</definedName>
    <definedName name="GENERAL1" localSheetId="1">#REF!</definedName>
    <definedName name="GENERAL1">#REF!</definedName>
    <definedName name="Geotex" localSheetId="18">#REF!</definedName>
    <definedName name="Geotex" localSheetId="32">#REF!</definedName>
    <definedName name="Geotex" localSheetId="40">#REF!</definedName>
    <definedName name="Geotex" localSheetId="41">#REF!</definedName>
    <definedName name="Geotex" localSheetId="43">#REF!</definedName>
    <definedName name="Geotex" localSheetId="64">#REF!</definedName>
    <definedName name="Geotex" localSheetId="1">#REF!</definedName>
    <definedName name="Geotex" localSheetId="2">#REF!</definedName>
    <definedName name="Geotex">#REF!</definedName>
    <definedName name="GERENCIA" localSheetId="18">#REF!</definedName>
    <definedName name="GERENCIA" localSheetId="1">#REF!</definedName>
    <definedName name="GERENCIA">#REF!</definedName>
    <definedName name="GERENCIA1" localSheetId="18">#REF!</definedName>
    <definedName name="GERENCIA1" localSheetId="1">#REF!</definedName>
    <definedName name="GERENCIA1">#REF!</definedName>
    <definedName name="GERENCIA2" localSheetId="18">#REF!</definedName>
    <definedName name="GERENCIA2" localSheetId="1">#REF!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18">[12]Tablas!#REF!</definedName>
    <definedName name="GFN" localSheetId="1">[12]Tablas!#REF!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8">'[75]7422CW00'!#REF!</definedName>
    <definedName name="ghf" localSheetId="1">'[75]7422CW00'!#REF!</definedName>
    <definedName name="ghf">'[75]7422CW00'!#REF!</definedName>
    <definedName name="ghfg" hidden="1">{"via1",#N/A,TRUE,"general";"via2",#N/A,TRUE,"general";"via3",#N/A,TRUE,"general"}</definedName>
    <definedName name="ghghy" localSheetId="18">#REF!</definedName>
    <definedName name="ghghy" localSheetId="1">#REF!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18">[12]Tablas!#REF!</definedName>
    <definedName name="GMM_ON_ASO" localSheetId="1">[12]Tablas!#REF!</definedName>
    <definedName name="GMM_ON_ASO">[12]Tablas!#REF!</definedName>
    <definedName name="GMM_ON_DMARES" localSheetId="18">#REF!</definedName>
    <definedName name="GMM_ON_DMARES" localSheetId="1">#REF!</definedName>
    <definedName name="GMM_ON_DMARES">#REF!</definedName>
    <definedName name="GMM_ON_DRIO" localSheetId="18">#REF!</definedName>
    <definedName name="GMM_ON_DRIO" localSheetId="1">#REF!</definedName>
    <definedName name="GMM_ON_DRIO">#REF!</definedName>
    <definedName name="GOR" localSheetId="18">#REF!</definedName>
    <definedName name="GOR" localSheetId="1">#REF!</definedName>
    <definedName name="GOR">#REF!</definedName>
    <definedName name="GOT" localSheetId="18">[12]Tablas!#REF!</definedName>
    <definedName name="GOT" localSheetId="1">[12]Tablas!#REF!</definedName>
    <definedName name="GOT">[12]Tablas!#REF!</definedName>
    <definedName name="GPO" localSheetId="18">[12]Tablas!#REF!</definedName>
    <definedName name="GPO" localSheetId="1">[12]Tablas!#REF!</definedName>
    <definedName name="GPO">[12]Tablas!#REF!</definedName>
    <definedName name="GPR" localSheetId="18">[12]Tablas!#REF!</definedName>
    <definedName name="GPR" localSheetId="1">[12]Tablas!#REF!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18">#REF!</definedName>
    <definedName name="GRAF2" localSheetId="32">#REF!</definedName>
    <definedName name="GRAF2" localSheetId="40">#REF!</definedName>
    <definedName name="GRAF2" localSheetId="41">#REF!</definedName>
    <definedName name="GRAF2" localSheetId="43">#REF!</definedName>
    <definedName name="GRAF2" localSheetId="64">#REF!</definedName>
    <definedName name="GRAF2" localSheetId="1">#REF!</definedName>
    <definedName name="GRAF2" localSheetId="2">#REF!</definedName>
    <definedName name="GRAF2">#REF!</definedName>
    <definedName name="GRAF3" localSheetId="18">#REF!</definedName>
    <definedName name="GRAF3" localSheetId="32">#REF!</definedName>
    <definedName name="GRAF3" localSheetId="40">#REF!</definedName>
    <definedName name="GRAF3" localSheetId="41">#REF!</definedName>
    <definedName name="GRAF3" localSheetId="43">#REF!</definedName>
    <definedName name="GRAF3" localSheetId="64">#REF!</definedName>
    <definedName name="GRAF3" localSheetId="1">#REF!</definedName>
    <definedName name="GRAF3" localSheetId="2">#REF!</definedName>
    <definedName name="GRAF3">#REF!</definedName>
    <definedName name="GRC" localSheetId="18">[12]Tablas!#REF!</definedName>
    <definedName name="GRC" localSheetId="1">[12]Tablas!#REF!</definedName>
    <definedName name="GRC">[12]Tablas!#REF!</definedName>
    <definedName name="GRC_ON_ASO" localSheetId="18">[12]Tablas!#REF!</definedName>
    <definedName name="GRC_ON_ASO" localSheetId="1">[12]Tablas!#REF!</definedName>
    <definedName name="GRC_ON_ASO">[12]Tablas!#REF!</definedName>
    <definedName name="GRC_ON_DAPIAY" localSheetId="18">#REF!</definedName>
    <definedName name="GRC_ON_DAPIAY" localSheetId="1">#REF!</definedName>
    <definedName name="GRC_ON_DAPIAY">#REF!</definedName>
    <definedName name="GRC_ON_GER" localSheetId="18">#REF!</definedName>
    <definedName name="GRC_ON_GER" localSheetId="1">#REF!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18">[12]Tablas!#REF!</definedName>
    <definedName name="GRM" localSheetId="1">[12]Tablas!#REF!</definedName>
    <definedName name="GRM">[12]Tablas!#REF!</definedName>
    <definedName name="GRM_ON_DMARES" localSheetId="18">#REF!</definedName>
    <definedName name="GRM_ON_DMARES" localSheetId="1">#REF!</definedName>
    <definedName name="GRM_ON_DMARES">#REF!</definedName>
    <definedName name="GRM_ON_DRIO" localSheetId="18">#REF!</definedName>
    <definedName name="GRM_ON_DRIO" localSheetId="1">#REF!</definedName>
    <definedName name="GRM_ON_DRIO">#REF!</definedName>
    <definedName name="GRN" localSheetId="18">[12]Tablas!#REF!</definedName>
    <definedName name="GRN" localSheetId="1">[12]Tablas!#REF!</definedName>
    <definedName name="GRN">[12]Tablas!#REF!</definedName>
    <definedName name="GRN_ON_ASO" localSheetId="18">[12]Tablas!#REF!</definedName>
    <definedName name="GRN_ON_ASO" localSheetId="1">[12]Tablas!#REF!</definedName>
    <definedName name="GRN_ON_ASO">[12]Tablas!#REF!</definedName>
    <definedName name="GRN_ON_DIREC" localSheetId="18">#REF!</definedName>
    <definedName name="GRN_ON_DIREC" localSheetId="1">#REF!</definedName>
    <definedName name="GRN_ON_DIREC">#REF!</definedName>
    <definedName name="GRS" localSheetId="18">[12]Tablas!#REF!</definedName>
    <definedName name="GRS" localSheetId="1">[12]Tablas!#REF!</definedName>
    <definedName name="GRS">[12]Tablas!#REF!</definedName>
    <definedName name="GRS_ON_ASO" localSheetId="18">[12]Tablas!#REF!</definedName>
    <definedName name="GRS_ON_ASO" localSheetId="1">[12]Tablas!#REF!</definedName>
    <definedName name="GRS_ON_ASO">[12]Tablas!#REF!</definedName>
    <definedName name="GRS_ON_DIREC" localSheetId="18">#REF!</definedName>
    <definedName name="GRS_ON_DIREC" localSheetId="1">#REF!</definedName>
    <definedName name="GRS_ON_DIREC">#REF!</definedName>
    <definedName name="GRS_ON_HUIL" localSheetId="18">#REF!</definedName>
    <definedName name="GRS_ON_HUIL" localSheetId="1">#REF!</definedName>
    <definedName name="GRS_ON_HUIL">#REF!</definedName>
    <definedName name="grtyerh" hidden="1">{"TAB1",#N/A,TRUE,"GENERAL";"TAB2",#N/A,TRUE,"GENERAL";"TAB3",#N/A,TRUE,"GENERAL";"TAB4",#N/A,TRUE,"GENERAL";"TAB5",#N/A,TRUE,"GENERAL"}</definedName>
    <definedName name="GRUPO1" localSheetId="18">#REF!</definedName>
    <definedName name="GRUPO1" localSheetId="32">#REF!</definedName>
    <definedName name="GRUPO1" localSheetId="40">#REF!</definedName>
    <definedName name="GRUPO1" localSheetId="41">#REF!</definedName>
    <definedName name="GRUPO1" localSheetId="43">#REF!</definedName>
    <definedName name="GRUPO1" localSheetId="64">#REF!</definedName>
    <definedName name="GRUPO1" localSheetId="1">#REF!</definedName>
    <definedName name="GRUPO1" localSheetId="2">#REF!</definedName>
    <definedName name="GRUPO1">#REF!</definedName>
    <definedName name="GRUPO123" localSheetId="18">#REF!</definedName>
    <definedName name="GRUPO123" localSheetId="32">#REF!</definedName>
    <definedName name="GRUPO123" localSheetId="40">#REF!</definedName>
    <definedName name="GRUPO123" localSheetId="41">#REF!</definedName>
    <definedName name="GRUPO123" localSheetId="43">#REF!</definedName>
    <definedName name="GRUPO123" localSheetId="64">#REF!</definedName>
    <definedName name="GRUPO123" localSheetId="1">#REF!</definedName>
    <definedName name="GRUPO123" localSheetId="2">#REF!</definedName>
    <definedName name="GRUPO123">#REF!</definedName>
    <definedName name="GRUPO13" localSheetId="18">#REF!</definedName>
    <definedName name="GRUPO13" localSheetId="32">#REF!</definedName>
    <definedName name="GRUPO13" localSheetId="40">#REF!</definedName>
    <definedName name="GRUPO13" localSheetId="41">#REF!</definedName>
    <definedName name="GRUPO13" localSheetId="43">#REF!</definedName>
    <definedName name="GRUPO13" localSheetId="64">#REF!</definedName>
    <definedName name="GRUPO13" localSheetId="1">#REF!</definedName>
    <definedName name="GRUPO13" localSheetId="2">#REF!</definedName>
    <definedName name="GRUPO13">#REF!</definedName>
    <definedName name="GRUPO2" localSheetId="18">#REF!</definedName>
    <definedName name="GRUPO2" localSheetId="32">#REF!</definedName>
    <definedName name="GRUPO2" localSheetId="40">#REF!</definedName>
    <definedName name="GRUPO2" localSheetId="41">#REF!</definedName>
    <definedName name="GRUPO2" localSheetId="43">#REF!</definedName>
    <definedName name="GRUPO2" localSheetId="64">#REF!</definedName>
    <definedName name="GRUPO2" localSheetId="1">#REF!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[77]BASE!$C$4:$H$255</definedName>
    <definedName name="GTC" localSheetId="18">[12]Tablas!#REF!</definedName>
    <definedName name="GTC" localSheetId="1">[12]Tablas!#REF!</definedName>
    <definedName name="GTC">[12]Tablas!#REF!</definedName>
    <definedName name="GTE" localSheetId="18">[12]Tablas!#REF!</definedName>
    <definedName name="GTE" localSheetId="1">[12]Tablas!#REF!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18">#REF!</definedName>
    <definedName name="GTO_ADMON" localSheetId="1">#REF!</definedName>
    <definedName name="GTO_ADMON">#REF!</definedName>
    <definedName name="GTO_INVEST" localSheetId="18">#REF!</definedName>
    <definedName name="GTO_INVEST" localSheetId="1">#REF!</definedName>
    <definedName name="GTO_INVEST">#REF!</definedName>
    <definedName name="GTO_OPERA" localSheetId="18">#REF!</definedName>
    <definedName name="GTO_OPERA" localSheetId="1">#REF!</definedName>
    <definedName name="GTO_OPERA">#REF!</definedName>
    <definedName name="GTP" localSheetId="18">[12]Tablas!#REF!</definedName>
    <definedName name="GTP" localSheetId="1">[12]Tablas!#REF!</definedName>
    <definedName name="GTP">[12]Tablas!#REF!</definedName>
    <definedName name="GTRE" localSheetId="18">#REF!</definedName>
    <definedName name="GTRE" localSheetId="32">#REF!</definedName>
    <definedName name="GTRE" localSheetId="40">#REF!</definedName>
    <definedName name="GTRE" localSheetId="41">#REF!</definedName>
    <definedName name="GTRE" localSheetId="43">#REF!</definedName>
    <definedName name="GTRE" localSheetId="64">#REF!</definedName>
    <definedName name="GTRE" localSheetId="1">#REF!</definedName>
    <definedName name="GTRE" localSheetId="2">#REF!</definedName>
    <definedName name="GTRE">#REF!</definedName>
    <definedName name="h" localSheetId="18">#REF!</definedName>
    <definedName name="h" localSheetId="1">#REF!</definedName>
    <definedName name="h">#REF!</definedName>
    <definedName name="H_pump" localSheetId="18">#REF!</definedName>
    <definedName name="H_pump" localSheetId="1">#REF!</definedName>
    <definedName name="H_pump">#REF!</definedName>
    <definedName name="h9h" hidden="1">{"via1",#N/A,TRUE,"general";"via2",#N/A,TRUE,"general";"via3",#N/A,TRUE,"general"}</definedName>
    <definedName name="Hazards" localSheetId="18">#REF!</definedName>
    <definedName name="Hazards" localSheetId="1">#REF!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18">ROW(#REF!)</definedName>
    <definedName name="Header_Row" localSheetId="1">ROW(#REF!)</definedName>
    <definedName name="Header_Row">ROW(#REF!)</definedName>
    <definedName name="hed">[55]Datos!$D$8</definedName>
    <definedName name="hen">[55]Datos!$D$9</definedName>
    <definedName name="HERRERO" localSheetId="18">#REF!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18">#REF!</definedName>
    <definedName name="HM" localSheetId="1">#REF!</definedName>
    <definedName name="HM">#REF!</definedName>
    <definedName name="hn" hidden="1">{"TAB1",#N/A,TRUE,"GENERAL";"TAB2",#N/A,TRUE,"GENERAL";"TAB3",#N/A,TRUE,"GENERAL";"TAB4",#N/A,TRUE,"GENERAL";"TAB5",#N/A,TRUE,"GENERAL"}</definedName>
    <definedName name="HOJA1" localSheetId="18">#REF!</definedName>
    <definedName name="HOJA1" localSheetId="32">#REF!</definedName>
    <definedName name="HOJA1" localSheetId="40">#REF!</definedName>
    <definedName name="HOJA1" localSheetId="41">#REF!</definedName>
    <definedName name="HOJA1" localSheetId="43">#REF!</definedName>
    <definedName name="HOJA1" localSheetId="64">#REF!</definedName>
    <definedName name="HOJA1" localSheetId="1">#REF!</definedName>
    <definedName name="HOJA1" localSheetId="2">#REF!</definedName>
    <definedName name="HOJA1">#REF!</definedName>
    <definedName name="Hornos" localSheetId="18">#REF!</definedName>
    <definedName name="Hornos" localSheetId="1">#REF!</definedName>
    <definedName name="Hornos">#REF!</definedName>
    <definedName name="HP_stg_Hz" localSheetId="18">#REF!</definedName>
    <definedName name="HP_stg_Hz" localSheetId="1">#REF!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 localSheetId="18">#REF!</definedName>
    <definedName name="hs" localSheetId="1">#REF!</definedName>
    <definedName name="hs">#REF!</definedName>
    <definedName name="hsfg" hidden="1">{"via1",#N/A,TRUE,"general";"via2",#N/A,TRUE,"general";"via3",#N/A,TRUE,"general"}</definedName>
    <definedName name="HTAS" localSheetId="18">#REF!</definedName>
    <definedName name="HTAS" localSheetId="1">#REF!</definedName>
    <definedName name="HTAS">#REF!</definedName>
    <definedName name="HTAS1" localSheetId="18">#REF!</definedName>
    <definedName name="HTAS1" localSheetId="1">#REF!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18">#REF!</definedName>
    <definedName name="hut" localSheetId="1">#REF!</definedName>
    <definedName name="hut">#REF!</definedName>
    <definedName name="hxdfk" localSheetId="18">#REF!</definedName>
    <definedName name="hxdfk" localSheetId="1">#REF!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8">#REF!</definedName>
    <definedName name="I" localSheetId="32">#REF!</definedName>
    <definedName name="I" localSheetId="40">#REF!</definedName>
    <definedName name="I" localSheetId="41">#REF!</definedName>
    <definedName name="I" localSheetId="43">#REF!</definedName>
    <definedName name="I" localSheetId="64">#REF!</definedName>
    <definedName name="I" localSheetId="1">#REF!</definedName>
    <definedName name="I" localSheetId="2">#REF!</definedName>
    <definedName name="I">#REF!</definedName>
    <definedName name="i0" localSheetId="18">#REF!</definedName>
    <definedName name="i0" localSheetId="1">#REF!</definedName>
    <definedName name="i0">#REF!</definedName>
    <definedName name="i8i" hidden="1">{"TAB1",#N/A,TRUE,"GENERAL";"TAB2",#N/A,TRUE,"GENERAL";"TAB3",#N/A,TRUE,"GENERAL";"TAB4",#N/A,TRUE,"GENERAL";"TAB5",#N/A,TRUE,"GENERAL"}</definedName>
    <definedName name="ic">[55]Hoja1!$C$17</definedName>
    <definedName name="icbf">[55]Hoja1!$C$15</definedName>
    <definedName name="Icct" localSheetId="18">#REF!</definedName>
    <definedName name="Icct" localSheetId="1">#REF!</definedName>
    <definedName name="Icct">#REF!</definedName>
    <definedName name="ICP" localSheetId="18">[12]Tablas!#REF!</definedName>
    <definedName name="ICP" localSheetId="1">[12]Tablas!#REF!</definedName>
    <definedName name="ICP">[12]Tablas!#REF!</definedName>
    <definedName name="ICP1_1" localSheetId="18">[12]Tablas!#REF!</definedName>
    <definedName name="ICP1_1" localSheetId="1">[12]Tablas!#REF!</definedName>
    <definedName name="ICP1_1">[12]Tablas!#REF!</definedName>
    <definedName name="ICP1_1_1" localSheetId="18">[12]Tablas!#REF!</definedName>
    <definedName name="ICP1_1_1" localSheetId="1">[12]Tablas!#REF!</definedName>
    <definedName name="ICP1_1_1">[12]Tablas!#REF!</definedName>
    <definedName name="ICP1_1_2" localSheetId="18">[12]Tablas!#REF!</definedName>
    <definedName name="ICP1_1_2" localSheetId="1">[12]Tablas!#REF!</definedName>
    <definedName name="ICP1_1_2">[12]Tablas!#REF!</definedName>
    <definedName name="ICP1_1_3" localSheetId="18">[12]Tablas!#REF!</definedName>
    <definedName name="ICP1_1_3" localSheetId="1">[12]Tablas!#REF!</definedName>
    <definedName name="ICP1_1_3">[12]Tablas!#REF!</definedName>
    <definedName name="ICP1_1_4" localSheetId="18">[12]Tablas!#REF!</definedName>
    <definedName name="ICP1_1_4" localSheetId="1">[12]Tablas!#REF!</definedName>
    <definedName name="ICP1_1_4">[12]Tablas!#REF!</definedName>
    <definedName name="ICP1_2" localSheetId="18">[12]Tablas!#REF!</definedName>
    <definedName name="ICP1_2" localSheetId="1">[12]Tablas!#REF!</definedName>
    <definedName name="ICP1_2">[12]Tablas!#REF!</definedName>
    <definedName name="ICP1_3" localSheetId="18">[12]Tablas!#REF!</definedName>
    <definedName name="ICP1_3" localSheetId="1">[12]Tablas!#REF!</definedName>
    <definedName name="ICP1_3">[12]Tablas!#REF!</definedName>
    <definedName name="ICP1_4" localSheetId="18">[12]Tablas!#REF!</definedName>
    <definedName name="ICP1_4" localSheetId="1">[12]Tablas!#REF!</definedName>
    <definedName name="ICP1_4">[12]Tablas!#REF!</definedName>
    <definedName name="ID">[0]!ERR</definedName>
    <definedName name="IF" localSheetId="18">'[52]A. P. U.'!#REF!</definedName>
    <definedName name="IF" localSheetId="32">'[52]A. P. U.'!#REF!</definedName>
    <definedName name="IF" localSheetId="40">'[52]A. P. U.'!#REF!</definedName>
    <definedName name="IF" localSheetId="41">'[52]A. P. U.'!#REF!</definedName>
    <definedName name="IF" localSheetId="43">'[52]A. P. U.'!#REF!</definedName>
    <definedName name="IF" localSheetId="64">'[52]A. P. U.'!#REF!</definedName>
    <definedName name="IF" localSheetId="1">'[52]A. P. U.'!#REF!</definedName>
    <definedName name="IF" localSheetId="2">'[52]A. P. U.'!#REF!</definedName>
    <definedName name="IF">'[52]A. P. U.'!#REF!</definedName>
    <definedName name="Ig" localSheetId="18">#REF!</definedName>
    <definedName name="Ig" localSheetId="1">#REF!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8">#REF!</definedName>
    <definedName name="IL" localSheetId="1">#REF!</definedName>
    <definedName name="IL">#REF!</definedName>
    <definedName name="im">'[78]1'!$N$41</definedName>
    <definedName name="IMP">[24]otros!$C$3</definedName>
    <definedName name="IMPRESSION" localSheetId="18">#REF!</definedName>
    <definedName name="IMPRESSION" localSheetId="1">#REF!</definedName>
    <definedName name="IMPRESSION">#REF!</definedName>
    <definedName name="imprimir" localSheetId="18">#REF!</definedName>
    <definedName name="imprimir" localSheetId="1">#REF!</definedName>
    <definedName name="imprimir">#REF!</definedName>
    <definedName name="IMPTOS" localSheetId="18">#REF!</definedName>
    <definedName name="IMPTOS" localSheetId="1">#REF!</definedName>
    <definedName name="IMPTOS">#REF!</definedName>
    <definedName name="IMPTOS1" localSheetId="18">#REF!</definedName>
    <definedName name="IMPTOS1" localSheetId="1">#REF!</definedName>
    <definedName name="IMPTOS1">#REF!</definedName>
    <definedName name="INC" localSheetId="18">#REF!</definedName>
    <definedName name="INC" localSheetId="1">#REF!</definedName>
    <definedName name="INC">#REF!</definedName>
    <definedName name="INCR._PRODC." localSheetId="18">#REF!</definedName>
    <definedName name="INCR._PRODC." localSheetId="1">#REF!</definedName>
    <definedName name="INCR._PRODC.">#REF!</definedName>
    <definedName name="INDICE" localSheetId="18">#REF!</definedName>
    <definedName name="INDICE" localSheetId="32">#REF!</definedName>
    <definedName name="INDICE" localSheetId="40">#REF!</definedName>
    <definedName name="INDICE" localSheetId="41">#REF!</definedName>
    <definedName name="INDICE" localSheetId="43">#REF!</definedName>
    <definedName name="INDICE" localSheetId="64">#REF!</definedName>
    <definedName name="INDICE" localSheetId="1">#REF!</definedName>
    <definedName name="INDICE" localSheetId="2">#REF!</definedName>
    <definedName name="INDICE">#REF!</definedName>
    <definedName name="inf" localSheetId="18">#REF!</definedName>
    <definedName name="inf" localSheetId="32">#REF!</definedName>
    <definedName name="inf" localSheetId="34">#REF!</definedName>
    <definedName name="inf" localSheetId="37">#REF!</definedName>
    <definedName name="inf" localSheetId="40">#REF!</definedName>
    <definedName name="inf" localSheetId="41">#REF!</definedName>
    <definedName name="inf" localSheetId="43">#REF!</definedName>
    <definedName name="inf" localSheetId="64">#REF!</definedName>
    <definedName name="inf" localSheetId="1">#REF!</definedName>
    <definedName name="inf" localSheetId="2">#REF!</definedName>
    <definedName name="inf">#REF!</definedName>
    <definedName name="INFORME">[79]TABLAS!$A$1:$A$65536</definedName>
    <definedName name="Informe_semanal" localSheetId="18">#REF!</definedName>
    <definedName name="Informe_semanal" localSheetId="1">#REF!</definedName>
    <definedName name="Informe_semanal">#REF!</definedName>
    <definedName name="INGENIERIA1" localSheetId="18" hidden="1">#REF!</definedName>
    <definedName name="INGENIERIA1" localSheetId="1" hidden="1">#REF!</definedName>
    <definedName name="INGENIERIA1" hidden="1">#REF!</definedName>
    <definedName name="INGENIERIA11" localSheetId="18" hidden="1">#REF!</definedName>
    <definedName name="INGENIERIA11" localSheetId="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 localSheetId="18">#REF!</definedName>
    <definedName name="INPU" localSheetId="1">#REF!</definedName>
    <definedName name="INPU">#REF!</definedName>
    <definedName name="INPUT" localSheetId="18">'[3]7422CW00'!#REF!</definedName>
    <definedName name="INPUT" localSheetId="1">'[3]7422CW00'!#REF!</definedName>
    <definedName name="INPUT">'[3]7422CW00'!#REF!</definedName>
    <definedName name="Insumos_auxiliares" localSheetId="18">[80]Insumos!#REF!</definedName>
    <definedName name="Insumos_auxiliares" localSheetId="32">[80]Insumos!#REF!</definedName>
    <definedName name="Insumos_auxiliares" localSheetId="40">[80]Insumos!#REF!</definedName>
    <definedName name="Insumos_auxiliares" localSheetId="41">[80]Insumos!#REF!</definedName>
    <definedName name="Insumos_auxiliares" localSheetId="43">[80]Insumos!#REF!</definedName>
    <definedName name="Insumos_auxiliares" localSheetId="64">[80]Insumos!#REF!</definedName>
    <definedName name="Insumos_auxiliares" localSheetId="1">[80]Insumos!#REF!</definedName>
    <definedName name="Insumos_auxiliares" localSheetId="2">[80]Insumos!#REF!</definedName>
    <definedName name="Insumos_auxiliares">[80]Insumos!#REF!</definedName>
    <definedName name="Insumos_basicos" localSheetId="18">#REF!</definedName>
    <definedName name="Insumos_basicos" localSheetId="32">#REF!</definedName>
    <definedName name="Insumos_basicos" localSheetId="40">#REF!</definedName>
    <definedName name="Insumos_basicos" localSheetId="41">#REF!</definedName>
    <definedName name="Insumos_basicos" localSheetId="43">#REF!</definedName>
    <definedName name="Insumos_basicos" localSheetId="64">#REF!</definedName>
    <definedName name="Insumos_basicos" localSheetId="1">#REF!</definedName>
    <definedName name="Insumos_basicos" localSheetId="2">#REF!</definedName>
    <definedName name="Insumos_basicos">#REF!</definedName>
    <definedName name="Int" localSheetId="18">#REF!</definedName>
    <definedName name="Int" localSheetId="1">#REF!</definedName>
    <definedName name="Int">#REF!</definedName>
    <definedName name="INTER">[72]Hoja3!$F$7:$F$9</definedName>
    <definedName name="Intercambiadores" localSheetId="18">#REF!</definedName>
    <definedName name="Intercambiadores" localSheetId="1">#REF!</definedName>
    <definedName name="Intercambiadores">#REF!</definedName>
    <definedName name="Interest_Rate" localSheetId="18">#REF!</definedName>
    <definedName name="Interest_Rate" localSheetId="1">#REF!</definedName>
    <definedName name="Interest_Rate">#REF!</definedName>
    <definedName name="INTERMEDIA_I" localSheetId="18">#REF!</definedName>
    <definedName name="INTERMEDIA_I" localSheetId="1">#REF!</definedName>
    <definedName name="INTERMEDIA_I">#REF!</definedName>
    <definedName name="Interventor">[41]CONTRATO!$E$12</definedName>
    <definedName name="INV_11">'[81]PR 1'!$A$2:$N$655</definedName>
    <definedName name="INV_Payments" localSheetId="18">[51]!INV_Payments</definedName>
    <definedName name="INV_Payments" localSheetId="1">[51]!INV_Payments</definedName>
    <definedName name="INV_Payments">[51]!INV_Payments</definedName>
    <definedName name="InvDol1" localSheetId="18">#REF!</definedName>
    <definedName name="InvDol1" localSheetId="1">#REF!</definedName>
    <definedName name="InvDol1">#REF!</definedName>
    <definedName name="InvDol2" localSheetId="18">#REF!</definedName>
    <definedName name="InvDol2" localSheetId="1">#REF!</definedName>
    <definedName name="InvDol2">#REF!</definedName>
    <definedName name="InvDol3" localSheetId="18">#REF!</definedName>
    <definedName name="InvDol3" localSheetId="1">#REF!</definedName>
    <definedName name="InvDol3">#REF!</definedName>
    <definedName name="InvDol4" localSheetId="18">#REF!</definedName>
    <definedName name="InvDol4" localSheetId="1">#REF!</definedName>
    <definedName name="InvDol4">#REF!</definedName>
    <definedName name="InvDol5" localSheetId="18">#REF!</definedName>
    <definedName name="InvDol5" localSheetId="1">#REF!</definedName>
    <definedName name="InvDol5">#REF!</definedName>
    <definedName name="InvDol6" localSheetId="18">#REF!</definedName>
    <definedName name="InvDol6" localSheetId="1">#REF!</definedName>
    <definedName name="InvDol6">#REF!</definedName>
    <definedName name="InvDol7" localSheetId="18">#REF!</definedName>
    <definedName name="InvDol7" localSheetId="1">#REF!</definedName>
    <definedName name="InvDol7">#REF!</definedName>
    <definedName name="InvDol8" localSheetId="18">#REF!</definedName>
    <definedName name="InvDol8" localSheetId="1">#REF!</definedName>
    <definedName name="InvDol8">#REF!</definedName>
    <definedName name="IOU" localSheetId="18">#REF!</definedName>
    <definedName name="IOU" localSheetId="1">#REF!</definedName>
    <definedName name="IOU">#REF!</definedName>
    <definedName name="IOUHH">[0]!ERR</definedName>
    <definedName name="IP" localSheetId="18">#REF!</definedName>
    <definedName name="IP" localSheetId="1">#REF!</definedName>
    <definedName name="IP">#REF!</definedName>
    <definedName name="irng" localSheetId="18" hidden="1">#REF!</definedName>
    <definedName name="irng" localSheetId="1" hidden="1">#REF!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 localSheetId="18">#REF!</definedName>
    <definedName name="ITEM1" localSheetId="32">#REF!</definedName>
    <definedName name="ITEM1" localSheetId="34">#REF!</definedName>
    <definedName name="ITEM1" localSheetId="37">#REF!</definedName>
    <definedName name="ITEM1" localSheetId="38">#REF!</definedName>
    <definedName name="ITEM1" localSheetId="40">#REF!</definedName>
    <definedName name="ITEM1" localSheetId="41">#REF!</definedName>
    <definedName name="ITEM1" localSheetId="43">#REF!</definedName>
    <definedName name="ITEM1" localSheetId="51">#REF!</definedName>
    <definedName name="ITEM1" localSheetId="64">#REF!</definedName>
    <definedName name="ITEM1" localSheetId="1">#REF!</definedName>
    <definedName name="ITEM1" localSheetId="2">#REF!</definedName>
    <definedName name="ITEM1">#REF!</definedName>
    <definedName name="ITEM15" localSheetId="18">#REF!</definedName>
    <definedName name="ITEM15" localSheetId="32">#REF!</definedName>
    <definedName name="ITEM15" localSheetId="34">#REF!</definedName>
    <definedName name="ITEM15" localSheetId="37">#REF!</definedName>
    <definedName name="ITEM15" localSheetId="38">#REF!</definedName>
    <definedName name="ITEM15" localSheetId="40">#REF!</definedName>
    <definedName name="ITEM15" localSheetId="41">#REF!</definedName>
    <definedName name="ITEM15" localSheetId="43">#REF!</definedName>
    <definedName name="ITEM15" localSheetId="51">#REF!</definedName>
    <definedName name="ITEM15" localSheetId="64">#REF!</definedName>
    <definedName name="ITEM15" localSheetId="1">#REF!</definedName>
    <definedName name="ITEM15" localSheetId="2">#REF!</definedName>
    <definedName name="ITEM15">#REF!</definedName>
    <definedName name="ITEM2" localSheetId="18">#REF!</definedName>
    <definedName name="ITEM2" localSheetId="32">#REF!</definedName>
    <definedName name="ITEM2" localSheetId="34">#REF!</definedName>
    <definedName name="ITEM2" localSheetId="37">#REF!</definedName>
    <definedName name="ITEM2" localSheetId="38">#REF!</definedName>
    <definedName name="ITEM2" localSheetId="40">#REF!</definedName>
    <definedName name="ITEM2" localSheetId="41">#REF!</definedName>
    <definedName name="ITEM2" localSheetId="43">#REF!</definedName>
    <definedName name="ITEM2" localSheetId="51">#REF!</definedName>
    <definedName name="ITEM2" localSheetId="64">#REF!</definedName>
    <definedName name="ITEM2" localSheetId="1">#REF!</definedName>
    <definedName name="ITEM2" localSheetId="2">#REF!</definedName>
    <definedName name="ITEM2">#REF!</definedName>
    <definedName name="item210.3" localSheetId="18">#REF!</definedName>
    <definedName name="item210.3" localSheetId="32">#REF!</definedName>
    <definedName name="item210.3" localSheetId="40">#REF!</definedName>
    <definedName name="item210.3" localSheetId="41">#REF!</definedName>
    <definedName name="item210.3" localSheetId="43">#REF!</definedName>
    <definedName name="item210.3" localSheetId="64">#REF!</definedName>
    <definedName name="item210.3" localSheetId="1">#REF!</definedName>
    <definedName name="item210.3" localSheetId="2">#REF!</definedName>
    <definedName name="item210.3">#REF!</definedName>
    <definedName name="item230.1" localSheetId="18">#REF!</definedName>
    <definedName name="item230.1" localSheetId="32">#REF!</definedName>
    <definedName name="item230.1" localSheetId="40">#REF!</definedName>
    <definedName name="item230.1" localSheetId="41">#REF!</definedName>
    <definedName name="item230.1" localSheetId="43">#REF!</definedName>
    <definedName name="item230.1" localSheetId="64">#REF!</definedName>
    <definedName name="item230.1" localSheetId="1">#REF!</definedName>
    <definedName name="item230.1" localSheetId="2">#REF!</definedName>
    <definedName name="item230.1">#REF!</definedName>
    <definedName name="ITEM3" localSheetId="18">#REF!</definedName>
    <definedName name="ITEM3" localSheetId="32">#REF!</definedName>
    <definedName name="ITEM3" localSheetId="34">#REF!</definedName>
    <definedName name="ITEM3" localSheetId="37">#REF!</definedName>
    <definedName name="ITEM3" localSheetId="38">#REF!</definedName>
    <definedName name="ITEM3" localSheetId="40">#REF!</definedName>
    <definedName name="ITEM3" localSheetId="41">#REF!</definedName>
    <definedName name="ITEM3" localSheetId="43">#REF!</definedName>
    <definedName name="ITEM3" localSheetId="51">#REF!</definedName>
    <definedName name="ITEM3" localSheetId="64">#REF!</definedName>
    <definedName name="ITEM3" localSheetId="1">#REF!</definedName>
    <definedName name="ITEM3" localSheetId="2">#REF!</definedName>
    <definedName name="ITEM3">#REF!</definedName>
    <definedName name="item310" localSheetId="18">#REF!</definedName>
    <definedName name="item310" localSheetId="32">#REF!</definedName>
    <definedName name="item310" localSheetId="40">#REF!</definedName>
    <definedName name="item310" localSheetId="41">#REF!</definedName>
    <definedName name="item310" localSheetId="43">#REF!</definedName>
    <definedName name="item310" localSheetId="64">#REF!</definedName>
    <definedName name="item310" localSheetId="1">#REF!</definedName>
    <definedName name="item310" localSheetId="2">#REF!</definedName>
    <definedName name="item310">#REF!</definedName>
    <definedName name="item320.2" localSheetId="18">#REF!</definedName>
    <definedName name="item320.2" localSheetId="32">#REF!</definedName>
    <definedName name="item320.2" localSheetId="40">#REF!</definedName>
    <definedName name="item320.2" localSheetId="41">#REF!</definedName>
    <definedName name="item320.2" localSheetId="43">#REF!</definedName>
    <definedName name="item320.2" localSheetId="64">#REF!</definedName>
    <definedName name="item320.2" localSheetId="1">#REF!</definedName>
    <definedName name="item320.2" localSheetId="2">#REF!</definedName>
    <definedName name="item320.2">#REF!</definedName>
    <definedName name="item330.1" localSheetId="18">#REF!</definedName>
    <definedName name="item330.1" localSheetId="32">#REF!</definedName>
    <definedName name="item330.1" localSheetId="40">#REF!</definedName>
    <definedName name="item330.1" localSheetId="41">#REF!</definedName>
    <definedName name="item330.1" localSheetId="43">#REF!</definedName>
    <definedName name="item330.1" localSheetId="64">#REF!</definedName>
    <definedName name="item330.1" localSheetId="1">#REF!</definedName>
    <definedName name="item330.1" localSheetId="2">#REF!</definedName>
    <definedName name="item330.1">#REF!</definedName>
    <definedName name="item420" localSheetId="18">#REF!</definedName>
    <definedName name="item420" localSheetId="32">#REF!</definedName>
    <definedName name="item420" localSheetId="40">#REF!</definedName>
    <definedName name="item420" localSheetId="41">#REF!</definedName>
    <definedName name="item420" localSheetId="43">#REF!</definedName>
    <definedName name="item420" localSheetId="64">#REF!</definedName>
    <definedName name="item420" localSheetId="1">#REF!</definedName>
    <definedName name="item420" localSheetId="2">#REF!</definedName>
    <definedName name="item420">#REF!</definedName>
    <definedName name="item450.2P" localSheetId="18">#REF!</definedName>
    <definedName name="item450.2P" localSheetId="32">#REF!</definedName>
    <definedName name="item450.2P" localSheetId="40">#REF!</definedName>
    <definedName name="item450.2P" localSheetId="41">#REF!</definedName>
    <definedName name="item450.2P" localSheetId="43">#REF!</definedName>
    <definedName name="item450.2P" localSheetId="64">#REF!</definedName>
    <definedName name="item450.2P" localSheetId="1">#REF!</definedName>
    <definedName name="item450.2P" localSheetId="2">#REF!</definedName>
    <definedName name="item450.2P">#REF!</definedName>
    <definedName name="item600.1" localSheetId="18">#REF!</definedName>
    <definedName name="item600.1" localSheetId="32">#REF!</definedName>
    <definedName name="item600.1" localSheetId="40">#REF!</definedName>
    <definedName name="item600.1" localSheetId="41">#REF!</definedName>
    <definedName name="item600.1" localSheetId="43">#REF!</definedName>
    <definedName name="item600.1" localSheetId="64">#REF!</definedName>
    <definedName name="item600.1" localSheetId="1">#REF!</definedName>
    <definedName name="item600.1" localSheetId="2">#REF!</definedName>
    <definedName name="item600.1">#REF!</definedName>
    <definedName name="item610.1" localSheetId="18">#REF!</definedName>
    <definedName name="item610.1" localSheetId="32">#REF!</definedName>
    <definedName name="item610.1" localSheetId="40">#REF!</definedName>
    <definedName name="item610.1" localSheetId="41">#REF!</definedName>
    <definedName name="item610.1" localSheetId="43">#REF!</definedName>
    <definedName name="item610.1" localSheetId="64">#REF!</definedName>
    <definedName name="item610.1" localSheetId="1">#REF!</definedName>
    <definedName name="item610.1" localSheetId="2">#REF!</definedName>
    <definedName name="item610.1">#REF!</definedName>
    <definedName name="item610.2" localSheetId="18">#REF!</definedName>
    <definedName name="item610.2" localSheetId="32">#REF!</definedName>
    <definedName name="item610.2" localSheetId="40">#REF!</definedName>
    <definedName name="item610.2" localSheetId="41">#REF!</definedName>
    <definedName name="item610.2" localSheetId="43">#REF!</definedName>
    <definedName name="item610.2" localSheetId="64">#REF!</definedName>
    <definedName name="item610.2" localSheetId="1">#REF!</definedName>
    <definedName name="item610.2" localSheetId="2">#REF!</definedName>
    <definedName name="item610.2">#REF!</definedName>
    <definedName name="item630.4" localSheetId="18">#REF!</definedName>
    <definedName name="item630.4" localSheetId="32">#REF!</definedName>
    <definedName name="item630.4" localSheetId="40">#REF!</definedName>
    <definedName name="item630.4" localSheetId="41">#REF!</definedName>
    <definedName name="item630.4" localSheetId="43">#REF!</definedName>
    <definedName name="item630.4" localSheetId="64">#REF!</definedName>
    <definedName name="item630.4" localSheetId="1">#REF!</definedName>
    <definedName name="item630.4" localSheetId="2">#REF!</definedName>
    <definedName name="item630.4">#REF!</definedName>
    <definedName name="item630.6" localSheetId="18">#REF!</definedName>
    <definedName name="item630.6" localSheetId="32">#REF!</definedName>
    <definedName name="item630.6" localSheetId="40">#REF!</definedName>
    <definedName name="item630.6" localSheetId="41">#REF!</definedName>
    <definedName name="item630.6" localSheetId="43">#REF!</definedName>
    <definedName name="item630.6" localSheetId="64">#REF!</definedName>
    <definedName name="item630.6" localSheetId="1">#REF!</definedName>
    <definedName name="item630.6" localSheetId="2">#REF!</definedName>
    <definedName name="item630.6">#REF!</definedName>
    <definedName name="item630.7" localSheetId="18">#REF!</definedName>
    <definedName name="item630.7" localSheetId="32">#REF!</definedName>
    <definedName name="item630.7" localSheetId="40">#REF!</definedName>
    <definedName name="item630.7" localSheetId="41">#REF!</definedName>
    <definedName name="item630.7" localSheetId="43">#REF!</definedName>
    <definedName name="item630.7" localSheetId="64">#REF!</definedName>
    <definedName name="item630.7" localSheetId="1">#REF!</definedName>
    <definedName name="item630.7" localSheetId="2">#REF!</definedName>
    <definedName name="item630.7">#REF!</definedName>
    <definedName name="item640.3" localSheetId="18">#REF!</definedName>
    <definedName name="item640.3" localSheetId="32">#REF!</definedName>
    <definedName name="item640.3" localSheetId="40">#REF!</definedName>
    <definedName name="item640.3" localSheetId="41">#REF!</definedName>
    <definedName name="item640.3" localSheetId="43">#REF!</definedName>
    <definedName name="item640.3" localSheetId="64">#REF!</definedName>
    <definedName name="item640.3" localSheetId="1">#REF!</definedName>
    <definedName name="item640.3" localSheetId="2">#REF!</definedName>
    <definedName name="item640.3">#REF!</definedName>
    <definedName name="item661" localSheetId="18">#REF!</definedName>
    <definedName name="item661" localSheetId="32">#REF!</definedName>
    <definedName name="item661" localSheetId="40">#REF!</definedName>
    <definedName name="item661" localSheetId="41">#REF!</definedName>
    <definedName name="item661" localSheetId="43">#REF!</definedName>
    <definedName name="item661" localSheetId="64">#REF!</definedName>
    <definedName name="item661" localSheetId="1">#REF!</definedName>
    <definedName name="item661" localSheetId="2">#REF!</definedName>
    <definedName name="item661">#REF!</definedName>
    <definedName name="item671" localSheetId="18">#REF!</definedName>
    <definedName name="item671" localSheetId="32">#REF!</definedName>
    <definedName name="item671" localSheetId="40">#REF!</definedName>
    <definedName name="item671" localSheetId="41">#REF!</definedName>
    <definedName name="item671" localSheetId="43">#REF!</definedName>
    <definedName name="item671" localSheetId="64">#REF!</definedName>
    <definedName name="item671" localSheetId="1">#REF!</definedName>
    <definedName name="item671" localSheetId="2">#REF!</definedName>
    <definedName name="item671">#REF!</definedName>
    <definedName name="item673.1" localSheetId="18">#REF!</definedName>
    <definedName name="item673.1" localSheetId="32">#REF!</definedName>
    <definedName name="item673.1" localSheetId="40">#REF!</definedName>
    <definedName name="item673.1" localSheetId="41">#REF!</definedName>
    <definedName name="item673.1" localSheetId="43">#REF!</definedName>
    <definedName name="item673.1" localSheetId="64">#REF!</definedName>
    <definedName name="item673.1" localSheetId="1">#REF!</definedName>
    <definedName name="item673.1" localSheetId="2">#REF!</definedName>
    <definedName name="item673.1">#REF!</definedName>
    <definedName name="item673.3" localSheetId="18">#REF!</definedName>
    <definedName name="item673.3" localSheetId="32">#REF!</definedName>
    <definedName name="item673.3" localSheetId="40">#REF!</definedName>
    <definedName name="item673.3" localSheetId="41">#REF!</definedName>
    <definedName name="item673.3" localSheetId="43">#REF!</definedName>
    <definedName name="item673.3" localSheetId="64">#REF!</definedName>
    <definedName name="item673.3" localSheetId="1">#REF!</definedName>
    <definedName name="item673.3" localSheetId="2">#REF!</definedName>
    <definedName name="item673.3">#REF!</definedName>
    <definedName name="item681" localSheetId="18">#REF!</definedName>
    <definedName name="item681" localSheetId="32">#REF!</definedName>
    <definedName name="item681" localSheetId="40">#REF!</definedName>
    <definedName name="item681" localSheetId="41">#REF!</definedName>
    <definedName name="item681" localSheetId="43">#REF!</definedName>
    <definedName name="item681" localSheetId="64">#REF!</definedName>
    <definedName name="item681" localSheetId="1">#REF!</definedName>
    <definedName name="item681" localSheetId="2">#REF!</definedName>
    <definedName name="item681">#REF!</definedName>
    <definedName name="item700.1" localSheetId="18">#REF!</definedName>
    <definedName name="item700.1" localSheetId="32">#REF!</definedName>
    <definedName name="item700.1" localSheetId="40">#REF!</definedName>
    <definedName name="item700.1" localSheetId="41">#REF!</definedName>
    <definedName name="item700.1" localSheetId="43">#REF!</definedName>
    <definedName name="item700.1" localSheetId="64">#REF!</definedName>
    <definedName name="item700.1" localSheetId="1">#REF!</definedName>
    <definedName name="item700.1" localSheetId="2">#REF!</definedName>
    <definedName name="item700.1">#REF!</definedName>
    <definedName name="item710.1" localSheetId="18">#REF!</definedName>
    <definedName name="item710.1" localSheetId="32">#REF!</definedName>
    <definedName name="item710.1" localSheetId="40">#REF!</definedName>
    <definedName name="item710.1" localSheetId="41">#REF!</definedName>
    <definedName name="item710.1" localSheetId="43">#REF!</definedName>
    <definedName name="item710.1" localSheetId="64">#REF!</definedName>
    <definedName name="item710.1" localSheetId="1">#REF!</definedName>
    <definedName name="item710.1" localSheetId="2">#REF!</definedName>
    <definedName name="item710.1">#REF!</definedName>
    <definedName name="item710.2" localSheetId="18">#REF!</definedName>
    <definedName name="item710.2" localSheetId="32">#REF!</definedName>
    <definedName name="item710.2" localSheetId="40">#REF!</definedName>
    <definedName name="item710.2" localSheetId="41">#REF!</definedName>
    <definedName name="item710.2" localSheetId="43">#REF!</definedName>
    <definedName name="item710.2" localSheetId="64">#REF!</definedName>
    <definedName name="item710.2" localSheetId="1">#REF!</definedName>
    <definedName name="item710.2" localSheetId="2">#REF!</definedName>
    <definedName name="item710.2">#REF!</definedName>
    <definedName name="item730.1" localSheetId="18">#REF!</definedName>
    <definedName name="item730.1" localSheetId="32">#REF!</definedName>
    <definedName name="item730.1" localSheetId="40">#REF!</definedName>
    <definedName name="item730.1" localSheetId="41">#REF!</definedName>
    <definedName name="item730.1" localSheetId="43">#REF!</definedName>
    <definedName name="item730.1" localSheetId="64">#REF!</definedName>
    <definedName name="item730.1" localSheetId="1">#REF!</definedName>
    <definedName name="item730.1" localSheetId="2">#REF!</definedName>
    <definedName name="item730.1">#REF!</definedName>
    <definedName name="item730.2" localSheetId="18">#REF!</definedName>
    <definedName name="item730.2" localSheetId="32">#REF!</definedName>
    <definedName name="item730.2" localSheetId="40">#REF!</definedName>
    <definedName name="item730.2" localSheetId="41">#REF!</definedName>
    <definedName name="item730.2" localSheetId="43">#REF!</definedName>
    <definedName name="item730.2" localSheetId="64">#REF!</definedName>
    <definedName name="item730.2" localSheetId="1">#REF!</definedName>
    <definedName name="item730.2" localSheetId="2">#REF!</definedName>
    <definedName name="item730.2">#REF!</definedName>
    <definedName name="item730.2.4" localSheetId="18">#REF!</definedName>
    <definedName name="item730.2.4" localSheetId="32">#REF!</definedName>
    <definedName name="item730.2.4" localSheetId="40">#REF!</definedName>
    <definedName name="item730.2.4" localSheetId="41">#REF!</definedName>
    <definedName name="item730.2.4" localSheetId="43">#REF!</definedName>
    <definedName name="item730.2.4" localSheetId="64">#REF!</definedName>
    <definedName name="item730.2.4" localSheetId="1">#REF!</definedName>
    <definedName name="item730.2.4" localSheetId="2">#REF!</definedName>
    <definedName name="item730.2.4">#REF!</definedName>
    <definedName name="item900.2" localSheetId="18">#REF!</definedName>
    <definedName name="item900.2" localSheetId="32">#REF!</definedName>
    <definedName name="item900.2" localSheetId="40">#REF!</definedName>
    <definedName name="item900.2" localSheetId="41">#REF!</definedName>
    <definedName name="item900.2" localSheetId="43">#REF!</definedName>
    <definedName name="item900.2" localSheetId="64">#REF!</definedName>
    <definedName name="item900.2" localSheetId="1">#REF!</definedName>
    <definedName name="item900.2" localSheetId="2">#REF!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8">#REF!</definedName>
    <definedName name="IVA" localSheetId="32">#REF!</definedName>
    <definedName name="IVA" localSheetId="40">#REF!</definedName>
    <definedName name="IVA" localSheetId="41">#REF!</definedName>
    <definedName name="IVA" localSheetId="43">#REF!</definedName>
    <definedName name="IVA" localSheetId="64">#REF!</definedName>
    <definedName name="IVA" localSheetId="1">#REF!</definedName>
    <definedName name="IVA" localSheetId="2">#REF!</definedName>
    <definedName name="IVA">#REF!</definedName>
    <definedName name="iwjer" localSheetId="18">#REF!</definedName>
    <definedName name="iwjer" localSheetId="1">#REF!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18" hidden="1">#REF!</definedName>
    <definedName name="jfç" localSheetId="1"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8">#REF!</definedName>
    <definedName name="jkl" localSheetId="32">#REF!</definedName>
    <definedName name="jkl" localSheetId="40">#REF!</definedName>
    <definedName name="jkl" localSheetId="41">#REF!</definedName>
    <definedName name="jkl" localSheetId="43">#REF!</definedName>
    <definedName name="jkl" localSheetId="64">#REF!</definedName>
    <definedName name="jkl" localSheetId="1">#REF!</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18">#REF!</definedName>
    <definedName name="jvv" localSheetId="32">#REF!</definedName>
    <definedName name="jvv" localSheetId="40">#REF!</definedName>
    <definedName name="jvv" localSheetId="41">#REF!</definedName>
    <definedName name="jvv" localSheetId="43">#REF!</definedName>
    <definedName name="jvv" localSheetId="64">#REF!</definedName>
    <definedName name="jvv" localSheetId="1">#REF!</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8">#REF!</definedName>
    <definedName name="K0F1" localSheetId="32">#REF!</definedName>
    <definedName name="K0F1" localSheetId="40">#REF!</definedName>
    <definedName name="K0F1" localSheetId="41">#REF!</definedName>
    <definedName name="K0F1" localSheetId="43">#REF!</definedName>
    <definedName name="K0F1" localSheetId="64">#REF!</definedName>
    <definedName name="K0F1" localSheetId="1">#REF!</definedName>
    <definedName name="K0F1" localSheetId="2">#REF!</definedName>
    <definedName name="K0F1">#REF!</definedName>
    <definedName name="K0F2" localSheetId="18">#REF!</definedName>
    <definedName name="K0F2" localSheetId="32">#REF!</definedName>
    <definedName name="K0F2" localSheetId="40">#REF!</definedName>
    <definedName name="K0F2" localSheetId="41">#REF!</definedName>
    <definedName name="K0F2" localSheetId="43">#REF!</definedName>
    <definedName name="K0F2" localSheetId="64">#REF!</definedName>
    <definedName name="K0F2" localSheetId="1">#REF!</definedName>
    <definedName name="K0F2" localSheetId="2">#REF!</definedName>
    <definedName name="K0F2">#REF!</definedName>
    <definedName name="K10ALO" localSheetId="18">#REF!</definedName>
    <definedName name="K10ALO" localSheetId="32">#REF!</definedName>
    <definedName name="K10ALO" localSheetId="40">#REF!</definedName>
    <definedName name="K10ALO" localSheetId="41">#REF!</definedName>
    <definedName name="K10ALO" localSheetId="43">#REF!</definedName>
    <definedName name="K10ALO" localSheetId="64">#REF!</definedName>
    <definedName name="K10ALO" localSheetId="1">#REF!</definedName>
    <definedName name="K10ALO" localSheetId="2">#REF!</definedName>
    <definedName name="K10ALO">#REF!</definedName>
    <definedName name="K11ALO" localSheetId="18">#REF!</definedName>
    <definedName name="K11ALO" localSheetId="32">#REF!</definedName>
    <definedName name="K11ALO" localSheetId="40">#REF!</definedName>
    <definedName name="K11ALO" localSheetId="41">#REF!</definedName>
    <definedName name="K11ALO" localSheetId="43">#REF!</definedName>
    <definedName name="K11ALO" localSheetId="64">#REF!</definedName>
    <definedName name="K11ALO" localSheetId="1">#REF!</definedName>
    <definedName name="K11ALO" localSheetId="2">#REF!</definedName>
    <definedName name="K11ALO">#REF!</definedName>
    <definedName name="K1F1" localSheetId="18">#REF!</definedName>
    <definedName name="K1F1" localSheetId="32">#REF!</definedName>
    <definedName name="K1F1" localSheetId="40">#REF!</definedName>
    <definedName name="K1F1" localSheetId="41">#REF!</definedName>
    <definedName name="K1F1" localSheetId="43">#REF!</definedName>
    <definedName name="K1F1" localSheetId="64">#REF!</definedName>
    <definedName name="K1F1" localSheetId="1">#REF!</definedName>
    <definedName name="K1F1" localSheetId="2">#REF!</definedName>
    <definedName name="K1F1">#REF!</definedName>
    <definedName name="K1F2" localSheetId="18">#REF!</definedName>
    <definedName name="K1F2" localSheetId="32">#REF!</definedName>
    <definedName name="K1F2" localSheetId="40">#REF!</definedName>
    <definedName name="K1F2" localSheetId="41">#REF!</definedName>
    <definedName name="K1F2" localSheetId="43">#REF!</definedName>
    <definedName name="K1F2" localSheetId="64">#REF!</definedName>
    <definedName name="K1F2" localSheetId="1">#REF!</definedName>
    <definedName name="K1F2" localSheetId="2">#REF!</definedName>
    <definedName name="K1F2">#REF!</definedName>
    <definedName name="K2F1" localSheetId="18">#REF!</definedName>
    <definedName name="K2F1" localSheetId="32">#REF!</definedName>
    <definedName name="K2F1" localSheetId="40">#REF!</definedName>
    <definedName name="K2F1" localSheetId="41">#REF!</definedName>
    <definedName name="K2F1" localSheetId="43">#REF!</definedName>
    <definedName name="K2F1" localSheetId="64">#REF!</definedName>
    <definedName name="K2F1" localSheetId="1">#REF!</definedName>
    <definedName name="K2F1" localSheetId="2">#REF!</definedName>
    <definedName name="K2F1">#REF!</definedName>
    <definedName name="K2F2" localSheetId="18">#REF!</definedName>
    <definedName name="K2F2" localSheetId="32">#REF!</definedName>
    <definedName name="K2F2" localSheetId="40">#REF!</definedName>
    <definedName name="K2F2" localSheetId="41">#REF!</definedName>
    <definedName name="K2F2" localSheetId="43">#REF!</definedName>
    <definedName name="K2F2" localSheetId="64">#REF!</definedName>
    <definedName name="K2F2" localSheetId="1">#REF!</definedName>
    <definedName name="K2F2" localSheetId="2">#REF!</definedName>
    <definedName name="K2F2">#REF!</definedName>
    <definedName name="K3F1" localSheetId="18">#REF!</definedName>
    <definedName name="K3F1" localSheetId="32">#REF!</definedName>
    <definedName name="K3F1" localSheetId="40">#REF!</definedName>
    <definedName name="K3F1" localSheetId="41">#REF!</definedName>
    <definedName name="K3F1" localSheetId="43">#REF!</definedName>
    <definedName name="K3F1" localSheetId="64">#REF!</definedName>
    <definedName name="K3F1" localSheetId="1">#REF!</definedName>
    <definedName name="K3F1" localSheetId="2">#REF!</definedName>
    <definedName name="K3F1">#REF!</definedName>
    <definedName name="K3F2" localSheetId="18">#REF!</definedName>
    <definedName name="K3F2" localSheetId="32">#REF!</definedName>
    <definedName name="K3F2" localSheetId="40">#REF!</definedName>
    <definedName name="K3F2" localSheetId="41">#REF!</definedName>
    <definedName name="K3F2" localSheetId="43">#REF!</definedName>
    <definedName name="K3F2" localSheetId="64">#REF!</definedName>
    <definedName name="K3F2" localSheetId="1">#REF!</definedName>
    <definedName name="K3F2" localSheetId="2">#REF!</definedName>
    <definedName name="K3F2">#REF!</definedName>
    <definedName name="K4F1" localSheetId="18">#REF!</definedName>
    <definedName name="K4F1" localSheetId="32">#REF!</definedName>
    <definedName name="K4F1" localSheetId="40">#REF!</definedName>
    <definedName name="K4F1" localSheetId="41">#REF!</definedName>
    <definedName name="K4F1" localSheetId="43">#REF!</definedName>
    <definedName name="K4F1" localSheetId="64">#REF!</definedName>
    <definedName name="K4F1" localSheetId="1">#REF!</definedName>
    <definedName name="K4F1" localSheetId="2">#REF!</definedName>
    <definedName name="K4F1">#REF!</definedName>
    <definedName name="K4F2" localSheetId="18">#REF!</definedName>
    <definedName name="K4F2" localSheetId="32">#REF!</definedName>
    <definedName name="K4F2" localSheetId="40">#REF!</definedName>
    <definedName name="K4F2" localSheetId="41">#REF!</definedName>
    <definedName name="K4F2" localSheetId="43">#REF!</definedName>
    <definedName name="K4F2" localSheetId="64">#REF!</definedName>
    <definedName name="K4F2" localSheetId="1">#REF!</definedName>
    <definedName name="K4F2" localSheetId="2">#REF!</definedName>
    <definedName name="K4F2">#REF!</definedName>
    <definedName name="K5F1" localSheetId="18">#REF!</definedName>
    <definedName name="K5F1" localSheetId="32">#REF!</definedName>
    <definedName name="K5F1" localSheetId="40">#REF!</definedName>
    <definedName name="K5F1" localSheetId="41">#REF!</definedName>
    <definedName name="K5F1" localSheetId="43">#REF!</definedName>
    <definedName name="K5F1" localSheetId="64">#REF!</definedName>
    <definedName name="K5F1" localSheetId="1">#REF!</definedName>
    <definedName name="K5F1" localSheetId="2">#REF!</definedName>
    <definedName name="K5F1">#REF!</definedName>
    <definedName name="K5F2" localSheetId="18">#REF!</definedName>
    <definedName name="K5F2" localSheetId="32">#REF!</definedName>
    <definedName name="K5F2" localSheetId="40">#REF!</definedName>
    <definedName name="K5F2" localSheetId="41">#REF!</definedName>
    <definedName name="K5F2" localSheetId="43">#REF!</definedName>
    <definedName name="K5F2" localSheetId="64">#REF!</definedName>
    <definedName name="K5F2" localSheetId="1">#REF!</definedName>
    <definedName name="K5F2" localSheetId="2">#REF!</definedName>
    <definedName name="K5F2">#REF!</definedName>
    <definedName name="K6F1" localSheetId="18">#REF!</definedName>
    <definedName name="K6F1" localSheetId="32">#REF!</definedName>
    <definedName name="K6F1" localSheetId="40">#REF!</definedName>
    <definedName name="K6F1" localSheetId="41">#REF!</definedName>
    <definedName name="K6F1" localSheetId="43">#REF!</definedName>
    <definedName name="K6F1" localSheetId="64">#REF!</definedName>
    <definedName name="K6F1" localSheetId="1">#REF!</definedName>
    <definedName name="K6F1" localSheetId="2">#REF!</definedName>
    <definedName name="K6F1">#REF!</definedName>
    <definedName name="K6F2" localSheetId="18">#REF!</definedName>
    <definedName name="K6F2" localSheetId="32">#REF!</definedName>
    <definedName name="K6F2" localSheetId="40">#REF!</definedName>
    <definedName name="K6F2" localSheetId="41">#REF!</definedName>
    <definedName name="K6F2" localSheetId="43">#REF!</definedName>
    <definedName name="K6F2" localSheetId="64">#REF!</definedName>
    <definedName name="K6F2" localSheetId="1">#REF!</definedName>
    <definedName name="K6F2" localSheetId="2">#REF!</definedName>
    <definedName name="K6F2">#REF!</definedName>
    <definedName name="K7F1" localSheetId="18">#REF!</definedName>
    <definedName name="K7F1" localSheetId="32">#REF!</definedName>
    <definedName name="K7F1" localSheetId="40">#REF!</definedName>
    <definedName name="K7F1" localSheetId="41">#REF!</definedName>
    <definedName name="K7F1" localSheetId="43">#REF!</definedName>
    <definedName name="K7F1" localSheetId="64">#REF!</definedName>
    <definedName name="K7F1" localSheetId="1">#REF!</definedName>
    <definedName name="K7F1" localSheetId="2">#REF!</definedName>
    <definedName name="K7F1">#REF!</definedName>
    <definedName name="K7F2" localSheetId="18">#REF!</definedName>
    <definedName name="K7F2" localSheetId="32">#REF!</definedName>
    <definedName name="K7F2" localSheetId="40">#REF!</definedName>
    <definedName name="K7F2" localSheetId="41">#REF!</definedName>
    <definedName name="K7F2" localSheetId="43">#REF!</definedName>
    <definedName name="K7F2" localSheetId="64">#REF!</definedName>
    <definedName name="K7F2" localSheetId="1">#REF!</definedName>
    <definedName name="K7F2" localSheetId="2">#REF!</definedName>
    <definedName name="K7F2">#REF!</definedName>
    <definedName name="K8ALO" localSheetId="18">#REF!</definedName>
    <definedName name="K8ALO" localSheetId="32">#REF!</definedName>
    <definedName name="K8ALO" localSheetId="40">#REF!</definedName>
    <definedName name="K8ALO" localSheetId="41">#REF!</definedName>
    <definedName name="K8ALO" localSheetId="43">#REF!</definedName>
    <definedName name="K8ALO" localSheetId="64">#REF!</definedName>
    <definedName name="K8ALO" localSheetId="1">#REF!</definedName>
    <definedName name="K8ALO" localSheetId="2">#REF!</definedName>
    <definedName name="K8ALO">#REF!</definedName>
    <definedName name="K8F1" localSheetId="18">#REF!</definedName>
    <definedName name="K8F1" localSheetId="32">#REF!</definedName>
    <definedName name="K8F1" localSheetId="40">#REF!</definedName>
    <definedName name="K8F1" localSheetId="41">#REF!</definedName>
    <definedName name="K8F1" localSheetId="43">#REF!</definedName>
    <definedName name="K8F1" localSheetId="64">#REF!</definedName>
    <definedName name="K8F1" localSheetId="1">#REF!</definedName>
    <definedName name="K8F1" localSheetId="2">#REF!</definedName>
    <definedName name="K8F1">#REF!</definedName>
    <definedName name="K8F2" localSheetId="18">#REF!</definedName>
    <definedName name="K8F2" localSheetId="32">#REF!</definedName>
    <definedName name="K8F2" localSheetId="40">#REF!</definedName>
    <definedName name="K8F2" localSheetId="41">#REF!</definedName>
    <definedName name="K8F2" localSheetId="43">#REF!</definedName>
    <definedName name="K8F2" localSheetId="64">#REF!</definedName>
    <definedName name="K8F2" localSheetId="1">#REF!</definedName>
    <definedName name="K8F2" localSheetId="2">#REF!</definedName>
    <definedName name="K8F2">#REF!</definedName>
    <definedName name="K9ALO" localSheetId="18">#REF!</definedName>
    <definedName name="K9ALO" localSheetId="32">#REF!</definedName>
    <definedName name="K9ALO" localSheetId="40">#REF!</definedName>
    <definedName name="K9ALO" localSheetId="41">#REF!</definedName>
    <definedName name="K9ALO" localSheetId="43">#REF!</definedName>
    <definedName name="K9ALO" localSheetId="64">#REF!</definedName>
    <definedName name="K9ALO" localSheetId="1">#REF!</definedName>
    <definedName name="K9ALO" localSheetId="2">#REF!</definedName>
    <definedName name="K9ALO">#REF!</definedName>
    <definedName name="kdmfm" localSheetId="18" hidden="1">#REF!</definedName>
    <definedName name="kdmfm" localSheetId="1" hidden="1">#REF!</definedName>
    <definedName name="kdmfm" hidden="1">#REF!</definedName>
    <definedName name="kf" localSheetId="18">#REF!</definedName>
    <definedName name="kf" localSheetId="1">#REF!</definedName>
    <definedName name="kf">#REF!</definedName>
    <definedName name="kh" localSheetId="18">#REF!</definedName>
    <definedName name="kh" localSheetId="1">#REF!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18">#REF!</definedName>
    <definedName name="kj" localSheetId="1">#REF!</definedName>
    <definedName name="kj">#REF!</definedName>
    <definedName name="kjhkd" hidden="1">{"via1",#N/A,TRUE,"general";"via2",#N/A,TRUE,"general";"via3",#N/A,TRUE,"general"}</definedName>
    <definedName name="kjj" localSheetId="18">#REF!</definedName>
    <definedName name="kjj" localSheetId="1">#REF!</definedName>
    <definedName name="kjj">#REF!</definedName>
    <definedName name="kjk" hidden="1">{"via1",#N/A,TRUE,"general";"via2",#N/A,TRUE,"general";"via3",#N/A,TRUE,"general"}</definedName>
    <definedName name="kjtrkjr" hidden="1">{"via1",#N/A,TRUE,"general";"via2",#N/A,TRUE,"general";"via3",#N/A,TRUE,"general"}</definedName>
    <definedName name="kk" localSheetId="18">#REF!</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8">#REF!</definedName>
    <definedName name="klklk" localSheetId="32">#REF!</definedName>
    <definedName name="klklk" localSheetId="40">#REF!</definedName>
    <definedName name="klklk" localSheetId="41">#REF!</definedName>
    <definedName name="klklk" localSheetId="43">#REF!</definedName>
    <definedName name="klklk" localSheetId="64">#REF!</definedName>
    <definedName name="klklk" localSheetId="1">#REF!</definedName>
    <definedName name="klklk" localSheetId="2">#REF!</definedName>
    <definedName name="klklk">#REF!</definedName>
    <definedName name="km" localSheetId="18">#REF!</definedName>
    <definedName name="km" localSheetId="1">#REF!</definedName>
    <definedName name="km">#REF!</definedName>
    <definedName name="krtrk" hidden="1">{"via1",#N/A,TRUE,"general";"via2",#N/A,TRUE,"general";"via3",#N/A,TRUE,"general"}</definedName>
    <definedName name="ks" localSheetId="18">#REF!</definedName>
    <definedName name="ks" localSheetId="1">#REF!</definedName>
    <definedName name="ks">#REF!</definedName>
    <definedName name="ksogtk" localSheetId="18">#REF!</definedName>
    <definedName name="ksogtk" localSheetId="1">#REF!</definedName>
    <definedName name="ksogtk">#REF!</definedName>
    <definedName name="kuyhgbe" localSheetId="18">#REF!</definedName>
    <definedName name="kuyhgbe" localSheetId="1">#REF!</definedName>
    <definedName name="kuyhgbe">#REF!</definedName>
    <definedName name="kyr" hidden="1">{"TAB1",#N/A,TRUE,"GENERAL";"TAB2",#N/A,TRUE,"GENERAL";"TAB3",#N/A,TRUE,"GENERAL";"TAB4",#N/A,TRUE,"GENERAL";"TAB5",#N/A,TRUE,"GENERAL"}</definedName>
    <definedName name="L" localSheetId="18">#REF!</definedName>
    <definedName name="L" localSheetId="1">#REF!</definedName>
    <definedName name="L">#REF!</definedName>
    <definedName name="la" localSheetId="18">#REF!</definedName>
    <definedName name="la" localSheetId="1">#REF!</definedName>
    <definedName name="la">#REF!</definedName>
    <definedName name="LAF" localSheetId="18">#REF!</definedName>
    <definedName name="LAF" localSheetId="1">#REF!</definedName>
    <definedName name="LAF">#REF!</definedName>
    <definedName name="lame" localSheetId="18" hidden="1">#REF!</definedName>
    <definedName name="lame" localSheetId="1" hidden="1">#REF!</definedName>
    <definedName name="lame" hidden="1">#REF!</definedName>
    <definedName name="LANODO" localSheetId="18">#REF!</definedName>
    <definedName name="LANODO" localSheetId="1">#REF!</definedName>
    <definedName name="LANODO">#REF!</definedName>
    <definedName name="LANODOFT" localSheetId="18">#REF!</definedName>
    <definedName name="LANODOFT" localSheetId="1">#REF!</definedName>
    <definedName name="LANODOFT">#REF!</definedName>
    <definedName name="Last_Row">#N/A</definedName>
    <definedName name="lb" localSheetId="18">#REF!</definedName>
    <definedName name="lb" localSheetId="1">#REF!</definedName>
    <definedName name="lb">#REF!</definedName>
    <definedName name="ld" localSheetId="18">#REF!</definedName>
    <definedName name="ld" localSheetId="1">#REF!</definedName>
    <definedName name="ld">#REF!</definedName>
    <definedName name="Libro1_Hoja1_Lista" localSheetId="18">[82]LISTADO!#REF!</definedName>
    <definedName name="Libro1_Hoja1_Lista" localSheetId="1">[82]LISTADO!#REF!</definedName>
    <definedName name="Libro1_Hoja1_Lista">[82]LISTADO!#REF!</definedName>
    <definedName name="LICITACION" localSheetId="18">#REF!</definedName>
    <definedName name="LICITACION" localSheetId="32">#REF!</definedName>
    <definedName name="LICITACION" localSheetId="40">#REF!</definedName>
    <definedName name="LICITACION" localSheetId="41">#REF!</definedName>
    <definedName name="LICITACION" localSheetId="43">#REF!</definedName>
    <definedName name="LICITACION" localSheetId="64">#REF!</definedName>
    <definedName name="LICITACION" localSheetId="1">#REF!</definedName>
    <definedName name="LICITACION" localSheetId="2">#REF!</definedName>
    <definedName name="LICITACION">#REF!</definedName>
    <definedName name="LINEA" localSheetId="18">[83]CONT_ADI!#REF!</definedName>
    <definedName name="LINEA" localSheetId="32">[83]CONT_ADI!#REF!</definedName>
    <definedName name="LINEA" localSheetId="40">[83]CONT_ADI!#REF!</definedName>
    <definedName name="LINEA" localSheetId="41">[83]CONT_ADI!#REF!</definedName>
    <definedName name="LINEA" localSheetId="43">[83]CONT_ADI!#REF!</definedName>
    <definedName name="LINEA" localSheetId="64">[83]CONT_ADI!#REF!</definedName>
    <definedName name="LINEA" localSheetId="1">[83]CONT_ADI!#REF!</definedName>
    <definedName name="LINEA" localSheetId="2">[83]CONT_ADI!#REF!</definedName>
    <definedName name="LINEA">[83]CONT_ADI!#REF!</definedName>
    <definedName name="Listado" localSheetId="18">#REF!</definedName>
    <definedName name="Listado" localSheetId="1">#REF!</definedName>
    <definedName name="Listado">#REF!</definedName>
    <definedName name="Listado1" localSheetId="18">#REF!</definedName>
    <definedName name="Listado1" localSheetId="1">#REF!</definedName>
    <definedName name="Listado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8">#REF!</definedName>
    <definedName name="llam" localSheetId="1">#REF!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18">#REF!</definedName>
    <definedName name="Loan_Amount" localSheetId="1">#REF!</definedName>
    <definedName name="Loan_Amount">#REF!</definedName>
    <definedName name="Loan_Start" localSheetId="18">#REF!</definedName>
    <definedName name="Loan_Start" localSheetId="1">#REF!</definedName>
    <definedName name="Loan_Start">#REF!</definedName>
    <definedName name="Loan_Years" localSheetId="18">#REF!</definedName>
    <definedName name="Loan_Years" localSheetId="1">#REF!</definedName>
    <definedName name="Loan_Years">#REF!</definedName>
    <definedName name="LOCA" localSheetId="18">[27]!absc</definedName>
    <definedName name="LOCA" localSheetId="32">[27]!absc</definedName>
    <definedName name="LOCA" localSheetId="40">[27]!absc</definedName>
    <definedName name="LOCA" localSheetId="41">[27]!absc</definedName>
    <definedName name="LOCA" localSheetId="43">[27]!absc</definedName>
    <definedName name="LOCA" localSheetId="64">[27]!absc</definedName>
    <definedName name="LOCA" localSheetId="1">[27]!absc</definedName>
    <definedName name="LOCA" localSheetId="2">[27]!absc</definedName>
    <definedName name="LOCA">[27]!absc</definedName>
    <definedName name="LOCA1" localSheetId="18">[39]!absc</definedName>
    <definedName name="LOCA1" localSheetId="32">[39]!absc</definedName>
    <definedName name="LOCA1" localSheetId="40">[39]!absc</definedName>
    <definedName name="LOCA1" localSheetId="41">[39]!absc</definedName>
    <definedName name="LOCA1" localSheetId="43">[39]!absc</definedName>
    <definedName name="LOCA1" localSheetId="64">[39]!absc</definedName>
    <definedName name="LOCA1" localSheetId="1">[39]!absc</definedName>
    <definedName name="LOCA1" localSheetId="2">[39]!absc</definedName>
    <definedName name="LOCA1">[39]!absc</definedName>
    <definedName name="LOCALIZACION_Y_REPLANTEO" localSheetId="18">#REF!</definedName>
    <definedName name="LOCALIZACION_Y_REPLANTEO" localSheetId="32">#REF!</definedName>
    <definedName name="LOCALIZACION_Y_REPLANTEO" localSheetId="40">#REF!</definedName>
    <definedName name="LOCALIZACION_Y_REPLANTEO" localSheetId="41">#REF!</definedName>
    <definedName name="LOCALIZACION_Y_REPLANTEO" localSheetId="43">#REF!</definedName>
    <definedName name="LOCALIZACION_Y_REPLANTEO" localSheetId="64">#REF!</definedName>
    <definedName name="LOCALIZACION_Y_REPLANTEO" localSheetId="1">#REF!</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18">#REF!</definedName>
    <definedName name="Longitud" localSheetId="1">#REF!</definedName>
    <definedName name="Longitud">#REF!</definedName>
    <definedName name="lp" localSheetId="18">#REF!</definedName>
    <definedName name="lp" localSheetId="1">#REF!</definedName>
    <definedName name="lp">#REF!</definedName>
    <definedName name="lplpl" hidden="1">{"via1",#N/A,TRUE,"general";"via2",#N/A,TRUE,"general";"via3",#N/A,TRUE,"general"}</definedName>
    <definedName name="lt" localSheetId="18">#REF!</definedName>
    <definedName name="lt" localSheetId="1">#REF!</definedName>
    <definedName name="lt">#REF!</definedName>
    <definedName name="lun" localSheetId="18">'[38]Res-Accide-10'!#REF!</definedName>
    <definedName name="lun" localSheetId="32">'[38]Res-Accide-10'!#REF!</definedName>
    <definedName name="lun" localSheetId="40">'[38]Res-Accide-10'!#REF!</definedName>
    <definedName name="lun" localSheetId="41">'[38]Res-Accide-10'!#REF!</definedName>
    <definedName name="lun" localSheetId="43">'[38]Res-Accide-10'!#REF!</definedName>
    <definedName name="lun" localSheetId="64">'[38]Res-Accide-10'!#REF!</definedName>
    <definedName name="lun" localSheetId="1">'[38]Res-Accide-10'!#REF!</definedName>
    <definedName name="lun" localSheetId="2">'[38]Res-Accide-10'!#REF!</definedName>
    <definedName name="lun">'[38]Res-Accide-10'!#REF!</definedName>
    <definedName name="lv" localSheetId="18">#REF!</definedName>
    <definedName name="lv" localSheetId="1">#REF!</definedName>
    <definedName name="lv">#REF!</definedName>
    <definedName name="m" localSheetId="18">#REF!</definedName>
    <definedName name="m" localSheetId="1">#REF!</definedName>
    <definedName name="m">#REF!</definedName>
    <definedName name="MA" localSheetId="18">'[38]Res-Accide-10'!#REF!</definedName>
    <definedName name="MA" localSheetId="32">'[38]Res-Accide-10'!#REF!</definedName>
    <definedName name="MA" localSheetId="40">'[38]Res-Accide-10'!#REF!</definedName>
    <definedName name="MA" localSheetId="41">'[38]Res-Accide-10'!#REF!</definedName>
    <definedName name="MA" localSheetId="43">'[38]Res-Accide-10'!#REF!</definedName>
    <definedName name="MA" localSheetId="64">'[38]Res-Accide-10'!#REF!</definedName>
    <definedName name="MA" localSheetId="1">'[38]Res-Accide-10'!#REF!</definedName>
    <definedName name="MA" localSheetId="2">'[38]Res-Accide-10'!#REF!</definedName>
    <definedName name="MA">'[38]Res-Accide-10'!#REF!</definedName>
    <definedName name="MACR" localSheetId="18">#REF!</definedName>
    <definedName name="MACR" localSheetId="1">#REF!</definedName>
    <definedName name="MACR">#REF!</definedName>
    <definedName name="MACRDEL" localSheetId="18">'[3]7422CW00'!#REF!</definedName>
    <definedName name="MACRDEL" localSheetId="1">'[3]7422CW00'!#REF!</definedName>
    <definedName name="MACRDEL">'[3]7422CW00'!#REF!</definedName>
    <definedName name="Macroactividad" localSheetId="18">#REF!</definedName>
    <definedName name="Macroactividad" localSheetId="1">#REF!</definedName>
    <definedName name="Macroactividad">#REF!</definedName>
    <definedName name="mafdsf" hidden="1">{"via1",#N/A,TRUE,"general";"via2",#N/A,TRUE,"general";"via3",#N/A,TRUE,"general"}</definedName>
    <definedName name="MANUAL" localSheetId="18">#REF!</definedName>
    <definedName name="MANUAL" localSheetId="1">#REF!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 localSheetId="18">'[38]Res-Accide-10'!#REF!</definedName>
    <definedName name="mar" localSheetId="32">'[38]Res-Accide-10'!#REF!</definedName>
    <definedName name="mar" localSheetId="40">'[38]Res-Accide-10'!#REF!</definedName>
    <definedName name="mar" localSheetId="41">'[38]Res-Accide-10'!#REF!</definedName>
    <definedName name="mar" localSheetId="43">'[38]Res-Accide-10'!#REF!</definedName>
    <definedName name="mar" localSheetId="64">'[38]Res-Accide-10'!#REF!</definedName>
    <definedName name="mar" localSheetId="1">'[38]Res-Accide-10'!#REF!</definedName>
    <definedName name="mar" localSheetId="2">'[38]Res-Accide-10'!#REF!</definedName>
    <definedName name="mar">'[38]Res-Accide-10'!#REF!</definedName>
    <definedName name="MARCO_H" localSheetId="18">#REF!</definedName>
    <definedName name="MARCO_H" localSheetId="1">#REF!</definedName>
    <definedName name="MARCO_H">#REF!</definedName>
    <definedName name="marina" localSheetId="18">'[85]Informe Semanal 1'!#REF!</definedName>
    <definedName name="marina" localSheetId="1">'[85]Informe Semanal 1'!#REF!</definedName>
    <definedName name="marina">'[85]Informe Semanal 1'!#REF!</definedName>
    <definedName name="masor" hidden="1">{"via1",#N/A,TRUE,"general";"via2",#N/A,TRUE,"general";"via3",#N/A,TRUE,"general"}</definedName>
    <definedName name="MAT" localSheetId="18">#REF!</definedName>
    <definedName name="MAT" localSheetId="32">#REF!</definedName>
    <definedName name="MAT" localSheetId="40">#REF!</definedName>
    <definedName name="MAT" localSheetId="41">#REF!</definedName>
    <definedName name="MAT" localSheetId="43">#REF!</definedName>
    <definedName name="MAT" localSheetId="64">#REF!</definedName>
    <definedName name="MAT" localSheetId="1">#REF!</definedName>
    <definedName name="MAT" localSheetId="2">#REF!</definedName>
    <definedName name="MAT">#REF!</definedName>
    <definedName name="MATERIAL">'[70]TABLA MATERIALES'!$A$3:$D$654</definedName>
    <definedName name="materiales">[69]materiales!$A$7:$A$1317</definedName>
    <definedName name="materiales1" localSheetId="18">#REF!</definedName>
    <definedName name="materiales1" localSheetId="1">#REF!</definedName>
    <definedName name="materiales1">#REF!</definedName>
    <definedName name="MATRIZ" localSheetId="18">#REF!</definedName>
    <definedName name="MATRIZ" localSheetId="1">#REF!</definedName>
    <definedName name="MATRIZ">#REF!</definedName>
    <definedName name="MATRIZ_DE_DATOS" localSheetId="18">#REF!</definedName>
    <definedName name="MATRIZ_DE_DATOS" localSheetId="1">#REF!</definedName>
    <definedName name="MATRIZ_DE_DATOS">#REF!</definedName>
    <definedName name="MCCs" localSheetId="18">#REF!</definedName>
    <definedName name="MCCs" localSheetId="1">#REF!</definedName>
    <definedName name="MCCs">#REF!</definedName>
    <definedName name="mdd" hidden="1">{"via1",#N/A,TRUE,"general";"via2",#N/A,TRUE,"general";"via3",#N/A,TRUE,"general"}</definedName>
    <definedName name="mediah_reposo_comida" localSheetId="18">'[86]CCP,LEYES, Y DEC.'!#REF!</definedName>
    <definedName name="mediah_reposo_comida" localSheetId="1">'[86]CCP,LEYES, Y DEC.'!#REF!</definedName>
    <definedName name="mediah_reposo_comida">'[86]CCP,LEYES, Y DEC.'!#REF!</definedName>
    <definedName name="meg" hidden="1">{"TAB1",#N/A,TRUE,"GENERAL";"TAB2",#N/A,TRUE,"GENERAL";"TAB3",#N/A,TRUE,"GENERAL";"TAB4",#N/A,TRUE,"GENERAL";"TAB5",#N/A,TRUE,"GENERAL"}</definedName>
    <definedName name="MENU1" localSheetId="18">'[3]7422CW00'!#REF!</definedName>
    <definedName name="MENU1" localSheetId="1">'[3]7422CW00'!#REF!</definedName>
    <definedName name="MENU1">'[3]7422CW00'!#REF!</definedName>
    <definedName name="MENU2" localSheetId="18">'[3]7422CW00'!#REF!</definedName>
    <definedName name="MENU2" localSheetId="1">'[3]7422CW00'!#REF!</definedName>
    <definedName name="MENU2">'[3]7422CW00'!#REF!</definedName>
    <definedName name="MENU3" localSheetId="18">'[3]7422CW00'!#REF!</definedName>
    <definedName name="MENU3" localSheetId="1">'[3]7422CW00'!#REF!</definedName>
    <definedName name="MENU3">'[3]7422CW00'!#REF!</definedName>
    <definedName name="MENU4" localSheetId="18">'[3]7422CW00'!#REF!</definedName>
    <definedName name="MENU4" localSheetId="1">'[3]7422CW00'!#REF!</definedName>
    <definedName name="MENU4">'[3]7422CW00'!#REF!</definedName>
    <definedName name="MENU5" localSheetId="18">'[3]7422CW00'!#REF!</definedName>
    <definedName name="MENU5" localSheetId="1">'[3]7422CW00'!#REF!</definedName>
    <definedName name="MENU5">'[3]7422CW00'!#REF!</definedName>
    <definedName name="MENU6" localSheetId="18">'[3]7422CW00'!#REF!</definedName>
    <definedName name="MENU6" localSheetId="1">'[3]7422CW00'!#REF!</definedName>
    <definedName name="MENU6">'[3]7422CW00'!#REF!</definedName>
    <definedName name="MES">[24]PRESUPUESTO!$C$13</definedName>
    <definedName name="MesCotiz">'[10]LIQ-NOM'!$H$3</definedName>
    <definedName name="MesCotizacion">'[41]LIQUIDA-NOMINA'!$H$3</definedName>
    <definedName name="MESES" localSheetId="18">#REF!</definedName>
    <definedName name="MESES" localSheetId="32">#REF!</definedName>
    <definedName name="MESES" localSheetId="40">#REF!</definedName>
    <definedName name="MESES" localSheetId="41">#REF!</definedName>
    <definedName name="MESES" localSheetId="43">#REF!</definedName>
    <definedName name="MESES" localSheetId="64">#REF!</definedName>
    <definedName name="MESES" localSheetId="1">#REF!</definedName>
    <definedName name="MESES" localSheetId="2">#REF!</definedName>
    <definedName name="MESES">#REF!</definedName>
    <definedName name="MesesMora">'[10]LIQ-NOM'!$I$3</definedName>
    <definedName name="Meta1" localSheetId="18">#REF!</definedName>
    <definedName name="Meta1" localSheetId="1">#REF!</definedName>
    <definedName name="Meta1">#REF!</definedName>
    <definedName name="Meta2" localSheetId="18">#REF!</definedName>
    <definedName name="Meta2" localSheetId="1">#REF!</definedName>
    <definedName name="Meta2">#REF!</definedName>
    <definedName name="Meta3" localSheetId="18">#REF!</definedName>
    <definedName name="Meta3" localSheetId="1">#REF!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18">#REF!</definedName>
    <definedName name="Mi_Salida" localSheetId="1">#REF!</definedName>
    <definedName name="Mi_Salida">#REF!</definedName>
    <definedName name="Mi_Salida1" localSheetId="18">#REF!</definedName>
    <definedName name="Mi_Salida1" localSheetId="1">#REF!</definedName>
    <definedName name="Mi_Salida1">#REF!</definedName>
    <definedName name="MICR" localSheetId="18">#REF!</definedName>
    <definedName name="MICR" localSheetId="1">#REF!</definedName>
    <definedName name="MICR">#REF!</definedName>
    <definedName name="MIN_MAX_sma" localSheetId="18">#REF!</definedName>
    <definedName name="MIN_MAX_sma" localSheetId="1">#REF!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8">#REF!</definedName>
    <definedName name="MJU" localSheetId="1">#REF!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18">#REF!</definedName>
    <definedName name="MOD" localSheetId="1">#REF!</definedName>
    <definedName name="MOD">#REF!</definedName>
    <definedName name="MODIVejec" hidden="1">{#N/A,#N/A,FALSE,"Hoja1";#N/A,#N/A,FALSE,"Hoja2"}</definedName>
    <definedName name="Módulo3.anexo1" localSheetId="18">[9]!Módulo3.anexo1</definedName>
    <definedName name="Módulo3.anexo1" localSheetId="1">[9]!Módulo3.anexo1</definedName>
    <definedName name="Módulo3.anexo1">[9]!Módulo3.anexo1</definedName>
    <definedName name="Módulo3.anexo10" localSheetId="18">[9]!Módulo3.anexo10</definedName>
    <definedName name="Módulo3.anexo10" localSheetId="1">[9]!Módulo3.anexo10</definedName>
    <definedName name="Módulo3.anexo10">[9]!Módulo3.anexo10</definedName>
    <definedName name="Módulo3.anexo11" localSheetId="18">[9]!Módulo3.anexo11</definedName>
    <definedName name="Módulo3.anexo11" localSheetId="1">[9]!Módulo3.anexo11</definedName>
    <definedName name="Módulo3.anexo11">[9]!Módulo3.anexo11</definedName>
    <definedName name="Módulo3.anexo12" localSheetId="18">[9]!Módulo3.anexo12</definedName>
    <definedName name="Módulo3.anexo12" localSheetId="1">[9]!Módulo3.anexo12</definedName>
    <definedName name="Módulo3.anexo12">[9]!Módulo3.anexo12</definedName>
    <definedName name="Módulo3.anexo3" localSheetId="18">[9]!Módulo3.anexo3</definedName>
    <definedName name="Módulo3.anexo3" localSheetId="1">[9]!Módulo3.anexo3</definedName>
    <definedName name="Módulo3.anexo3">[9]!Módulo3.anexo3</definedName>
    <definedName name="Módulo3.anexo4" localSheetId="18">[9]!Módulo3.anexo4</definedName>
    <definedName name="Módulo3.anexo4" localSheetId="1">[9]!Módulo3.anexo4</definedName>
    <definedName name="Módulo3.anexo4">[9]!Módulo3.anexo4</definedName>
    <definedName name="Módulo3.anexo5" localSheetId="18">[9]!Módulo3.anexo5</definedName>
    <definedName name="Módulo3.anexo5" localSheetId="1">[9]!Módulo3.anexo5</definedName>
    <definedName name="Módulo3.anexo5">[9]!Módulo3.anexo5</definedName>
    <definedName name="Módulo3.anexo6" localSheetId="18">[9]!Módulo3.anexo6</definedName>
    <definedName name="Módulo3.anexo6" localSheetId="1">[9]!Módulo3.anexo6</definedName>
    <definedName name="Módulo3.anexo6">[9]!Módulo3.anexo6</definedName>
    <definedName name="Módulo8.anexo16" localSheetId="18">[9]!Módulo8.anexo16</definedName>
    <definedName name="Módulo8.anexo16" localSheetId="1">[9]!Módulo8.anexo16</definedName>
    <definedName name="Módulo8.anexo16">[9]!Módulo8.anexo16</definedName>
    <definedName name="MOE" hidden="1">{#N/A,#N/A,FALSE,"Hoja1";#N/A,#N/A,FALSE,"Hoja2"}</definedName>
    <definedName name="MONEDA">[87]Tablas!$AO$6:$AO$7</definedName>
    <definedName name="mono" localSheetId="18">#REF!</definedName>
    <definedName name="mono" localSheetId="1">#REF!</definedName>
    <definedName name="mono">#REF!</definedName>
    <definedName name="MontoVigenciasA1" localSheetId="18">#REF!</definedName>
    <definedName name="MontoVigenciasA1" localSheetId="1">#REF!</definedName>
    <definedName name="MontoVigenciasA1">#REF!</definedName>
    <definedName name="MontoVigenciasA2" localSheetId="18">#REF!</definedName>
    <definedName name="MontoVigenciasA2" localSheetId="1">#REF!</definedName>
    <definedName name="MontoVigenciasA2">#REF!</definedName>
    <definedName name="MontoVigenciasA3" localSheetId="18">#REF!</definedName>
    <definedName name="MontoVigenciasA3" localSheetId="1">#REF!</definedName>
    <definedName name="MontoVigenciasA3">#REF!</definedName>
    <definedName name="MontoVigenciasA4" localSheetId="18">#REF!</definedName>
    <definedName name="MontoVigenciasA4" localSheetId="1">#REF!</definedName>
    <definedName name="MontoVigenciasA4">#REF!</definedName>
    <definedName name="MontoVigenciasA5" localSheetId="18">#REF!</definedName>
    <definedName name="MontoVigenciasA5" localSheetId="1">#REF!</definedName>
    <definedName name="MontoVigenciasA5">#REF!</definedName>
    <definedName name="Mora">[10]EMPRESA!$I$29</definedName>
    <definedName name="MORON" localSheetId="18">#REF!</definedName>
    <definedName name="MORON" localSheetId="1">#REF!</definedName>
    <definedName name="MORON">#REF!</definedName>
    <definedName name="MRLART" localSheetId="18">[2]STRSUMM0!#REF!</definedName>
    <definedName name="MRLART" localSheetId="1">[2]STRSUMM0!#REF!</definedName>
    <definedName name="MRLART">[2]STRSUMM0!#REF!</definedName>
    <definedName name="MRSUPDET" localSheetId="18">[46]steel!#REF!</definedName>
    <definedName name="MRSUPDET" localSheetId="1">[46]steel!#REF!</definedName>
    <definedName name="MRSUPDET">[46]steel!#REF!</definedName>
    <definedName name="Mtz_Avance" localSheetId="18">#REF!</definedName>
    <definedName name="Mtz_Avance" localSheetId="1">#REF!</definedName>
    <definedName name="Mtz_Avance">#REF!</definedName>
    <definedName name="Mv" localSheetId="18">#REF!</definedName>
    <definedName name="Mv" localSheetId="1">#REF!</definedName>
    <definedName name="Mv">#REF!</definedName>
    <definedName name="n" hidden="1">{"via1",#N/A,TRUE,"general";"via2",#N/A,TRUE,"general";"via3",#N/A,TRUE,"general"}</definedName>
    <definedName name="Nada" localSheetId="18">[51]!Nada</definedName>
    <definedName name="Nada" localSheetId="1">[51]!Nada</definedName>
    <definedName name="Nada">[51]!Nada</definedName>
    <definedName name="Nafta_2">'[88] ASR+Nafta'!$K$19:$AS$19</definedName>
    <definedName name="Nafta1">'[88] CHICAS+Nafta'!$K$19:$AS$19</definedName>
    <definedName name="Nafta2">'[88] ASR+Nafta'!$K$19:$AS$19</definedName>
    <definedName name="Nafta3">'[88]Todos+Nafta'!$K$19:$AS$19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18">#REF!</definedName>
    <definedName name="ng" localSheetId="1">#REF!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18">#REF!</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 localSheetId="18">#REF!</definedName>
    <definedName name="Nmax" localSheetId="1">#REF!</definedName>
    <definedName name="Nmax">#REF!</definedName>
    <definedName name="nmdlf" localSheetId="18">#REF!</definedName>
    <definedName name="nmdlf" localSheetId="1">#REF!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MBRE" localSheetId="18">#REF!</definedName>
    <definedName name="NOMBRE" localSheetId="32">#REF!</definedName>
    <definedName name="NOMBRE" localSheetId="40">#REF!</definedName>
    <definedName name="NOMBRE" localSheetId="41">#REF!</definedName>
    <definedName name="NOMBRE" localSheetId="43">#REF!</definedName>
    <definedName name="NOMBRE" localSheetId="64">#REF!</definedName>
    <definedName name="NOMBRE" localSheetId="1">#REF!</definedName>
    <definedName name="NOMBRE" localSheetId="2">#REF!</definedName>
    <definedName name="NOMBRE">#REF!</definedName>
    <definedName name="NombreCoordinador" localSheetId="18">#REF!</definedName>
    <definedName name="NombreCoordinador" localSheetId="1">#REF!</definedName>
    <definedName name="NombreCoordinador">#REF!</definedName>
    <definedName name="NombreDependencia" localSheetId="18">#REF!</definedName>
    <definedName name="NombreDependencia" localSheetId="1">#REF!</definedName>
    <definedName name="NombreDependencia">#REF!</definedName>
    <definedName name="NombreProyecto" localSheetId="18">#REF!</definedName>
    <definedName name="NombreProyecto" localSheetId="1">#REF!</definedName>
    <definedName name="NombreProyecto">#REF!</definedName>
    <definedName name="NombreVicepresidencia" localSheetId="18">#REF!</definedName>
    <definedName name="NombreVicepresidencia" localSheetId="1">#REF!</definedName>
    <definedName name="NombreVicepresidencia">#REF!</definedName>
    <definedName name="NPAGE" localSheetId="18">[2]STRSUMM0!#REF!</definedName>
    <definedName name="NPAGE" localSheetId="1">[2]STRSUMM0!#REF!</definedName>
    <definedName name="NPAGE">[2]STRSUMM0!#REF!</definedName>
    <definedName name="NUEVO" localSheetId="18">#REF!</definedName>
    <definedName name="NUEVO" localSheetId="32">#REF!</definedName>
    <definedName name="NUEVO" localSheetId="40">#REF!</definedName>
    <definedName name="NUEVO" localSheetId="41">#REF!</definedName>
    <definedName name="NUEVO" localSheetId="43">#REF!</definedName>
    <definedName name="NUEVO" localSheetId="64">#REF!</definedName>
    <definedName name="NUEVO" localSheetId="1">#REF!</definedName>
    <definedName name="NUEVO" localSheetId="2">#REF!</definedName>
    <definedName name="NUEVO">#REF!</definedName>
    <definedName name="Num_Pmt_Per_Year" localSheetId="18">#REF!</definedName>
    <definedName name="Num_Pmt_Per_Year" localSheetId="1">#REF!</definedName>
    <definedName name="Num_Pmt_Per_Year">#REF!</definedName>
    <definedName name="Number_of_Payments" localSheetId="18">MATCH(0.01,'220.1 P'!End_Bal,-1)+1</definedName>
    <definedName name="Number_of_Payments" localSheetId="1">MATCH(0.01,'PPTO CONSTRUCCION'!End_Bal,-1)+1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18">#REF!</definedName>
    <definedName name="º1" localSheetId="32">#REF!</definedName>
    <definedName name="º1" localSheetId="40">#REF!</definedName>
    <definedName name="º1" localSheetId="41">#REF!</definedName>
    <definedName name="º1" localSheetId="43">#REF!</definedName>
    <definedName name="º1" localSheetId="64">#REF!</definedName>
    <definedName name="º1" localSheetId="1">#REF!</definedName>
    <definedName name="º1" localSheetId="2">#REF!</definedName>
    <definedName name="º1">#REF!</definedName>
    <definedName name="o9o9" hidden="1">{"via1",#N/A,TRUE,"general";"via2",#N/A,TRUE,"general";"via3",#N/A,TRUE,"general"}</definedName>
    <definedName name="OBJ">[24]PRESUPUESTO!$C$10</definedName>
    <definedName name="ObjetivoProyecto" localSheetId="18">#REF!</definedName>
    <definedName name="ObjetivoProyecto" localSheetId="1">#REF!</definedName>
    <definedName name="ObjetivoProyecto">#REF!</definedName>
    <definedName name="Obra" localSheetId="18">#REF!</definedName>
    <definedName name="Obra" localSheetId="32">#REF!</definedName>
    <definedName name="Obra" localSheetId="40">#REF!</definedName>
    <definedName name="Obra" localSheetId="41">#REF!</definedName>
    <definedName name="Obra" localSheetId="43">#REF!</definedName>
    <definedName name="Obra" localSheetId="64">#REF!</definedName>
    <definedName name="Obra" localSheetId="1">#REF!</definedName>
    <definedName name="Obra" localSheetId="2">#REF!</definedName>
    <definedName name="Obra">#REF!</definedName>
    <definedName name="obras" localSheetId="18" hidden="1">#REF!</definedName>
    <definedName name="obras" localSheetId="1" hidden="1">#REF!</definedName>
    <definedName name="obras" hidden="1">#REF!</definedName>
    <definedName name="obras1" localSheetId="18">DATE(YEAR([89]!Loan_Start),MONTH([89]!Loan_Start)+Payment_Number,DAY([89]!Loan_Start))</definedName>
    <definedName name="obras1" localSheetId="1">DATE(YEAR([89]!Loan_Start),MONTH([89]!Loan_Start)+Payment_Number,DAY([89]!Loan_Start))</definedName>
    <definedName name="obras1">DATE(YEAR([89]!Loan_Start),MONTH([89]!Loan_Start)+Payment_Number,DAY([89]!Loan_Start))</definedName>
    <definedName name="obras11" localSheetId="18" hidden="1">#REF!</definedName>
    <definedName name="obras11" localSheetId="1" hidden="1">#REF!</definedName>
    <definedName name="obras11" hidden="1">#REF!</definedName>
    <definedName name="obras111" localSheetId="18">DATE(YEAR([90]!Loan_Start),MONTH([90]!Loan_Start)+Payment_Number,DAY([90]!Loan_Start))</definedName>
    <definedName name="obras111" localSheetId="1">DATE(YEAR([90]!Loan_Start),MONTH([90]!Loan_Start)+Payment_Number,DAY([90]!Loan_Start))</definedName>
    <definedName name="obras111">DATE(YEAR([90]!Loan_Start),MONTH([90]!Loan_Start)+Payment_Number,DAY([90]!Loan_Start))</definedName>
    <definedName name="OCD" localSheetId="18">[12]Tablas!#REF!</definedName>
    <definedName name="OCD" localSheetId="1">[12]Tablas!#REF!</definedName>
    <definedName name="OCD">[12]Tablas!#REF!</definedName>
    <definedName name="OCD1_1" localSheetId="18">[12]Tablas!#REF!</definedName>
    <definedName name="OCD1_1" localSheetId="1">[12]Tablas!#REF!</definedName>
    <definedName name="OCD1_1">[12]Tablas!#REF!</definedName>
    <definedName name="OCD1_1_1" localSheetId="18">[12]Tablas!#REF!</definedName>
    <definedName name="OCD1_1_1" localSheetId="1">[12]Tablas!#REF!</definedName>
    <definedName name="OCD1_1_1">[12]Tablas!#REF!</definedName>
    <definedName name="OCI" localSheetId="18">[12]Tablas!#REF!</definedName>
    <definedName name="OCI" localSheetId="1">[12]Tablas!#REF!</definedName>
    <definedName name="OCI">[12]Tablas!#REF!</definedName>
    <definedName name="OCI1_1" localSheetId="18">[12]Tablas!#REF!</definedName>
    <definedName name="OCI1_1" localSheetId="1">[12]Tablas!#REF!</definedName>
    <definedName name="OCI1_1">[12]Tablas!#REF!</definedName>
    <definedName name="OCI1_1_1" localSheetId="18">[12]Tablas!#REF!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8">#REF!</definedName>
    <definedName name="OD" localSheetId="1">#REF!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18">#REF!</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18">#REF!</definedName>
    <definedName name="opcion" localSheetId="1">#REF!</definedName>
    <definedName name="opcion">#REF!</definedName>
    <definedName name="Operario" localSheetId="18">#REF!</definedName>
    <definedName name="Operario" localSheetId="1">#REF!</definedName>
    <definedName name="Operario">#REF!</definedName>
    <definedName name="OR" localSheetId="18">#REF!</definedName>
    <definedName name="OR" localSheetId="1">#REF!</definedName>
    <definedName name="OR">#REF!</definedName>
    <definedName name="ORIGEN" localSheetId="18">#REF!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8" hidden="1">[7]INST!#REF!</definedName>
    <definedName name="OROZCO" localSheetId="1" hidden="1">[7]INST!#REF!</definedName>
    <definedName name="OROZCO" hidden="1">[7]INST!#REF!</definedName>
    <definedName name="otros">[69]otros!$A$6:$A$1235</definedName>
    <definedName name="OTROS1" localSheetId="18">#REF!</definedName>
    <definedName name="OTROS1" localSheetId="1">#REF!</definedName>
    <definedName name="OTROS1">#REF!</definedName>
    <definedName name="OUT" localSheetId="18">#REF!</definedName>
    <definedName name="OUT" localSheetId="1">#REF!</definedName>
    <definedName name="OUT">#REF!</definedName>
    <definedName name="P" localSheetId="18">#REF!</definedName>
    <definedName name="P" localSheetId="1">#REF!</definedName>
    <definedName name="P">#REF!</definedName>
    <definedName name="P_Yacimiento" localSheetId="18">#REF!</definedName>
    <definedName name="P_Yacimiento" localSheetId="1">#REF!</definedName>
    <definedName name="P_Yacimiento">#REF!</definedName>
    <definedName name="p0p0" hidden="1">{"via1",#N/A,TRUE,"general";"via2",#N/A,TRUE,"general";"via3",#N/A,TRUE,"general"}</definedName>
    <definedName name="Page____1____of____2" localSheetId="18">#REF!</definedName>
    <definedName name="Page____1____of____2" localSheetId="1">#REF!</definedName>
    <definedName name="Page____1____of____2">#REF!</definedName>
    <definedName name="Parametro_Peso">[57]Tablas!$A$1:$A$65536</definedName>
    <definedName name="Pay_Date" localSheetId="18">#REF!</definedName>
    <definedName name="Pay_Date" localSheetId="1">#REF!</definedName>
    <definedName name="Pay_Date">#REF!</definedName>
    <definedName name="Pay_Num" localSheetId="18">#REF!</definedName>
    <definedName name="Pay_Num" localSheetId="1">#REF!</definedName>
    <definedName name="Pay_Num">#REF!</definedName>
    <definedName name="Payment_Date" localSheetId="18">DATE(YEAR('220.1 P'!Loan_Start),MONTH('220.1 P'!Loan_Start)+Payment_Number,DAY('220.1 P'!Loan_Start))</definedName>
    <definedName name="Payment_Date" localSheetId="1">DATE(YEAR('PPTO CONSTRUCCION'!Loan_Start),MONTH('PPTO CONSTRUCCION'!Loan_Start)+Payment_Number,DAY('PPTO CONSTRUCCION'!Loan_Start))</definedName>
    <definedName name="Payment_Date">DATE(YEAR(Loan_Start),MONTH(Loan_Start)+Payment_Number,DAY(Loan_Start))</definedName>
    <definedName name="Payment_Date1" localSheetId="18">DATE(YEAR([90]!Loan_Start),MONTH([90]!Loan_Start)+Payment_Number,DAY([90]!Loan_Start))</definedName>
    <definedName name="Payment_Date1" localSheetId="1">DATE(YEAR([90]!Loan_Start),MONTH([90]!Loan_Start)+Payment_Number,DAY([90]!Loan_Start))</definedName>
    <definedName name="Payment_Date1">DATE(YEAR([90]!Loan_Start),MONTH([90]!Loan_Start)+Payment_Number,DAY([90]!Loan_Start))</definedName>
    <definedName name="Payment_Needed">"Pago necesario"</definedName>
    <definedName name="Pb" localSheetId="18">#REF!</definedName>
    <definedName name="Pb" localSheetId="1">#REF!</definedName>
    <definedName name="Pb">#REF!</definedName>
    <definedName name="Pd" localSheetId="18">#REF!</definedName>
    <definedName name="Pd" localSheetId="1">#REF!</definedName>
    <definedName name="Pd">#REF!</definedName>
    <definedName name="PEPE">[0]!ERR</definedName>
    <definedName name="Periodo">[43]Hoja1!$C$1</definedName>
    <definedName name="PeriodoPago">'[41]LIQUIDA-NOMINA'!$C$4</definedName>
    <definedName name="PeriodoRepago" localSheetId="18">#REF!</definedName>
    <definedName name="PeriodoRepago" localSheetId="1">#REF!</definedName>
    <definedName name="PeriodoRepago">#REF!</definedName>
    <definedName name="PeriodoRepagoCCP" localSheetId="18">#REF!</definedName>
    <definedName name="PeriodoRepagoCCP" localSheetId="1">#REF!</definedName>
    <definedName name="PeriodoRepagoCCP">#REF!</definedName>
    <definedName name="phed">[55]Hoja1!$C$4</definedName>
    <definedName name="phen">[55]Hoja1!$C$5</definedName>
    <definedName name="Pindis" localSheetId="18">#REF!</definedName>
    <definedName name="Pindis" localSheetId="1">#REF!</definedName>
    <definedName name="Pindis">#REF!</definedName>
    <definedName name="pint" localSheetId="18">'[75]7422CW00'!#REF!</definedName>
    <definedName name="pint" localSheetId="1">'[75]7422CW00'!#REF!</definedName>
    <definedName name="pint">'[75]7422CW00'!#REF!</definedName>
    <definedName name="pintura" localSheetId="18">'[75]7422CW00'!#REF!</definedName>
    <definedName name="pintura" localSheetId="1">'[75]7422CW00'!#REF!</definedName>
    <definedName name="pintura">'[75]7422CW00'!#REF!</definedName>
    <definedName name="pintyura" localSheetId="18">[91]STRSUMM0!#REF!</definedName>
    <definedName name="pintyura" localSheetId="1">[91]STRSUMM0!#REF!</definedName>
    <definedName name="pintyura">[91]STRSUMM0!#REF!</definedName>
    <definedName name="PIP" localSheetId="18">#REF!</definedName>
    <definedName name="PIP" localSheetId="1">#REF!</definedName>
    <definedName name="PIP">#REF!</definedName>
    <definedName name="Piscinas" localSheetId="18">#REF!</definedName>
    <definedName name="Piscinas" localSheetId="1">#REF!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18">#REF!</definedName>
    <definedName name="pkwsem" localSheetId="1">#REF!</definedName>
    <definedName name="pkwsem">#REF!</definedName>
    <definedName name="PLAD" hidden="1">{"TAB1",#N/A,TRUE,"GENERAL";"TAB2",#N/A,TRUE,"GENERAL";"TAB3",#N/A,TRUE,"GENERAL";"TAB4",#N/A,TRUE,"GENERAL";"TAB5",#N/A,TRUE,"GENERAL"}</definedName>
    <definedName name="Platinas" localSheetId="18">#REF!</definedName>
    <definedName name="Platinas" localSheetId="1">#REF!</definedName>
    <definedName name="Platinas">#REF!</definedName>
    <definedName name="Plazo">[36]BASES!$E$27</definedName>
    <definedName name="PlazoAIU" localSheetId="18">#REF!</definedName>
    <definedName name="PlazoAIU" localSheetId="32">#REF!</definedName>
    <definedName name="PlazoAIU" localSheetId="40">#REF!</definedName>
    <definedName name="PlazoAIU" localSheetId="41">#REF!</definedName>
    <definedName name="PlazoAIU" localSheetId="43">#REF!</definedName>
    <definedName name="PlazoAIU" localSheetId="64">#REF!</definedName>
    <definedName name="PlazoAIU" localSheetId="1">#REF!</definedName>
    <definedName name="PlazoAIU" localSheetId="2">#REF!</definedName>
    <definedName name="PlazoAIU">#REF!</definedName>
    <definedName name="PLPLUNN" hidden="1">{"TAB1",#N/A,TRUE,"GENERAL";"TAB2",#N/A,TRUE,"GENERAL";"TAB3",#N/A,TRUE,"GENERAL";"TAB4",#N/A,TRUE,"GENERAL";"TAB5",#N/A,TRUE,"GENERAL"}</definedName>
    <definedName name="PMP" localSheetId="18">#REF!</definedName>
    <definedName name="PMP" localSheetId="1">#REF!</definedName>
    <definedName name="PMP">#REF!</definedName>
    <definedName name="POCETAS" localSheetId="18">#REF!</definedName>
    <definedName name="POCETAS" localSheetId="32">#REF!</definedName>
    <definedName name="POCETAS" localSheetId="40">#REF!</definedName>
    <definedName name="POCETAS" localSheetId="41">#REF!</definedName>
    <definedName name="POCETAS" localSheetId="43">#REF!</definedName>
    <definedName name="POCETAS" localSheetId="64">#REF!</definedName>
    <definedName name="POCETAS" localSheetId="1">#REF!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8">#REF!</definedName>
    <definedName name="popu" localSheetId="32">#REF!</definedName>
    <definedName name="popu" localSheetId="40">#REF!</definedName>
    <definedName name="popu" localSheetId="41">#REF!</definedName>
    <definedName name="popu" localSheetId="43">#REF!</definedName>
    <definedName name="popu" localSheetId="64">#REF!</definedName>
    <definedName name="popu" localSheetId="1">#REF!</definedName>
    <definedName name="popu" localSheetId="2">#REF!</definedName>
    <definedName name="popu">#REF!</definedName>
    <definedName name="popvds" hidden="1">{"TAB1",#N/A,TRUE,"GENERAL";"TAB2",#N/A,TRUE,"GENERAL";"TAB3",#N/A,TRUE,"GENERAL";"TAB4",#N/A,TRUE,"GENERAL";"TAB5",#N/A,TRUE,"GENERAL"}</definedName>
    <definedName name="porc" localSheetId="18">#REF!</definedName>
    <definedName name="porc" localSheetId="32">#REF!</definedName>
    <definedName name="porc" localSheetId="40">#REF!</definedName>
    <definedName name="porc" localSheetId="41">#REF!</definedName>
    <definedName name="porc" localSheetId="43">#REF!</definedName>
    <definedName name="porc" localSheetId="64">#REF!</definedName>
    <definedName name="porc" localSheetId="1">#REF!</definedName>
    <definedName name="porc" localSheetId="2">#REF!</definedName>
    <definedName name="porc">#REF!</definedName>
    <definedName name="PORCE">[37]BASES!$E$26</definedName>
    <definedName name="Porcentaje" localSheetId="18">#REF!</definedName>
    <definedName name="Porcentaje" localSheetId="1">#REF!</definedName>
    <definedName name="Porcentaje">#REF!</definedName>
    <definedName name="PORCENTAJE1" localSheetId="18">#REF!</definedName>
    <definedName name="PORCENTAJE1" localSheetId="1">#REF!</definedName>
    <definedName name="PORCENTAJE1">#REF!</definedName>
    <definedName name="PORTADA2" localSheetId="18">'[92]Hoja 1 '!#REF!</definedName>
    <definedName name="PORTADA2" localSheetId="1">'[92]Hoja 1 '!#REF!</definedName>
    <definedName name="PORTADA2">'[92]Hoja 1 '!#REF!</definedName>
    <definedName name="POSICION_PRESUP" localSheetId="18">[11]Tablas!#REF!</definedName>
    <definedName name="POSICION_PRESUP" localSheetId="1">[11]Tablas!#REF!</definedName>
    <definedName name="POSICION_PRESUP">[11]Tablas!#REF!</definedName>
    <definedName name="POSICIONES" localSheetId="18">#REF!</definedName>
    <definedName name="POSICIONES" localSheetId="1">#REF!</definedName>
    <definedName name="POSICIONES">#REF!</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[47]medelo!$D$46</definedName>
    <definedName name="PRE" localSheetId="18">#REF!</definedName>
    <definedName name="PRE" localSheetId="32">#REF!</definedName>
    <definedName name="PRE" localSheetId="40">#REF!</definedName>
    <definedName name="PRE" localSheetId="41">#REF!</definedName>
    <definedName name="PRE" localSheetId="43">#REF!</definedName>
    <definedName name="PRE" localSheetId="64">#REF!</definedName>
    <definedName name="PRE" localSheetId="1">#REF!</definedName>
    <definedName name="PRE" localSheetId="2">#REF!</definedName>
    <definedName name="PRE">#REF!</definedName>
    <definedName name="PREST" localSheetId="18">#REF!</definedName>
    <definedName name="PREST" localSheetId="32">#REF!</definedName>
    <definedName name="PREST" localSheetId="40">#REF!</definedName>
    <definedName name="PREST" localSheetId="41">#REF!</definedName>
    <definedName name="PREST" localSheetId="43">#REF!</definedName>
    <definedName name="PREST" localSheetId="64">#REF!</definedName>
    <definedName name="PREST" localSheetId="1">#REF!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18">#REF!</definedName>
    <definedName name="Princ" localSheetId="1">#REF!</definedName>
    <definedName name="Princ">#REF!</definedName>
    <definedName name="PRINT_AREA">#N/A</definedName>
    <definedName name="Print_Area_MI" localSheetId="18">#REF!</definedName>
    <definedName name="Print_Area_MI" localSheetId="32">#REF!</definedName>
    <definedName name="Print_Area_MI" localSheetId="40">#REF!</definedName>
    <definedName name="Print_Area_MI" localSheetId="41">#REF!</definedName>
    <definedName name="Print_Area_MI" localSheetId="43">#REF!</definedName>
    <definedName name="Print_Area_MI" localSheetId="64">#REF!</definedName>
    <definedName name="Print_Area_MI" localSheetId="1">#REF!</definedName>
    <definedName name="Print_Area_MI" localSheetId="2">#REF!</definedName>
    <definedName name="Print_Area_MI">#REF!</definedName>
    <definedName name="Print_Area_Reset" localSheetId="18">OFFSET('220.1 P'!Full_Print,0,0,[0]!Last_Row)</definedName>
    <definedName name="Print_Area_Reset" localSheetId="1">OFFSET('PPTO CONSTRUCCION'!Full_Print,0,0,[0]!Last_Row)</definedName>
    <definedName name="Print_Area_Reset">OFFSET(Full_Print,0,0,Last_Row)</definedName>
    <definedName name="PRINT_TITLES">#N/A</definedName>
    <definedName name="PRINT_TITLES_MI">#N/A</definedName>
    <definedName name="PRINT1" localSheetId="18">'[3]7422CW00'!#REF!</definedName>
    <definedName name="PRINT1" localSheetId="1">'[3]7422CW00'!#REF!</definedName>
    <definedName name="PRINT1">'[3]7422CW00'!#REF!</definedName>
    <definedName name="PRINT2" localSheetId="18">'[3]7422CW00'!#REF!</definedName>
    <definedName name="PRINT2" localSheetId="1">'[3]7422CW00'!#REF!</definedName>
    <definedName name="PRINT2">'[3]7422CW00'!#REF!</definedName>
    <definedName name="PRIVADO" localSheetId="18">#REF!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8">#REF!</definedName>
    <definedName name="PROC" localSheetId="1">#REF!</definedName>
    <definedName name="PROC">#REF!</definedName>
    <definedName name="PROCEDIM_SELECC" localSheetId="18">#REF!</definedName>
    <definedName name="PROCEDIM_SELECC" localSheetId="1">#REF!</definedName>
    <definedName name="PROCEDIM_SELECC">#REF!</definedName>
    <definedName name="PROCESO" localSheetId="18">#REF!</definedName>
    <definedName name="PROCESO" localSheetId="1">#REF!</definedName>
    <definedName name="PROCESO">#REF!</definedName>
    <definedName name="PRODUCTO" localSheetId="18">#REF!</definedName>
    <definedName name="PRODUCTO" localSheetId="1">#REF!</definedName>
    <definedName name="PRODUCTO">#REF!</definedName>
    <definedName name="PrOfic">[36]BASES!$B$31</definedName>
    <definedName name="PROGDES" localSheetId="18">#REF!</definedName>
    <definedName name="PROGDES" localSheetId="1">#REF!</definedName>
    <definedName name="PROGDES">#REF!</definedName>
    <definedName name="Programa" localSheetId="18">#REF!</definedName>
    <definedName name="Programa" localSheetId="1">#REF!</definedName>
    <definedName name="Programa">#REF!</definedName>
    <definedName name="programainv">[0]!ERR</definedName>
    <definedName name="Proponente" localSheetId="18">#REF!</definedName>
    <definedName name="Proponente" localSheetId="32">#REF!</definedName>
    <definedName name="Proponente" localSheetId="40">#REF!</definedName>
    <definedName name="Proponente" localSheetId="41">#REF!</definedName>
    <definedName name="Proponente" localSheetId="43">#REF!</definedName>
    <definedName name="Proponente" localSheetId="64">#REF!</definedName>
    <definedName name="Proponente" localSheetId="1">#REF!</definedName>
    <definedName name="Proponente" localSheetId="2">#REF!</definedName>
    <definedName name="Proponente">#REF!</definedName>
    <definedName name="PRUEBA" localSheetId="18">[93]!absc</definedName>
    <definedName name="PRUEBA" localSheetId="32">[93]!absc</definedName>
    <definedName name="PRUEBA" localSheetId="40">[93]!absc</definedName>
    <definedName name="PRUEBA" localSheetId="41">[93]!absc</definedName>
    <definedName name="PRUEBA" localSheetId="43">[93]!absc</definedName>
    <definedName name="PRUEBA" localSheetId="64">[93]!absc</definedName>
    <definedName name="PRUEBA" localSheetId="1">[93]!absc</definedName>
    <definedName name="PRUEBA" localSheetId="2">[93]!absc</definedName>
    <definedName name="PRUEBA">[93]!absc</definedName>
    <definedName name="prueba1" localSheetId="18">[93]!absc</definedName>
    <definedName name="prueba1" localSheetId="32">[93]!absc</definedName>
    <definedName name="prueba1" localSheetId="40">[93]!absc</definedName>
    <definedName name="prueba1" localSheetId="41">[93]!absc</definedName>
    <definedName name="prueba1" localSheetId="43">[93]!absc</definedName>
    <definedName name="prueba1" localSheetId="64">[93]!absc</definedName>
    <definedName name="prueba1" localSheetId="1">[93]!absc</definedName>
    <definedName name="prueba1" localSheetId="2">[93]!absc</definedName>
    <definedName name="prueba1">[93]!absc</definedName>
    <definedName name="PRUEBA2" localSheetId="18">#REF!</definedName>
    <definedName name="PRUEBA2" localSheetId="32">#REF!</definedName>
    <definedName name="PRUEBA2" localSheetId="40">#REF!</definedName>
    <definedName name="PRUEBA2" localSheetId="41">#REF!</definedName>
    <definedName name="PRUEBA2" localSheetId="43">#REF!</definedName>
    <definedName name="PRUEBA2" localSheetId="64">#REF!</definedName>
    <definedName name="PRUEBA2" localSheetId="1">#REF!</definedName>
    <definedName name="PRUEBA2" localSheetId="2">#REF!</definedName>
    <definedName name="PRUEBA2">#REF!</definedName>
    <definedName name="ps" localSheetId="18">#REF!</definedName>
    <definedName name="ps" localSheetId="1">#REF!</definedName>
    <definedName name="ps">#REF!</definedName>
    <definedName name="PSTRESS_RELIEVI" localSheetId="18">#REF!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18">#REF!</definedName>
    <definedName name="PW" localSheetId="1">#REF!</definedName>
    <definedName name="PW">#REF!</definedName>
    <definedName name="Pwf">'[94]ORITO 02 '!$A$12</definedName>
    <definedName name="Pwf_actual">'[94]ORITO 02 '!$E$6</definedName>
    <definedName name="Pwf_i">[47]medelo!$A$66:$A$83</definedName>
    <definedName name="Pwf_min">'[94]ORITO 02 '!$E$8</definedName>
    <definedName name="Pwfd" localSheetId="18">#REF!</definedName>
    <definedName name="Pwfd" localSheetId="1">#REF!</definedName>
    <definedName name="Pwfd">#REF!</definedName>
    <definedName name="Q" localSheetId="18">#REF!</definedName>
    <definedName name="Q" localSheetId="32">#REF!</definedName>
    <definedName name="Q" localSheetId="40">#REF!</definedName>
    <definedName name="Q" localSheetId="41">#REF!</definedName>
    <definedName name="Q" localSheetId="43">#REF!</definedName>
    <definedName name="Q" localSheetId="64">#REF!</definedName>
    <definedName name="Q" localSheetId="1">#REF!</definedName>
    <definedName name="Q" localSheetId="2">#REF!</definedName>
    <definedName name="Q">#REF!</definedName>
    <definedName name="Q_actual">'[94]ORITO 02 '!$E$7</definedName>
    <definedName name="Q_BRUTO" localSheetId="18">#REF!</definedName>
    <definedName name="Q_BRUTO" localSheetId="1">#REF!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8">#REF!</definedName>
    <definedName name="qaz" localSheetId="32">#REF!</definedName>
    <definedName name="qaz" localSheetId="40">#REF!</definedName>
    <definedName name="qaz" localSheetId="41">#REF!</definedName>
    <definedName name="qaz" localSheetId="43">#REF!</definedName>
    <definedName name="qaz" localSheetId="64">#REF!</definedName>
    <definedName name="qaz" localSheetId="1">#REF!</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 localSheetId="18">#REF!</definedName>
    <definedName name="QS" localSheetId="1">#REF!</definedName>
    <definedName name="QS">#REF!</definedName>
    <definedName name="Qt">'[94]ORITO 02 '!$E$9</definedName>
    <definedName name="QTIES" localSheetId="18">#REF!</definedName>
    <definedName name="QTIES" localSheetId="1">#REF!</definedName>
    <definedName name="QTIES">#REF!</definedName>
    <definedName name="QTY" localSheetId="18">#REF!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8">#REF!</definedName>
    <definedName name="QWE" localSheetId="1">#REF!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18">#REF!</definedName>
    <definedName name="R._SECO" localSheetId="1">#REF!</definedName>
    <definedName name="R._SECO">#REF!</definedName>
    <definedName name="R_2" localSheetId="18">#REF!</definedName>
    <definedName name="R_2" localSheetId="1">#REF!</definedName>
    <definedName name="R_2">#REF!</definedName>
    <definedName name="R_c" localSheetId="18">#REF!</definedName>
    <definedName name="R_c" localSheetId="1">#REF!</definedName>
    <definedName name="R_c">#REF!</definedName>
    <definedName name="RANGO_FECHA" localSheetId="18">#REF!</definedName>
    <definedName name="RANGO_FECHA" localSheetId="1">#REF!</definedName>
    <definedName name="RANGO_FECHA">#REF!</definedName>
    <definedName name="Rates" localSheetId="18">#REF!</definedName>
    <definedName name="Rates" localSheetId="1">#REF!</definedName>
    <definedName name="Rates">#REF!</definedName>
    <definedName name="RD" localSheetId="18">#REF!</definedName>
    <definedName name="RD" localSheetId="1">#REF!</definedName>
    <definedName name="RD">#REF!</definedName>
    <definedName name="rdq" localSheetId="18">#REF!</definedName>
    <definedName name="rdq" localSheetId="1">#REF!</definedName>
    <definedName name="rdq">#REF!</definedName>
    <definedName name="Reactores" localSheetId="18">#REF!</definedName>
    <definedName name="Reactores" localSheetId="1">#REF!</definedName>
    <definedName name="Reactores">#REF!</definedName>
    <definedName name="RECALL">'[88] CHICAS+Nafta'!$E$9:$E$21</definedName>
    <definedName name="Recall_2">'[88] ASR+Nafta'!$E$9:$E$21</definedName>
    <definedName name="Recall_3">'[88]Todos+Nafta'!$E$9:$E$21</definedName>
    <definedName name="Recorder" localSheetId="18">#REF!</definedName>
    <definedName name="Recorder" localSheetId="1">#REF!</definedName>
    <definedName name="Recorder">#REF!</definedName>
    <definedName name="recursos">[95]RECURSOS!$A$8:$A$204</definedName>
    <definedName name="rege" hidden="1">{"TAB1",#N/A,TRUE,"GENERAL";"TAB2",#N/A,TRUE,"GENERAL";"TAB3",#N/A,TRUE,"GENERAL";"TAB4",#N/A,TRUE,"GENERAL";"TAB5",#N/A,TRUE,"GENERAL"}</definedName>
    <definedName name="REGIMEN_CONTRAT">[87]Tablas!$M$6:$M$8</definedName>
    <definedName name="REGIONAL">[87]Tablas!$I$6:$I$10</definedName>
    <definedName name="RegistroCoordinador" localSheetId="18">#REF!</definedName>
    <definedName name="RegistroCoordinador" localSheetId="1">#REF!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18">#REF!</definedName>
    <definedName name="rell" localSheetId="32">#REF!</definedName>
    <definedName name="rell" localSheetId="40">#REF!</definedName>
    <definedName name="rell" localSheetId="41">#REF!</definedName>
    <definedName name="rell" localSheetId="43">#REF!</definedName>
    <definedName name="rell" localSheetId="64">#REF!</definedName>
    <definedName name="rell" localSheetId="1">#REF!</definedName>
    <definedName name="rell" localSheetId="2">#REF!</definedName>
    <definedName name="rell">#REF!</definedName>
    <definedName name="remanentes">'[28]Reservas de Petróleo'!$A$2,'[28]Reservas de Petróleo'!$A$1,'[28]Reservas de Petróleo'!$D$4,'[28]Reservas de Petróleo'!$H$1:$H$65536</definedName>
    <definedName name="rendimiento" localSheetId="18">#REF!</definedName>
    <definedName name="rendimiento" localSheetId="1">#REF!</definedName>
    <definedName name="rendimiento">#REF!</definedName>
    <definedName name="RENDIMIENTO____CARGA" localSheetId="18">#REF!</definedName>
    <definedName name="RENDIMIENTO____CARGA" localSheetId="1">#REF!</definedName>
    <definedName name="RENDIMIENTO____CARGA">#REF!</definedName>
    <definedName name="REPXXX" localSheetId="18">#REF!</definedName>
    <definedName name="REPXXX" localSheetId="1">#REF!</definedName>
    <definedName name="REPXXX">#REF!</definedName>
    <definedName name="Requerimiento" localSheetId="18">#REF!</definedName>
    <definedName name="Requerimiento" localSheetId="1">#REF!</definedName>
    <definedName name="Requerimiento">#REF!</definedName>
    <definedName name="Requerimientos" localSheetId="18">#REF!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18">#REF!</definedName>
    <definedName name="RES" localSheetId="1">#REF!</definedName>
    <definedName name="RES">#REF!</definedName>
    <definedName name="Resistividad" localSheetId="18">#REF!</definedName>
    <definedName name="Resistividad" localSheetId="1">#REF!</definedName>
    <definedName name="Resistividad">#REF!</definedName>
    <definedName name="resu">[96]original_sist!$B$1:$L$167</definedName>
    <definedName name="resu8" localSheetId="18">[9]!resu8</definedName>
    <definedName name="resu8" localSheetId="1">[9]!resu8</definedName>
    <definedName name="resu8">[9]!resu8</definedName>
    <definedName name="resufi" localSheetId="18">#REF!</definedName>
    <definedName name="resufi" localSheetId="1">#REF!</definedName>
    <definedName name="resufi">#REF!</definedName>
    <definedName name="resufi1" localSheetId="18">#REF!</definedName>
    <definedName name="resufi1" localSheetId="1">#REF!</definedName>
    <definedName name="resufi1">#REF!</definedName>
    <definedName name="resumen" localSheetId="18">#REF!</definedName>
    <definedName name="resumen" localSheetId="1">#REF!</definedName>
    <definedName name="resumen">#REF!</definedName>
    <definedName name="resumen_final" localSheetId="18">#REF!</definedName>
    <definedName name="resumen_final" localSheetId="1">#REF!</definedName>
    <definedName name="resumen_final">#REF!</definedName>
    <definedName name="resumen_final1" localSheetId="18">#REF!</definedName>
    <definedName name="resumen_final1" localSheetId="1">#REF!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18">#REF!</definedName>
    <definedName name="RFV" localSheetId="1">#REF!</definedName>
    <definedName name="RFV">#REF!</definedName>
    <definedName name="RG" localSheetId="18">#REF!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18">[97]Ingenieria!#REF!</definedName>
    <definedName name="RID" localSheetId="1">[97]Ingenieria!#REF!</definedName>
    <definedName name="RID">[97]Ingenieria!#REF!</definedName>
    <definedName name="RISP" localSheetId="18">'[3]7422CW00'!#REF!</definedName>
    <definedName name="RISP" localSheetId="1">'[3]7422CW00'!#REF!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 localSheetId="18">#REF!,#REF!,#REF!</definedName>
    <definedName name="Ro" localSheetId="1">#REF!,#REF!,#REF!</definedName>
    <definedName name="Ro">#REF!,#REF!,#REF!</definedName>
    <definedName name="rr">[0]!ERR</definedName>
    <definedName name="rrr" hidden="1">{"via1",#N/A,TRUE,"general";"via2",#N/A,TRUE,"general";"via3",#N/A,TRUE,"general"}</definedName>
    <definedName name="rrrr" localSheetId="18">'[98]Form5 _Pág_ 1'!#REF!</definedName>
    <definedName name="rrrr" localSheetId="1">'[98]Form5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18">#REF!</definedName>
    <definedName name="Rs" localSheetId="1">#REF!</definedName>
    <definedName name="Rs">#REF!</definedName>
    <definedName name="rsdgsd5" hidden="1">{"TAB1",#N/A,TRUE,"GENERAL";"TAB2",#N/A,TRUE,"GENERAL";"TAB3",#N/A,TRUE,"GENERAL";"TAB4",#N/A,TRUE,"GENERAL";"TAB5",#N/A,TRUE,"GENERAL"}</definedName>
    <definedName name="RSS" localSheetId="18">#REF!</definedName>
    <definedName name="RSS" localSheetId="1">#REF!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18">#REF!</definedName>
    <definedName name="RUT" localSheetId="1">#REF!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18">#REF!</definedName>
    <definedName name="SALID1" localSheetId="1">#REF!</definedName>
    <definedName name="SALID1">#REF!</definedName>
    <definedName name="SalMinimo">[36]BASES!$E$41</definedName>
    <definedName name="sbgfbgdr" hidden="1">{"via1",#N/A,TRUE,"general";"via2",#N/A,TRUE,"general";"via3",#N/A,TRUE,"general"}</definedName>
    <definedName name="SBS" localSheetId="18">#REF!</definedName>
    <definedName name="SBS" localSheetId="1">#REF!</definedName>
    <definedName name="SBS">#REF!</definedName>
    <definedName name="Sched_Pay" localSheetId="18">#REF!</definedName>
    <definedName name="Sched_Pay" localSheetId="1">#REF!</definedName>
    <definedName name="Sched_Pay">#REF!</definedName>
    <definedName name="Scheduled_Extra_Payments" localSheetId="18">#REF!</definedName>
    <definedName name="Scheduled_Extra_Payments" localSheetId="1">#REF!</definedName>
    <definedName name="Scheduled_Extra_Payments">#REF!</definedName>
    <definedName name="Scheduled_Interest_Rate" localSheetId="18">#REF!</definedName>
    <definedName name="Scheduled_Interest_Rate" localSheetId="1">#REF!</definedName>
    <definedName name="Scheduled_Interest_Rate">#REF!</definedName>
    <definedName name="Scheduled_Monthly_Payment" localSheetId="18">#REF!</definedName>
    <definedName name="Scheduled_Monthly_Payment" localSheetId="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18">#REF!</definedName>
    <definedName name="SECTOR" localSheetId="32">#REF!</definedName>
    <definedName name="SECTOR" localSheetId="40">#REF!</definedName>
    <definedName name="SECTOR" localSheetId="41">#REF!</definedName>
    <definedName name="SECTOR" localSheetId="43">#REF!</definedName>
    <definedName name="SECTOR" localSheetId="64">#REF!</definedName>
    <definedName name="SECTOR" localSheetId="1">#REF!</definedName>
    <definedName name="SECTOR" localSheetId="2">#REF!</definedName>
    <definedName name="SECTOR">#REF!</definedName>
    <definedName name="SEMANA_C3" localSheetId="18">#REF!</definedName>
    <definedName name="SEMANA_C3" localSheetId="1">#REF!</definedName>
    <definedName name="SEMANA_C3">#REF!</definedName>
    <definedName name="sena">[55]Hoja1!$C$14</definedName>
    <definedName name="SERO">[0]!ERR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18">[46]steel!#REF!</definedName>
    <definedName name="SHEE_INT" localSheetId="1">[46]steel!#REF!</definedName>
    <definedName name="SHEE_INT">[46]steel!#REF!</definedName>
    <definedName name="SHEET" localSheetId="18">'[3]7422CW00'!#REF!</definedName>
    <definedName name="SHEET" localSheetId="1">'[3]7422CW00'!#REF!</definedName>
    <definedName name="SHEET">'[3]7422CW00'!#REF!</definedName>
    <definedName name="SHEET_KP">[46]steel!$C$7:$L$47</definedName>
    <definedName name="SHEET_MR">[46]steel!$C$7:$J$47</definedName>
    <definedName name="SHEET1" localSheetId="18">#REF!</definedName>
    <definedName name="SHEET1" localSheetId="1">#REF!</definedName>
    <definedName name="SHEET1">#REF!</definedName>
    <definedName name="SHEET10" localSheetId="18">#REF!</definedName>
    <definedName name="SHEET10" localSheetId="1">#REF!</definedName>
    <definedName name="SHEET10">#REF!</definedName>
    <definedName name="SHEET11" localSheetId="18">#REF!</definedName>
    <definedName name="SHEET11" localSheetId="1">#REF!</definedName>
    <definedName name="SHEET11">#REF!</definedName>
    <definedName name="SHEET12" localSheetId="18">#REF!</definedName>
    <definedName name="SHEET12" localSheetId="1">#REF!</definedName>
    <definedName name="SHEET12">#REF!</definedName>
    <definedName name="SHEET13" localSheetId="18">#REF!</definedName>
    <definedName name="SHEET13" localSheetId="1">#REF!</definedName>
    <definedName name="SHEET13">#REF!</definedName>
    <definedName name="SHEET14" localSheetId="18">#REF!</definedName>
    <definedName name="SHEET14" localSheetId="1">#REF!</definedName>
    <definedName name="SHEET14">#REF!</definedName>
    <definedName name="SHEET15" localSheetId="18">#REF!</definedName>
    <definedName name="SHEET15" localSheetId="1">#REF!</definedName>
    <definedName name="SHEET15">#REF!</definedName>
    <definedName name="SHEET16" localSheetId="18">#REF!</definedName>
    <definedName name="SHEET16" localSheetId="1">#REF!</definedName>
    <definedName name="SHEET16">#REF!</definedName>
    <definedName name="SHEET17" localSheetId="18">#REF!</definedName>
    <definedName name="SHEET17" localSheetId="1">#REF!</definedName>
    <definedName name="SHEET17">#REF!</definedName>
    <definedName name="SHEET18" localSheetId="18">#REF!</definedName>
    <definedName name="SHEET18" localSheetId="1">#REF!</definedName>
    <definedName name="SHEET18">#REF!</definedName>
    <definedName name="SHEET19" localSheetId="18">#REF!</definedName>
    <definedName name="SHEET19" localSheetId="1">#REF!</definedName>
    <definedName name="SHEET19">#REF!</definedName>
    <definedName name="SHEET2" localSheetId="18">#REF!</definedName>
    <definedName name="SHEET2" localSheetId="1">#REF!</definedName>
    <definedName name="SHEET2">#REF!</definedName>
    <definedName name="SHEET20" localSheetId="18">#REF!</definedName>
    <definedName name="SHEET20" localSheetId="1">#REF!</definedName>
    <definedName name="SHEET20">#REF!</definedName>
    <definedName name="SHEET21" localSheetId="18">#REF!</definedName>
    <definedName name="SHEET21" localSheetId="1">#REF!</definedName>
    <definedName name="SHEET21">#REF!</definedName>
    <definedName name="SHEET22" localSheetId="18">#REF!</definedName>
    <definedName name="SHEET22" localSheetId="1">#REF!</definedName>
    <definedName name="SHEET22">#REF!</definedName>
    <definedName name="SHEET23" localSheetId="18">#REF!</definedName>
    <definedName name="SHEET23" localSheetId="1">#REF!</definedName>
    <definedName name="SHEET23">#REF!</definedName>
    <definedName name="SHEET24" localSheetId="18">#REF!</definedName>
    <definedName name="SHEET24" localSheetId="1">#REF!</definedName>
    <definedName name="SHEET24">#REF!</definedName>
    <definedName name="SHEET25" localSheetId="18">#REF!</definedName>
    <definedName name="SHEET25" localSheetId="1">#REF!</definedName>
    <definedName name="SHEET25">#REF!</definedName>
    <definedName name="SHEET26" localSheetId="18">#REF!</definedName>
    <definedName name="SHEET26" localSheetId="1">#REF!</definedName>
    <definedName name="SHEET26">#REF!</definedName>
    <definedName name="SHEET3" localSheetId="18">#REF!</definedName>
    <definedName name="SHEET3" localSheetId="1">#REF!</definedName>
    <definedName name="SHEET3">#REF!</definedName>
    <definedName name="SHEET4" localSheetId="18">#REF!</definedName>
    <definedName name="SHEET4" localSheetId="1">#REF!</definedName>
    <definedName name="SHEET4">#REF!</definedName>
    <definedName name="SHEET5" localSheetId="18">#REF!</definedName>
    <definedName name="SHEET5" localSheetId="1">#REF!</definedName>
    <definedName name="SHEET5">#REF!</definedName>
    <definedName name="SHEET6" localSheetId="18">#REF!</definedName>
    <definedName name="SHEET6" localSheetId="1">#REF!</definedName>
    <definedName name="SHEET6">#REF!</definedName>
    <definedName name="SHEET7" localSheetId="18">#REF!</definedName>
    <definedName name="SHEET7" localSheetId="1">#REF!</definedName>
    <definedName name="SHEET7">#REF!</definedName>
    <definedName name="SHEET8" localSheetId="18">#REF!</definedName>
    <definedName name="SHEET8" localSheetId="1">#REF!</definedName>
    <definedName name="SHEET8">#REF!</definedName>
    <definedName name="SHEET9" localSheetId="18">#REF!</definedName>
    <definedName name="SHEET9" localSheetId="1">#REF!</definedName>
    <definedName name="SHEET9">#REF!</definedName>
    <definedName name="SI">[0]!ERR</definedName>
    <definedName name="SINGOLO" localSheetId="18">'[3]7422CW00'!#REF!</definedName>
    <definedName name="SINGOLO" localSheetId="1">'[3]7422CW00'!#REF!</definedName>
    <definedName name="SINGOLO">'[3]7422CW00'!#REF!</definedName>
    <definedName name="SISISIS">[0]!ERR</definedName>
    <definedName name="Smlv">'[10]DATOS CONTRATO'!$I$9</definedName>
    <definedName name="smlv01">[41]CONTRATO!$I$9</definedName>
    <definedName name="smlv2001">[41]CONTRATO!$H$9</definedName>
    <definedName name="SMML">'[65]ASPECTOS TECNICOS'!$O$12:$P$32</definedName>
    <definedName name="SN">[10]EMPRESA!$G$29</definedName>
    <definedName name="SOLD._4_" localSheetId="18">#REF!</definedName>
    <definedName name="SOLD._4_" localSheetId="1">#REF!</definedName>
    <definedName name="SOLD._4_">#REF!</definedName>
    <definedName name="SOLD._6_" localSheetId="18">#REF!</definedName>
    <definedName name="SOLD._6_" localSheetId="1">#REF!</definedName>
    <definedName name="SOLD._6_">#REF!</definedName>
    <definedName name="SOLD._8_" localSheetId="18">#REF!</definedName>
    <definedName name="SOLD._8_" localSheetId="1">#REF!</definedName>
    <definedName name="SOLD._8_">#REF!</definedName>
    <definedName name="solver_adj" localSheetId="14" hidden="1">'200.2'!#REF!</definedName>
    <definedName name="solver_adj" localSheetId="20" hidden="1">'230.1P'!#REF!</definedName>
    <definedName name="solver_adj" localSheetId="53" hidden="1">'2p.'!$L$49</definedName>
    <definedName name="solver_adj" localSheetId="2" hidden="1">'PRESUPUESTO ACUMULADO'!$K$234</definedName>
    <definedName name="solver_adj" localSheetId="0" hidden="1">'PRESUPUESTO OFICIAL'!$K$77</definedName>
    <definedName name="solver_cvg" localSheetId="14" hidden="1">0.0001</definedName>
    <definedName name="solver_cvg" localSheetId="20" hidden="1">0.0001</definedName>
    <definedName name="solver_cvg" localSheetId="53" hidden="1">0.0001</definedName>
    <definedName name="solver_cvg" localSheetId="2" hidden="1">0.0001</definedName>
    <definedName name="solver_cvg" localSheetId="0" hidden="1">0.0001</definedName>
    <definedName name="solver_drv" localSheetId="14" hidden="1">1</definedName>
    <definedName name="solver_drv" localSheetId="20" hidden="1">1</definedName>
    <definedName name="solver_drv" localSheetId="53" hidden="1">1</definedName>
    <definedName name="solver_drv" localSheetId="2" hidden="1">1</definedName>
    <definedName name="solver_drv" localSheetId="0" hidden="1">1</definedName>
    <definedName name="solver_est" localSheetId="14" hidden="1">1</definedName>
    <definedName name="solver_est" localSheetId="20" hidden="1">1</definedName>
    <definedName name="solver_est" localSheetId="53" hidden="1">1</definedName>
    <definedName name="solver_est" localSheetId="2" hidden="1">1</definedName>
    <definedName name="solver_est" localSheetId="0" hidden="1">1</definedName>
    <definedName name="solver_itr" localSheetId="14" hidden="1">100</definedName>
    <definedName name="solver_itr" localSheetId="20" hidden="1">100</definedName>
    <definedName name="solver_itr" localSheetId="53" hidden="1">100</definedName>
    <definedName name="solver_itr" localSheetId="2" hidden="1">100</definedName>
    <definedName name="solver_itr" localSheetId="0" hidden="1">100</definedName>
    <definedName name="solver_lhs1" localSheetId="14" hidden="1">'200.2'!#REF!</definedName>
    <definedName name="solver_lhs1" localSheetId="53" hidden="1">'2p.'!$O$82</definedName>
    <definedName name="solver_lhs1" localSheetId="2" hidden="1">'PRESUPUESTO ACUMULADO'!$K$249</definedName>
    <definedName name="solver_lhs1" localSheetId="0" hidden="1">'PRESUPUESTO OFICIAL'!$K$91</definedName>
    <definedName name="solver_lin" localSheetId="14" hidden="1">2</definedName>
    <definedName name="solver_lin" localSheetId="20" hidden="1">2</definedName>
    <definedName name="solver_lin" localSheetId="53" hidden="1">2</definedName>
    <definedName name="solver_lin" localSheetId="2" hidden="1">2</definedName>
    <definedName name="solver_lin" localSheetId="0" hidden="1">2</definedName>
    <definedName name="solver_neg" localSheetId="14" hidden="1">2</definedName>
    <definedName name="solver_neg" localSheetId="20" hidden="1">2</definedName>
    <definedName name="solver_neg" localSheetId="53" hidden="1">2</definedName>
    <definedName name="solver_neg" localSheetId="2" hidden="1">2</definedName>
    <definedName name="solver_neg" localSheetId="0" hidden="1">2</definedName>
    <definedName name="solver_num" localSheetId="14" hidden="1">1</definedName>
    <definedName name="solver_num" localSheetId="20" hidden="1">0</definedName>
    <definedName name="solver_num" localSheetId="53" hidden="1">1</definedName>
    <definedName name="solver_num" localSheetId="2" hidden="1">1</definedName>
    <definedName name="solver_num" localSheetId="0" hidden="1">1</definedName>
    <definedName name="solver_nwt" localSheetId="14" hidden="1">1</definedName>
    <definedName name="solver_nwt" localSheetId="20" hidden="1">1</definedName>
    <definedName name="solver_nwt" localSheetId="53" hidden="1">1</definedName>
    <definedName name="solver_nwt" localSheetId="2" hidden="1">1</definedName>
    <definedName name="solver_nwt" localSheetId="0" hidden="1">1</definedName>
    <definedName name="solver_opt" localSheetId="14" hidden="1">'200.2'!#REF!</definedName>
    <definedName name="solver_opt" localSheetId="20" hidden="1">'230.1P'!#REF!</definedName>
    <definedName name="solver_opt" localSheetId="53" hidden="1">'2p.'!$L$49</definedName>
    <definedName name="solver_opt" localSheetId="2" hidden="1">'PRESUPUESTO ACUMULADO'!$K$249</definedName>
    <definedName name="solver_opt" localSheetId="0" hidden="1">'PRESUPUESTO OFICIAL'!$K$91</definedName>
    <definedName name="solver_pre" localSheetId="14" hidden="1">0.000001</definedName>
    <definedName name="solver_pre" localSheetId="20" hidden="1">0.000001</definedName>
    <definedName name="solver_pre" localSheetId="53" hidden="1">0.000001</definedName>
    <definedName name="solver_pre" localSheetId="2" hidden="1">0.000001</definedName>
    <definedName name="solver_pre" localSheetId="0" hidden="1">0.000001</definedName>
    <definedName name="solver_rel1" localSheetId="14" hidden="1">2</definedName>
    <definedName name="solver_rel1" localSheetId="53" hidden="1">2</definedName>
    <definedName name="solver_rel1" localSheetId="2" hidden="1">2</definedName>
    <definedName name="solver_rel1" localSheetId="0" hidden="1">2</definedName>
    <definedName name="solver_rhs1" localSheetId="14" hidden="1">'200.2'!#REF!</definedName>
    <definedName name="solver_rhs1" localSheetId="53" hidden="1">'2p.'!$N$82</definedName>
    <definedName name="solver_rhs1" localSheetId="2" hidden="1">'PRESUPUESTO ACUMULADO'!$K$250</definedName>
    <definedName name="solver_rhs1" localSheetId="0" hidden="1">'PRESUPUESTO OFICIAL'!$K$92</definedName>
    <definedName name="solver_scl" localSheetId="14" hidden="1">2</definedName>
    <definedName name="solver_scl" localSheetId="20" hidden="1">2</definedName>
    <definedName name="solver_scl" localSheetId="53" hidden="1">2</definedName>
    <definedName name="solver_scl" localSheetId="2" hidden="1">2</definedName>
    <definedName name="solver_scl" localSheetId="0" hidden="1">2</definedName>
    <definedName name="solver_sho" localSheetId="14" hidden="1">2</definedName>
    <definedName name="solver_sho" localSheetId="20" hidden="1">2</definedName>
    <definedName name="solver_sho" localSheetId="53" hidden="1">2</definedName>
    <definedName name="solver_sho" localSheetId="2" hidden="1">2</definedName>
    <definedName name="solver_sho" localSheetId="0" hidden="1">2</definedName>
    <definedName name="solver_tim" localSheetId="14" hidden="1">100</definedName>
    <definedName name="solver_tim" localSheetId="20" hidden="1">100</definedName>
    <definedName name="solver_tim" localSheetId="53" hidden="1">100</definedName>
    <definedName name="solver_tim" localSheetId="2" hidden="1">100</definedName>
    <definedName name="solver_tim" localSheetId="0" hidden="1">100</definedName>
    <definedName name="solver_tol" localSheetId="14" hidden="1">0.05</definedName>
    <definedName name="solver_tol" localSheetId="20" hidden="1">0.05</definedName>
    <definedName name="solver_tol" localSheetId="53" hidden="1">0.05</definedName>
    <definedName name="solver_tol" localSheetId="2" hidden="1">0.05</definedName>
    <definedName name="solver_tol" localSheetId="0" hidden="1">0.05</definedName>
    <definedName name="solver_typ" localSheetId="14" hidden="1">3</definedName>
    <definedName name="solver_typ" localSheetId="20" hidden="1">2</definedName>
    <definedName name="solver_typ" localSheetId="53" hidden="1">1</definedName>
    <definedName name="solver_typ" localSheetId="2" hidden="1">3</definedName>
    <definedName name="solver_typ" localSheetId="0" hidden="1">3</definedName>
    <definedName name="solver_val" localSheetId="14" hidden="1">490454</definedName>
    <definedName name="solver_val" localSheetId="20" hidden="1">69893</definedName>
    <definedName name="solver_val" localSheetId="53" hidden="1">0</definedName>
    <definedName name="solver_val" localSheetId="2" hidden="1">63899000000</definedName>
    <definedName name="solver_val" localSheetId="0" hidden="1">63899000000</definedName>
    <definedName name="srwrwr" hidden="1">{"TAB1",#N/A,TRUE,"GENERAL";"TAB2",#N/A,TRUE,"GENERAL";"TAB3",#N/A,TRUE,"GENERAL";"TAB4",#N/A,TRUE,"GENERAL";"TAB5",#N/A,TRUE,"GENERAL"}</definedName>
    <definedName name="SS" localSheetId="18">#REF!</definedName>
    <definedName name="SS" localSheetId="32">#REF!</definedName>
    <definedName name="SS" localSheetId="40">#REF!</definedName>
    <definedName name="SS" localSheetId="41">#REF!</definedName>
    <definedName name="SS" localSheetId="43">#REF!</definedName>
    <definedName name="SS" localSheetId="64">#REF!</definedName>
    <definedName name="SS" localSheetId="1">#REF!</definedName>
    <definedName name="SS" localSheetId="2">#REF!</definedName>
    <definedName name="SS">#REF!</definedName>
    <definedName name="SS_AVG_SIZE" localSheetId="18">#REF!</definedName>
    <definedName name="SS_AVG_SIZE" localSheetId="1">#REF!</definedName>
    <definedName name="SS_AVG_SIZE">#REF!</definedName>
    <definedName name="SS_WELDING" localSheetId="18">#REF!</definedName>
    <definedName name="SS_WELDING" localSheetId="1">#REF!</definedName>
    <definedName name="SS_WELDING">#REF!</definedName>
    <definedName name="ssa">[55]Hoja1!$C$25</definedName>
    <definedName name="ssh">[55]Hoja1!$C$24</definedName>
    <definedName name="sss" localSheetId="18">MODULO10.auto_abrir</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8">#REF!</definedName>
    <definedName name="St" localSheetId="1">#REF!</definedName>
    <definedName name="St">#REF!</definedName>
    <definedName name="ST_BLDG" localSheetId="18">'[3]7422CW00'!#REF!</definedName>
    <definedName name="ST_BLDG" localSheetId="1">'[3]7422CW00'!#REF!</definedName>
    <definedName name="ST_BLDG">'[3]7422CW00'!#REF!</definedName>
    <definedName name="ST_CW" localSheetId="18">'[3]7422CW00'!#REF!</definedName>
    <definedName name="ST_CW" localSheetId="1">'[3]7422CW00'!#REF!</definedName>
    <definedName name="ST_CW">'[3]7422CW00'!#REF!</definedName>
    <definedName name="STALO1" localSheetId="18">'[3]7422CW00'!#REF!</definedName>
    <definedName name="STALO1" localSheetId="1">'[3]7422CW00'!#REF!</definedName>
    <definedName name="STALO1">'[3]7422CW00'!#REF!</definedName>
    <definedName name="STAMPA" localSheetId="18">#REF!</definedName>
    <definedName name="STAMPA" localSheetId="1">#REF!</definedName>
    <definedName name="STAMPA">#REF!</definedName>
    <definedName name="STANU" localSheetId="18">'[3]7422CW00'!#REF!</definedName>
    <definedName name="STANU" localSheetId="1">'[3]7422CW00'!#REF!</definedName>
    <definedName name="STANU">'[3]7422CW00'!#REF!</definedName>
    <definedName name="START" localSheetId="18">#REF!</definedName>
    <definedName name="START" localSheetId="1">#REF!</definedName>
    <definedName name="START">#REF!</definedName>
    <definedName name="START1" localSheetId="18">'[3]7422CW00'!#REF!</definedName>
    <definedName name="START1" localSheetId="1">'[3]7422CW00'!#REF!</definedName>
    <definedName name="START1">'[3]7422CW00'!#REF!</definedName>
    <definedName name="STENU" localSheetId="18">'[3]7422CW00'!#REF!</definedName>
    <definedName name="STENU" localSheetId="1">'[3]7422CW00'!#REF!</definedName>
    <definedName name="STENU">'[3]7422CW00'!#REF!</definedName>
    <definedName name="Stock" localSheetId="18">'[99]PxQ Cantidades'!#REF!</definedName>
    <definedName name="Stock" localSheetId="1">'[99]PxQ Cantidades'!#REF!</definedName>
    <definedName name="Stock">'[99]PxQ Cantidades'!#REF!</definedName>
    <definedName name="STONU" localSheetId="18">'[3]7422CW00'!#REF!</definedName>
    <definedName name="STONU" localSheetId="1">'[3]7422CW00'!#REF!</definedName>
    <definedName name="STONU">'[3]7422CW00'!#REF!</definedName>
    <definedName name="STRESS_RELIEVIN" localSheetId="18">#REF!</definedName>
    <definedName name="STRESS_RELIEVIN" localSheetId="1">#REF!</definedName>
    <definedName name="STRESS_RELIEVIN">#REF!</definedName>
    <definedName name="STSUMM" localSheetId="18">'[3]7422CW00'!#REF!</definedName>
    <definedName name="STSUMM" localSheetId="1">'[3]7422CW00'!#REF!</definedName>
    <definedName name="STSUMM">'[3]7422CW00'!#REF!</definedName>
    <definedName name="stt" hidden="1">{"via1",#N/A,TRUE,"general";"via2",#N/A,TRUE,"general";"via3",#N/A,TRUE,"general"}</definedName>
    <definedName name="SUBSUELO" localSheetId="18">#REF!</definedName>
    <definedName name="SUBSUELO" localSheetId="1">#REF!</definedName>
    <definedName name="SUBSUELO">#REF!</definedName>
    <definedName name="Subtotal" localSheetId="18">#REF!</definedName>
    <definedName name="Subtotal" localSheetId="1">#REF!</definedName>
    <definedName name="Subtotal">#REF!</definedName>
    <definedName name="SUELDO" localSheetId="18">#REF!</definedName>
    <definedName name="SUELDO" localSheetId="1">#REF!</definedName>
    <definedName name="SUELDO">#REF!</definedName>
    <definedName name="suma">[53]Hoja1!$F$60</definedName>
    <definedName name="Summary" localSheetId="18">#REF!</definedName>
    <definedName name="Summary" localSheetId="32">#REF!</definedName>
    <definedName name="Summary" localSheetId="40">#REF!</definedName>
    <definedName name="Summary" localSheetId="41">#REF!</definedName>
    <definedName name="Summary" localSheetId="43">#REF!</definedName>
    <definedName name="Summary" localSheetId="64">#REF!</definedName>
    <definedName name="Summary" localSheetId="1">#REF!</definedName>
    <definedName name="Summary" localSheetId="2">#REF!</definedName>
    <definedName name="Summary">#REF!</definedName>
    <definedName name="SUP_ART" localSheetId="18">[46]steel!#REF!</definedName>
    <definedName name="SUP_ART" localSheetId="1">[46]steel!#REF!</definedName>
    <definedName name="SUP_ART">[46]steel!#REF!</definedName>
    <definedName name="SUP_VEX" localSheetId="18">#REF!</definedName>
    <definedName name="SUP_VEX" localSheetId="1">#REF!</definedName>
    <definedName name="SUP_VEX">#REF!</definedName>
    <definedName name="SUP_VPR" localSheetId="18">#REF!</definedName>
    <definedName name="SUP_VPR" localSheetId="1">#REF!</definedName>
    <definedName name="SUP_VPR">#REF!</definedName>
    <definedName name="SUP_VPR_GEC" localSheetId="18">#REF!</definedName>
    <definedName name="SUP_VPR_GEC" localSheetId="1">#REF!</definedName>
    <definedName name="SUP_VPR_GEC">#REF!</definedName>
    <definedName name="SUP_VPR_GMM" localSheetId="18">#REF!</definedName>
    <definedName name="SUP_VPR_GMM" localSheetId="1">#REF!</definedName>
    <definedName name="SUP_VPR_GMM">#REF!</definedName>
    <definedName name="SUP_VPR_GRC" localSheetId="18">#REF!</definedName>
    <definedName name="SUP_VPR_GRC" localSheetId="1">#REF!</definedName>
    <definedName name="SUP_VPR_GRC">#REF!</definedName>
    <definedName name="SUP_VPR_GRM" localSheetId="18">#REF!</definedName>
    <definedName name="SUP_VPR_GRM" localSheetId="1">#REF!</definedName>
    <definedName name="SUP_VPR_GRM">#REF!</definedName>
    <definedName name="SUP_VPR_GRN" localSheetId="18">#REF!</definedName>
    <definedName name="SUP_VPR_GRN" localSheetId="1">#REF!</definedName>
    <definedName name="SUP_VPR_GRN">#REF!</definedName>
    <definedName name="SUP_VPR_GRS" localSheetId="18">#REF!</definedName>
    <definedName name="SUP_VPR_GRS" localSheetId="1">#REF!</definedName>
    <definedName name="SUP_VPR_GRS">#REF!</definedName>
    <definedName name="SUP_VPR_GTP" localSheetId="18">[12]Tablas!#REF!</definedName>
    <definedName name="SUP_VPR_GTP" localSheetId="1">[12]Tablas!#REF!</definedName>
    <definedName name="SUP_VPR_GTP">[12]Tablas!#REF!</definedName>
    <definedName name="SUP_VPR_NA" localSheetId="18">#REF!</definedName>
    <definedName name="SUP_VPR_NA" localSheetId="1">#REF!</definedName>
    <definedName name="SUP_VPR_NA">#REF!</definedName>
    <definedName name="SUPER">[57]Tablas!$H$1:$H$65536</definedName>
    <definedName name="SUPERFICIE" localSheetId="18">#REF!</definedName>
    <definedName name="SUPERFICIE" localSheetId="1">#REF!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8">[20]!absc</definedName>
    <definedName name="t" localSheetId="32">[20]!absc</definedName>
    <definedName name="t" localSheetId="40">[20]!absc</definedName>
    <definedName name="t" localSheetId="41">[20]!absc</definedName>
    <definedName name="t" localSheetId="43">[20]!absc</definedName>
    <definedName name="t" localSheetId="64">[20]!absc</definedName>
    <definedName name="t" localSheetId="1">[20]!absc</definedName>
    <definedName name="t" localSheetId="2">[20]!absc</definedName>
    <definedName name="t">[20]!absc</definedName>
    <definedName name="t_1" localSheetId="18">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[57]Tablas!$B$1:$B$65536</definedName>
    <definedName name="TABLA" localSheetId="18">#REF!</definedName>
    <definedName name="TABLA" localSheetId="32">#REF!</definedName>
    <definedName name="TABLA" localSheetId="40">#REF!</definedName>
    <definedName name="TABLA" localSheetId="41">#REF!</definedName>
    <definedName name="TABLA" localSheetId="43">#REF!</definedName>
    <definedName name="TABLA" localSheetId="64">#REF!</definedName>
    <definedName name="TABLA" localSheetId="1">#REF!</definedName>
    <definedName name="TABLA" localSheetId="2">#REF!</definedName>
    <definedName name="TABLA">#REF!</definedName>
    <definedName name="tabla1">[100]Hoja3!$B$4:$F$28</definedName>
    <definedName name="TABLEKP" localSheetId="18">'[3]7422CW00'!#REF!</definedName>
    <definedName name="TABLEKP" localSheetId="1">'[3]7422CW00'!#REF!</definedName>
    <definedName name="TABLEKP">'[3]7422CW00'!#REF!</definedName>
    <definedName name="TABLEPRI" localSheetId="18">#REF!</definedName>
    <definedName name="TABLEPRI" localSheetId="1">#REF!</definedName>
    <definedName name="TABLEPRI">#REF!</definedName>
    <definedName name="Tambores" localSheetId="18">#REF!</definedName>
    <definedName name="Tambores" localSheetId="1">#REF!</definedName>
    <definedName name="Tambores">#REF!</definedName>
    <definedName name="Tanques" localSheetId="18">#REF!</definedName>
    <definedName name="Tanques" localSheetId="1">#REF!</definedName>
    <definedName name="Tanques">#REF!</definedName>
    <definedName name="TAREAS_INICIALES" localSheetId="18">#REF!</definedName>
    <definedName name="TAREAS_INICIALES" localSheetId="1">#REF!</definedName>
    <definedName name="TAREAS_INICIALES">#REF!</definedName>
    <definedName name="TARIFA" localSheetId="18">#REF!</definedName>
    <definedName name="TARIFA" localSheetId="1">#REF!</definedName>
    <definedName name="TARIFA">#REF!</definedName>
    <definedName name="TarifaPension">[41]EMPRESA!$F$24</definedName>
    <definedName name="TARIFAS">[101]TARIFAS!$A$1:$F$52</definedName>
    <definedName name="TarifaSalud">[41]EMPRESA!$F$26</definedName>
    <definedName name="Tasa" localSheetId="18">#REF!</definedName>
    <definedName name="Tasa" localSheetId="1">#REF!</definedName>
    <definedName name="Tasa">#REF!</definedName>
    <definedName name="TASA_DE_CAMBIO" localSheetId="18">#REF!</definedName>
    <definedName name="TASA_DE_CAMBIO" localSheetId="1">#REF!</definedName>
    <definedName name="TASA_DE_CAMBIO">#REF!</definedName>
    <definedName name="Tasa1">'[102]Bases 2A'!$C$20</definedName>
    <definedName name="TasaCCP" localSheetId="18">#REF!</definedName>
    <definedName name="TasaCCP" localSheetId="1">#REF!</definedName>
    <definedName name="TasaCCP">#REF!</definedName>
    <definedName name="Tax" localSheetId="18">#REF!</definedName>
    <definedName name="Tax" localSheetId="1">#REF!</definedName>
    <definedName name="Tax">#REF!</definedName>
    <definedName name="TB_EVENTOS_OTS_ANUAL" localSheetId="18">#REF!</definedName>
    <definedName name="TB_EVENTOS_OTS_ANUAL" localSheetId="1">#REF!</definedName>
    <definedName name="TB_EVENTOS_OTS_ANUAL">#REF!</definedName>
    <definedName name="tc" localSheetId="18">#REF!</definedName>
    <definedName name="tc" localSheetId="1">#REF!</definedName>
    <definedName name="tc">#REF!</definedName>
    <definedName name="tdy" hidden="1">{"TAB1",#N/A,TRUE,"GENERAL";"TAB2",#N/A,TRUE,"GENERAL";"TAB3",#N/A,TRUE,"GENERAL";"TAB4",#N/A,TRUE,"GENERAL";"TAB5",#N/A,TRUE,"GENERAL"}</definedName>
    <definedName name="telefono">[41]EMPRESA!$F$16</definedName>
    <definedName name="TEMA1" localSheetId="18">#REF!</definedName>
    <definedName name="TEMA1" localSheetId="1">#REF!</definedName>
    <definedName name="TEMA1">#REF!</definedName>
    <definedName name="TEMA10" localSheetId="18">#REF!</definedName>
    <definedName name="TEMA10" localSheetId="1">#REF!</definedName>
    <definedName name="TEMA10">#REF!</definedName>
    <definedName name="TEMA2" localSheetId="18">#REF!</definedName>
    <definedName name="TEMA2" localSheetId="1">#REF!</definedName>
    <definedName name="TEMA2">#REF!</definedName>
    <definedName name="TEMA3" localSheetId="18">#REF!</definedName>
    <definedName name="TEMA3" localSheetId="1">#REF!</definedName>
    <definedName name="TEMA3">#REF!</definedName>
    <definedName name="TEMA4" localSheetId="18">#REF!</definedName>
    <definedName name="TEMA4" localSheetId="1">#REF!</definedName>
    <definedName name="TEMA4">#REF!</definedName>
    <definedName name="TEMA5" localSheetId="18">#REF!</definedName>
    <definedName name="TEMA5" localSheetId="1">#REF!</definedName>
    <definedName name="TEMA5">#REF!</definedName>
    <definedName name="TEMA6" localSheetId="18">#REF!</definedName>
    <definedName name="TEMA6" localSheetId="1">#REF!</definedName>
    <definedName name="TEMA6">#REF!</definedName>
    <definedName name="TEMA7" localSheetId="18">#REF!</definedName>
    <definedName name="TEMA7" localSheetId="1">#REF!</definedName>
    <definedName name="TEMA7">#REF!</definedName>
    <definedName name="TEMA8" localSheetId="18">#REF!</definedName>
    <definedName name="TEMA8" localSheetId="1">#REF!</definedName>
    <definedName name="TEMA8">#REF!</definedName>
    <definedName name="TEMA9" localSheetId="18">#REF!</definedName>
    <definedName name="TEMA9" localSheetId="1">#REF!</definedName>
    <definedName name="TEMA9">#REF!</definedName>
    <definedName name="TEMAS_PACC" localSheetId="18">#REF!</definedName>
    <definedName name="TEMAS_PACC" localSheetId="1">#REF!</definedName>
    <definedName name="TEMAS_PACC">#REF!</definedName>
    <definedName name="TER">[0]!ERR</definedName>
    <definedName name="TERM">[0]!ERR</definedName>
    <definedName name="TÉRMINOS">[0]!ERR</definedName>
    <definedName name="TERR">[24]PRESUPUESTO!$I$7</definedName>
    <definedName name="tewst" hidden="1">{"TAB1",#N/A,TRUE,"GENERAL";"TAB2",#N/A,TRUE,"GENERAL";"TAB3",#N/A,TRUE,"GENERAL";"TAB4",#N/A,TRUE,"GENERAL";"TAB5",#N/A,TRUE,"GENERAL"}</definedName>
    <definedName name="teytrh" hidden="1">{"via1",#N/A,TRUE,"general";"via2",#N/A,TRUE,"general";"via3",#N/A,TRUE,"general"}</definedName>
    <definedName name="TGB" localSheetId="18">#REF!</definedName>
    <definedName name="TGB" localSheetId="1">#REF!</definedName>
    <definedName name="TGB">#REF!</definedName>
    <definedName name="TH" localSheetId="18">#REF!</definedName>
    <definedName name="TH" localSheetId="1">#REF!</definedName>
    <definedName name="TH">#REF!</definedName>
    <definedName name="thdh" hidden="1">{"TAB1",#N/A,TRUE,"GENERAL";"TAB2",#N/A,TRUE,"GENERAL";"TAB3",#N/A,TRUE,"GENERAL";"TAB4",#N/A,TRUE,"GENERAL";"TAB5",#N/A,TRUE,"GENERAL"}</definedName>
    <definedName name="THP" localSheetId="18">#REF!</definedName>
    <definedName name="THP" localSheetId="1">#REF!</definedName>
    <definedName name="THP">#REF!</definedName>
    <definedName name="thtj" hidden="1">{"via1",#N/A,TRUE,"general";"via2",#N/A,TRUE,"general";"via3",#N/A,TRUE,"general"}</definedName>
    <definedName name="TIEMPO">[37]BASES!$E$27</definedName>
    <definedName name="TIPO" localSheetId="18">#REF!</definedName>
    <definedName name="TIPO" localSheetId="1">#REF!</definedName>
    <definedName name="TIPO">#REF!</definedName>
    <definedName name="TIPO_GRUPO" localSheetId="18">#REF!</definedName>
    <definedName name="TIPO_GRUPO" localSheetId="1">#REF!</definedName>
    <definedName name="TIPO_GRUPO">#REF!</definedName>
    <definedName name="TIPO_INFORME">[103]TABLAS!$A$1:$A$65536</definedName>
    <definedName name="TipoGC">[87]Tablas!$U$6:$U$15</definedName>
    <definedName name="TipoNeces">[87]Tablas!$Q$6:$Q$8</definedName>
    <definedName name="TipoPro" localSheetId="18">#REF!</definedName>
    <definedName name="TipoPro" localSheetId="1">#REF!</definedName>
    <definedName name="TipoPro">#REF!</definedName>
    <definedName name="Tipoproceso" localSheetId="18">#REF!</definedName>
    <definedName name="Tipoproceso" localSheetId="1">#REF!</definedName>
    <definedName name="Tipoproceso">#REF!</definedName>
    <definedName name="TIR" localSheetId="18">#REF!</definedName>
    <definedName name="TIR" localSheetId="1">#REF!</definedName>
    <definedName name="TIR">#REF!</definedName>
    <definedName name="TITLE" localSheetId="18">#REF!</definedName>
    <definedName name="TITLE" localSheetId="1">#REF!</definedName>
    <definedName name="TITLE">#REF!</definedName>
    <definedName name="titu" localSheetId="18">#REF!</definedName>
    <definedName name="titu" localSheetId="1">#REF!</definedName>
    <definedName name="titu">#REF!</definedName>
    <definedName name="titu2" localSheetId="18">#REF!</definedName>
    <definedName name="titu2" localSheetId="1">#REF!</definedName>
    <definedName name="titu2">#REF!</definedName>
    <definedName name="TITULO" localSheetId="18">#REF!</definedName>
    <definedName name="TITULO" localSheetId="32">#REF!</definedName>
    <definedName name="TITULO" localSheetId="40">#REF!</definedName>
    <definedName name="TITULO" localSheetId="41">#REF!</definedName>
    <definedName name="TITULO" localSheetId="43">#REF!</definedName>
    <definedName name="TITULO" localSheetId="64">#REF!</definedName>
    <definedName name="TITULO" localSheetId="1">#REF!</definedName>
    <definedName name="TITULO" localSheetId="2">#REF!</definedName>
    <definedName name="TITULO">#REF!</definedName>
    <definedName name="_xlnm.Print_Titles" localSheetId="3">'CANTIDADES Fase II todo'!#REF!,'CANTIDADES Fase II todo'!$1:$5</definedName>
    <definedName name="_xlnm.Print_Titles" localSheetId="8">'CANTIDADES TOTALIZADAS'!$B:$D,'CANTIDADES TOTALIZADAS'!$1:$5</definedName>
    <definedName name="_xlnm.Print_Titles" localSheetId="9">'OBRAS PUNTUALES TRANSVERSAL'!$1:$1</definedName>
    <definedName name="_xlnm.Print_Titles">#N/A</definedName>
    <definedName name="Títulos_a_imprimir_IM" localSheetId="18">#REF!</definedName>
    <definedName name="Títulos_a_imprimir_IM" localSheetId="32">#REF!</definedName>
    <definedName name="Títulos_a_imprimir_IM" localSheetId="40">#REF!</definedName>
    <definedName name="Títulos_a_imprimir_IM" localSheetId="41">#REF!</definedName>
    <definedName name="Títulos_a_imprimir_IM" localSheetId="43">#REF!</definedName>
    <definedName name="Títulos_a_imprimir_IM" localSheetId="64">#REF!</definedName>
    <definedName name="Títulos_a_imprimir_IM" localSheetId="1">#REF!</definedName>
    <definedName name="Títulos_a_imprimir_IM" localSheetId="2">#REF!</definedName>
    <definedName name="Títulos_a_imprimir_IM">#REF!</definedName>
    <definedName name="tk">'[10]DATOS CONTRATO'!$E$18</definedName>
    <definedName name="TK_1" localSheetId="18" hidden="1">[21]INST!#REF!</definedName>
    <definedName name="TK_1" localSheetId="1" hidden="1">[21]INST!#REF!</definedName>
    <definedName name="TK_1" hidden="1">[21]INST!#REF!</definedName>
    <definedName name="TKSLCI07">[10]EMPRESA!$F$22</definedName>
    <definedName name="tld">[55]Datos!$D$14</definedName>
    <definedName name="TOPGENER" localSheetId="18">#REF!</definedName>
    <definedName name="TOPGENER" localSheetId="1">#REF!</definedName>
    <definedName name="TOPGENER">#REF!</definedName>
    <definedName name="TOPGENER1" localSheetId="18">#REF!</definedName>
    <definedName name="TOPGENER1" localSheetId="1">#REF!</definedName>
    <definedName name="TOPGENER1">#REF!</definedName>
    <definedName name="TOPMENU" localSheetId="18">#REF!</definedName>
    <definedName name="TOPMENU" localSheetId="1">#REF!</definedName>
    <definedName name="TOPMENU">#REF!</definedName>
    <definedName name="Torres" localSheetId="18">#REF!</definedName>
    <definedName name="Torres" localSheetId="1">#REF!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18">#REF!</definedName>
    <definedName name="TOT" localSheetId="1">#REF!</definedName>
    <definedName name="TOT">#REF!</definedName>
    <definedName name="TOTAL" localSheetId="18">#REF!</definedName>
    <definedName name="TOTAL" localSheetId="32">#REF!</definedName>
    <definedName name="TOTAL" localSheetId="40">#REF!</definedName>
    <definedName name="TOTAL" localSheetId="41">#REF!</definedName>
    <definedName name="TOTAL" localSheetId="43">#REF!</definedName>
    <definedName name="TOTAL" localSheetId="64">#REF!</definedName>
    <definedName name="TOTAL" localSheetId="1">#REF!</definedName>
    <definedName name="TOTAL" localSheetId="2">#REF!</definedName>
    <definedName name="TOTAL">#REF!</definedName>
    <definedName name="Total_Interest" localSheetId="18">#REF!</definedName>
    <definedName name="Total_Interest" localSheetId="1">#REF!</definedName>
    <definedName name="Total_Interest">#REF!</definedName>
    <definedName name="Total_Pay" localSheetId="18">#REF!</definedName>
    <definedName name="Total_Pay" localSheetId="1">#REF!</definedName>
    <definedName name="Total_Pay">#REF!</definedName>
    <definedName name="Total_Payment" localSheetId="18">Scheduled_Payment+Extra_Payment</definedName>
    <definedName name="Total_Payment" localSheetId="1">Scheduled_Payment+Extra_Payment</definedName>
    <definedName name="Total_Payment">Scheduled_Payment+Extra_Payment</definedName>
    <definedName name="Total_Payment1" localSheetId="18">Scheduled_Payment+Extra_Payment</definedName>
    <definedName name="Total_Payment1" localSheetId="1">Scheduled_Payment+Extra_Payment</definedName>
    <definedName name="Total_Payment1">Scheduled_Payment+Extra_Payment</definedName>
    <definedName name="total1" localSheetId="18">#REF!</definedName>
    <definedName name="total1" localSheetId="1">#REF!</definedName>
    <definedName name="total1">#REF!</definedName>
    <definedName name="TotalCesantias">'[41]NOMINA 1'!$N$38</definedName>
    <definedName name="TOTALHH" localSheetId="18">#REF!</definedName>
    <definedName name="TOTALHH" localSheetId="1">#REF!</definedName>
    <definedName name="TOTALHH">#REF!</definedName>
    <definedName name="TOTALHH1" localSheetId="18">#REF!</definedName>
    <definedName name="TOTALHH1" localSheetId="1">#REF!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18">#REF!</definedName>
    <definedName name="TOTSHE1" localSheetId="1">#REF!</definedName>
    <definedName name="TOTSHE1">#REF!</definedName>
    <definedName name="TOTSHE10" localSheetId="18">#REF!</definedName>
    <definedName name="TOTSHE10" localSheetId="1">#REF!</definedName>
    <definedName name="TOTSHE10">#REF!</definedName>
    <definedName name="TOTSHE11" localSheetId="18">#REF!</definedName>
    <definedName name="TOTSHE11" localSheetId="1">#REF!</definedName>
    <definedName name="TOTSHE11">#REF!</definedName>
    <definedName name="TOTSHE12" localSheetId="18">#REF!</definedName>
    <definedName name="TOTSHE12" localSheetId="1">#REF!</definedName>
    <definedName name="TOTSHE12">#REF!</definedName>
    <definedName name="TOTSHE13" localSheetId="18">#REF!</definedName>
    <definedName name="TOTSHE13" localSheetId="1">#REF!</definedName>
    <definedName name="TOTSHE13">#REF!</definedName>
    <definedName name="TOTSHE14" localSheetId="18">#REF!</definedName>
    <definedName name="TOTSHE14" localSheetId="1">#REF!</definedName>
    <definedName name="TOTSHE14">#REF!</definedName>
    <definedName name="TOTSHE15" localSheetId="18">#REF!</definedName>
    <definedName name="TOTSHE15" localSheetId="1">#REF!</definedName>
    <definedName name="TOTSHE15">#REF!</definedName>
    <definedName name="TOTSHE16" localSheetId="18">#REF!</definedName>
    <definedName name="TOTSHE16" localSheetId="1">#REF!</definedName>
    <definedName name="TOTSHE16">#REF!</definedName>
    <definedName name="TOTSHE17" localSheetId="18">#REF!</definedName>
    <definedName name="TOTSHE17" localSheetId="1">#REF!</definedName>
    <definedName name="TOTSHE17">#REF!</definedName>
    <definedName name="TOTSHE18" localSheetId="18">#REF!</definedName>
    <definedName name="TOTSHE18" localSheetId="1">#REF!</definedName>
    <definedName name="TOTSHE18">#REF!</definedName>
    <definedName name="TOTSHE19" localSheetId="18">#REF!</definedName>
    <definedName name="TOTSHE19" localSheetId="1">#REF!</definedName>
    <definedName name="TOTSHE19">#REF!</definedName>
    <definedName name="TOTSHE2" localSheetId="18">#REF!</definedName>
    <definedName name="TOTSHE2" localSheetId="1">#REF!</definedName>
    <definedName name="TOTSHE2">#REF!</definedName>
    <definedName name="TOTSHE20" localSheetId="18">#REF!</definedName>
    <definedName name="TOTSHE20" localSheetId="1">#REF!</definedName>
    <definedName name="TOTSHE20">#REF!</definedName>
    <definedName name="TOTSHE21" localSheetId="18">#REF!</definedName>
    <definedName name="TOTSHE21" localSheetId="1">#REF!</definedName>
    <definedName name="TOTSHE21">#REF!</definedName>
    <definedName name="TOTSHE22" localSheetId="18">#REF!</definedName>
    <definedName name="TOTSHE22" localSheetId="1">#REF!</definedName>
    <definedName name="TOTSHE22">#REF!</definedName>
    <definedName name="TOTSHE23" localSheetId="18">#REF!</definedName>
    <definedName name="TOTSHE23" localSheetId="1">#REF!</definedName>
    <definedName name="TOTSHE23">#REF!</definedName>
    <definedName name="TOTSHE24" localSheetId="18">#REF!</definedName>
    <definedName name="TOTSHE24" localSheetId="1">#REF!</definedName>
    <definedName name="TOTSHE24">#REF!</definedName>
    <definedName name="TOTSHE25" localSheetId="18">#REF!</definedName>
    <definedName name="TOTSHE25" localSheetId="1">#REF!</definedName>
    <definedName name="TOTSHE25">#REF!</definedName>
    <definedName name="TOTSHE26" localSheetId="18">#REF!</definedName>
    <definedName name="TOTSHE26" localSheetId="1">#REF!</definedName>
    <definedName name="TOTSHE26">#REF!</definedName>
    <definedName name="TOTSHE3" localSheetId="18">#REF!</definedName>
    <definedName name="TOTSHE3" localSheetId="1">#REF!</definedName>
    <definedName name="TOTSHE3">#REF!</definedName>
    <definedName name="TOTSHE4" localSheetId="18">#REF!</definedName>
    <definedName name="TOTSHE4" localSheetId="1">#REF!</definedName>
    <definedName name="TOTSHE4">#REF!</definedName>
    <definedName name="TOTSHE5" localSheetId="18">#REF!</definedName>
    <definedName name="TOTSHE5" localSheetId="1">#REF!</definedName>
    <definedName name="TOTSHE5">#REF!</definedName>
    <definedName name="TOTSHE6" localSheetId="18">#REF!</definedName>
    <definedName name="TOTSHE6" localSheetId="1">#REF!</definedName>
    <definedName name="TOTSHE6">#REF!</definedName>
    <definedName name="TOTSHE7" localSheetId="18">#REF!</definedName>
    <definedName name="TOTSHE7" localSheetId="1">#REF!</definedName>
    <definedName name="TOTSHE7">#REF!</definedName>
    <definedName name="TOTSHE8" localSheetId="18">#REF!</definedName>
    <definedName name="TOTSHE8" localSheetId="1">#REF!</definedName>
    <definedName name="TOTSHE8">#REF!</definedName>
    <definedName name="TOTSHE9" localSheetId="18">#REF!</definedName>
    <definedName name="TOTSHE9" localSheetId="1">#REF!</definedName>
    <definedName name="TOTSHE9">#REF!</definedName>
    <definedName name="TotVac">'[10]NOMINA-1'!$N$36</definedName>
    <definedName name="tr" hidden="1">{"TAB1",#N/A,TRUE,"GENERAL";"TAB2",#N/A,TRUE,"GENERAL";"TAB3",#N/A,TRUE,"GENERAL";"TAB4",#N/A,TRUE,"GENERAL";"TAB5",#N/A,TRUE,"GENERAL"}</definedName>
    <definedName name="TrainSpec" localSheetId="18">#REF!</definedName>
    <definedName name="TrainSpec" localSheetId="1">#REF!</definedName>
    <definedName name="TrainSpec">#REF!</definedName>
    <definedName name="Transmisores" localSheetId="18">#REF!</definedName>
    <definedName name="Transmisores" localSheetId="1">#REF!</definedName>
    <definedName name="Transmisores">#REF!</definedName>
    <definedName name="Transporte">'[10]DATOS CONTRATO'!$E$16</definedName>
    <definedName name="TRAT">[104]desmonte!$E$48</definedName>
    <definedName name="TREM" localSheetId="18">#REF!</definedName>
    <definedName name="TREM" localSheetId="1">#REF!</definedName>
    <definedName name="TREM">#REF!</definedName>
    <definedName name="Trenes" localSheetId="18">#REF!</definedName>
    <definedName name="Trenes" localSheetId="1">#REF!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18">#REF!</definedName>
    <definedName name="tri" localSheetId="1">#REF!</definedName>
    <definedName name="tri">#REF!</definedName>
    <definedName name="Trimestre1" localSheetId="18">#REF!</definedName>
    <definedName name="Trimestre1" localSheetId="1">#REF!</definedName>
    <definedName name="Trimestre1">#REF!</definedName>
    <definedName name="Trimestre2" localSheetId="18">#REF!</definedName>
    <definedName name="Trimestre2" localSheetId="1">#REF!</definedName>
    <definedName name="Trimestre2">#REF!</definedName>
    <definedName name="Trimestre3" localSheetId="18">#REF!</definedName>
    <definedName name="Trimestre3" localSheetId="1">#REF!</definedName>
    <definedName name="Trimestre3">#REF!</definedName>
    <definedName name="Trimestre4" localSheetId="18">#REF!</definedName>
    <definedName name="Trimestre4" localSheetId="1">#REF!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18">#REF!</definedName>
    <definedName name="TtCD" localSheetId="32">#REF!</definedName>
    <definedName name="TtCD" localSheetId="40">#REF!</definedName>
    <definedName name="TtCD" localSheetId="41">#REF!</definedName>
    <definedName name="TtCD" localSheetId="43">#REF!</definedName>
    <definedName name="TtCD" localSheetId="64">#REF!</definedName>
    <definedName name="TtCD" localSheetId="1">#REF!</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18" hidden="1">#REF!</definedName>
    <definedName name="TUBERIA" localSheetId="1" hidden="1">#REF!</definedName>
    <definedName name="TUBERIA" hidden="1">#REF!</definedName>
    <definedName name="Tubería" localSheetId="18">#REF!</definedName>
    <definedName name="Tubería" localSheetId="1">#REF!</definedName>
    <definedName name="Tubería">#REF!</definedName>
    <definedName name="TUBERIA1" localSheetId="18" hidden="1">#REF!</definedName>
    <definedName name="TUBERIA1" localSheetId="1"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18">'[86]CCP,LEYES, Y DEC.'!#REF!</definedName>
    <definedName name="tvmenor90min" localSheetId="1">'[86]CCP,LEYES, Y DEC.'!#REF!</definedName>
    <definedName name="tvmenor90min">'[86]CCP,LEYES,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8">#REF!</definedName>
    <definedName name="U" localSheetId="32">#REF!</definedName>
    <definedName name="U" localSheetId="40">#REF!</definedName>
    <definedName name="U" localSheetId="41">#REF!</definedName>
    <definedName name="U" localSheetId="43">#REF!</definedName>
    <definedName name="U" localSheetId="64">#REF!</definedName>
    <definedName name="U" localSheetId="1">#REF!</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8">#REF!</definedName>
    <definedName name="Ubicación" localSheetId="32">#REF!</definedName>
    <definedName name="Ubicación" localSheetId="40">#REF!</definedName>
    <definedName name="Ubicación" localSheetId="41">#REF!</definedName>
    <definedName name="Ubicación" localSheetId="43">#REF!</definedName>
    <definedName name="Ubicación" localSheetId="64">#REF!</definedName>
    <definedName name="Ubicación" localSheetId="1">#REF!</definedName>
    <definedName name="Ubicación" localSheetId="2">#REF!</definedName>
    <definedName name="Ubicación">#REF!</definedName>
    <definedName name="UFrm2InUse">1</definedName>
    <definedName name="UI" hidden="1">{"via1",#N/A,TRUE,"general";"via2",#N/A,TRUE,"general";"via3",#N/A,TRUE,"general"}</definedName>
    <definedName name="UIC" localSheetId="18">[12]Tablas!#REF!</definedName>
    <definedName name="UIC" localSheetId="1">[12]Tablas!#REF!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8">#REF!</definedName>
    <definedName name="UK" localSheetId="1">#REF!</definedName>
    <definedName name="UK">#REF!</definedName>
    <definedName name="UN_PRI" localSheetId="18">#REF!</definedName>
    <definedName name="UN_PRI" localSheetId="1">#REF!</definedName>
    <definedName name="UN_PRI">#REF!</definedName>
    <definedName name="UNIT">'[106]Lista APU'!$A$3:$D$479</definedName>
    <definedName name="UNITARIO">[107]Unitarios!$A$3:$D$13</definedName>
    <definedName name="Unitarios" localSheetId="18">#REF!</definedName>
    <definedName name="Unitarios" localSheetId="32">#REF!</definedName>
    <definedName name="Unitarios" localSheetId="40">#REF!</definedName>
    <definedName name="Unitarios" localSheetId="41">#REF!</definedName>
    <definedName name="Unitarios" localSheetId="43">#REF!</definedName>
    <definedName name="Unitarios" localSheetId="64">#REF!</definedName>
    <definedName name="Unitarios" localSheetId="1">#REF!</definedName>
    <definedName name="Unitarios" localSheetId="2">#REF!</definedName>
    <definedName name="Unitarios">#REF!</definedName>
    <definedName name="unj" localSheetId="18" hidden="1">[18]INST!#REF!</definedName>
    <definedName name="unj" localSheetId="1"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18">#REF!</definedName>
    <definedName name="USxCOL" localSheetId="1">#REF!</definedName>
    <definedName name="USxCOL">#REF!</definedName>
    <definedName name="ut">'[78]1'!$N$42</definedName>
    <definedName name="UTL">[24]otros!$C$4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18">#REF!</definedName>
    <definedName name="VALDES" localSheetId="32">#REF!</definedName>
    <definedName name="VALDES" localSheetId="40">#REF!</definedName>
    <definedName name="VALDES" localSheetId="41">#REF!</definedName>
    <definedName name="VALDES" localSheetId="43">#REF!</definedName>
    <definedName name="VALDES" localSheetId="64">#REF!</definedName>
    <definedName name="VALDES" localSheetId="1">#REF!</definedName>
    <definedName name="VALDES" localSheetId="2">#REF!</definedName>
    <definedName name="VALDES">#REF!</definedName>
    <definedName name="valor1" localSheetId="18">#REF!</definedName>
    <definedName name="valor1" localSheetId="32">#REF!</definedName>
    <definedName name="valor1" localSheetId="40">#REF!</definedName>
    <definedName name="valor1" localSheetId="41">#REF!</definedName>
    <definedName name="valor1" localSheetId="43">#REF!</definedName>
    <definedName name="valor1" localSheetId="64">#REF!</definedName>
    <definedName name="valor1" localSheetId="1">#REF!</definedName>
    <definedName name="valor1" localSheetId="2">#REF!</definedName>
    <definedName name="valor1">#REF!</definedName>
    <definedName name="valor2" localSheetId="18">#REF!</definedName>
    <definedName name="valor2" localSheetId="32">#REF!</definedName>
    <definedName name="valor2" localSheetId="40">#REF!</definedName>
    <definedName name="valor2" localSheetId="41">#REF!</definedName>
    <definedName name="valor2" localSheetId="43">#REF!</definedName>
    <definedName name="valor2" localSheetId="64">#REF!</definedName>
    <definedName name="valor2" localSheetId="1">#REF!</definedName>
    <definedName name="valor2" localSheetId="2">#REF!</definedName>
    <definedName name="valor2">#REF!</definedName>
    <definedName name="VALOR3" localSheetId="18">#REF!</definedName>
    <definedName name="VALOR3" localSheetId="32">#REF!</definedName>
    <definedName name="VALOR3" localSheetId="40">#REF!</definedName>
    <definedName name="VALOR3" localSheetId="41">#REF!</definedName>
    <definedName name="VALOR3" localSheetId="43">#REF!</definedName>
    <definedName name="VALOR3" localSheetId="64">#REF!</definedName>
    <definedName name="VALOR3" localSheetId="1">#REF!</definedName>
    <definedName name="VALOR3" localSheetId="2">#REF!</definedName>
    <definedName name="VALOR3">#REF!</definedName>
    <definedName name="ValorCto">[108]CONTRATO!$E$9</definedName>
    <definedName name="ValorEjecutado" localSheetId="18">#REF!</definedName>
    <definedName name="ValorEjecutado" localSheetId="1">#REF!</definedName>
    <definedName name="ValorEjecutado">#REF!</definedName>
    <definedName name="ValorProyecto" localSheetId="18">#REF!</definedName>
    <definedName name="ValorProyecto" localSheetId="1">#REF!</definedName>
    <definedName name="ValorProyecto">#REF!</definedName>
    <definedName name="ValorRecursosComprometidos" localSheetId="18">#REF!</definedName>
    <definedName name="ValorRecursosComprometidos" localSheetId="1">#REF!</definedName>
    <definedName name="ValorRecursosComprometidos">#REF!</definedName>
    <definedName name="Values_Entered" localSheetId="18">IF('220.1 P'!Loan_Amount*'220.1 P'!Interest_Rate*'220.1 P'!Loan_Years*'220.1 P'!Loan_Start&gt;0,1,0)</definedName>
    <definedName name="Values_Entered" localSheetId="1">IF('PPTO CONSTRUCCION'!Loan_Amount*'PPTO CONSTRUCCION'!Interest_Rate*'PPTO CONSTRUCCION'!Loan_Years*'PPTO CONSTRUCCION'!Loan_Start&gt;0,1,0)</definedName>
    <definedName name="Values_Entered">IF(Loan_Amount*Interest_Rate*Loan_Years*Loan_Start&gt;0,1,0)</definedName>
    <definedName name="Válvulas" localSheetId="18">#REF!</definedName>
    <definedName name="Válvulas" localSheetId="1">#REF!</definedName>
    <definedName name="Válvulas">#REF!</definedName>
    <definedName name="VARIACION1" localSheetId="18">#REF!</definedName>
    <definedName name="VARIACION1" localSheetId="1">#REF!</definedName>
    <definedName name="VARIACION1">#REF!</definedName>
    <definedName name="Varios" localSheetId="18">#REF!</definedName>
    <definedName name="Varios" localSheetId="1">#REF!</definedName>
    <definedName name="Varios">#REF!</definedName>
    <definedName name="vbvbvbvb" hidden="1">{"TAB1",#N/A,TRUE,"GENERAL";"TAB2",#N/A,TRUE,"GENERAL";"TAB3",#N/A,TRUE,"GENERAL";"TAB4",#N/A,TRUE,"GENERAL";"TAB5",#N/A,TRUE,"GENERAL"}</definedName>
    <definedName name="vc" localSheetId="18">#REF!</definedName>
    <definedName name="vc" localSheetId="1">#REF!</definedName>
    <definedName name="vc">#REF!</definedName>
    <definedName name="vct" localSheetId="18">#REF!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18">#REF!</definedName>
    <definedName name="VentaAiu" localSheetId="32">#REF!</definedName>
    <definedName name="VentaAiu" localSheetId="40">#REF!</definedName>
    <definedName name="VentaAiu" localSheetId="41">#REF!</definedName>
    <definedName name="VentaAiu" localSheetId="43">#REF!</definedName>
    <definedName name="VentaAiu" localSheetId="64">#REF!</definedName>
    <definedName name="VentaAiu" localSheetId="1">#REF!</definedName>
    <definedName name="VentaAiu" localSheetId="2">#REF!</definedName>
    <definedName name="VentaAiu">#REF!</definedName>
    <definedName name="VEX" localSheetId="18">[12]Tablas!#REF!</definedName>
    <definedName name="VEX" localSheetId="1">[12]Tablas!#REF!</definedName>
    <definedName name="VEX">[12]Tablas!#REF!</definedName>
    <definedName name="VEX_ON" localSheetId="18">#REF!</definedName>
    <definedName name="VEX_ON" localSheetId="1">#REF!</definedName>
    <definedName name="VEX_ON">#REF!</definedName>
    <definedName name="VEX1_1" localSheetId="18">[12]Tablas!#REF!</definedName>
    <definedName name="VEX1_1" localSheetId="1">[12]Tablas!#REF!</definedName>
    <definedName name="VEX1_1">[12]Tablas!#REF!</definedName>
    <definedName name="VEX1_1_1" localSheetId="18">[12]Tablas!#REF!</definedName>
    <definedName name="VEX1_1_1" localSheetId="1">[12]Tablas!#REF!</definedName>
    <definedName name="VEX1_1_1">[12]Tablas!#REF!</definedName>
    <definedName name="VEX1_1_2" localSheetId="18">[12]Tablas!#REF!</definedName>
    <definedName name="VEX1_1_2" localSheetId="1">[12]Tablas!#REF!</definedName>
    <definedName name="VEX1_1_2">[12]Tablas!#REF!</definedName>
    <definedName name="VEX1_1_3" localSheetId="18">[12]Tablas!#REF!</definedName>
    <definedName name="VEX1_1_3" localSheetId="1">[12]Tablas!#REF!</definedName>
    <definedName name="VEX1_1_3">[12]Tablas!#REF!</definedName>
    <definedName name="VEX1_1_4" localSheetId="18">[12]Tablas!#REF!</definedName>
    <definedName name="VEX1_1_4" localSheetId="1">[12]Tablas!#REF!</definedName>
    <definedName name="VEX1_1_4">[12]Tablas!#REF!</definedName>
    <definedName name="VEX1_2" localSheetId="18">[12]Tablas!#REF!</definedName>
    <definedName name="VEX1_2" localSheetId="1">[12]Tablas!#REF!</definedName>
    <definedName name="VEX1_2">[12]Tablas!#REF!</definedName>
    <definedName name="VEX1_3" localSheetId="18">[12]Tablas!#REF!</definedName>
    <definedName name="VEX1_3" localSheetId="1">[12]Tablas!#REF!</definedName>
    <definedName name="VEX1_3">[12]Tablas!#REF!</definedName>
    <definedName name="VFA" localSheetId="18">[12]Tablas!#REF!</definedName>
    <definedName name="VFA" localSheetId="1">[12]Tablas!#REF!</definedName>
    <definedName name="VFA">[12]Tablas!#REF!</definedName>
    <definedName name="VFA1_1" localSheetId="18">[12]Tablas!#REF!</definedName>
    <definedName name="VFA1_1" localSheetId="1">[12]Tablas!#REF!</definedName>
    <definedName name="VFA1_1">[12]Tablas!#REF!</definedName>
    <definedName name="VFA1_1_1" localSheetId="18">[12]Tablas!#REF!</definedName>
    <definedName name="VFA1_1_1" localSheetId="1">[12]Tablas!#REF!</definedName>
    <definedName name="VFA1_1_1">[12]Tablas!#REF!</definedName>
    <definedName name="VFA1_1_2" localSheetId="18">[12]Tablas!#REF!</definedName>
    <definedName name="VFA1_1_2" localSheetId="1">[12]Tablas!#REF!</definedName>
    <definedName name="VFA1_1_2">[12]Tablas!#REF!</definedName>
    <definedName name="VFA1_1_3" localSheetId="18">[12]Tablas!#REF!</definedName>
    <definedName name="VFA1_1_3" localSheetId="1">[12]Tablas!#REF!</definedName>
    <definedName name="VFA1_1_3">[12]Tablas!#REF!</definedName>
    <definedName name="VFA1_1_4" localSheetId="18">[12]Tablas!#REF!</definedName>
    <definedName name="VFA1_1_4" localSheetId="1">[12]Tablas!#REF!</definedName>
    <definedName name="VFA1_1_4">[12]Tablas!#REF!</definedName>
    <definedName name="VFA1_1_5" localSheetId="18">[12]Tablas!#REF!</definedName>
    <definedName name="VFA1_1_5" localSheetId="1">[12]Tablas!#REF!</definedName>
    <definedName name="VFA1_1_5">[12]Tablas!#REF!</definedName>
    <definedName name="VFA1_1_6" localSheetId="18">[12]Tablas!#REF!</definedName>
    <definedName name="VFA1_1_6" localSheetId="1">[12]Tablas!#REF!</definedName>
    <definedName name="VFA1_1_6">[12]Tablas!#REF!</definedName>
    <definedName name="VFA1_2" localSheetId="18">[12]Tablas!#REF!</definedName>
    <definedName name="VFA1_2" localSheetId="1">[12]Tablas!#REF!</definedName>
    <definedName name="VFA1_2">[12]Tablas!#REF!</definedName>
    <definedName name="VFA1_3" localSheetId="18">[12]Tablas!#REF!</definedName>
    <definedName name="VFA1_3" localSheetId="1">[12]Tablas!#REF!</definedName>
    <definedName name="VFA1_3">[12]Tablas!#REF!</definedName>
    <definedName name="vfbgnhyt" hidden="1">{"via1",#N/A,TRUE,"general";"via2",#N/A,TRUE,"general";"via3",#N/A,TRUE,"general"}</definedName>
    <definedName name="vfh" localSheetId="18">'[75]7422CW00'!#REF!</definedName>
    <definedName name="vfh" localSheetId="1">'[75]7422CW00'!#REF!</definedName>
    <definedName name="vfh">'[75]7422CW00'!#REF!</definedName>
    <definedName name="VFR" localSheetId="18">#REF!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18">#REF!</definedName>
    <definedName name="VIA" localSheetId="1">#REF!</definedName>
    <definedName name="VIA">#REF!</definedName>
    <definedName name="VICEP_DIRECC">[87]Tablas!$A$6:$A$26</definedName>
    <definedName name="VigenciaDolares" localSheetId="18">#REF!</definedName>
    <definedName name="VigenciaDolares" localSheetId="1">#REF!</definedName>
    <definedName name="VigenciaDolares">#REF!</definedName>
    <definedName name="VigenciaPesos" localSheetId="18">#REF!</definedName>
    <definedName name="VigenciaPesos" localSheetId="1">#REF!</definedName>
    <definedName name="VigenciaPesos">#REF!</definedName>
    <definedName name="VIGFUTURA">[87]Tablas!$J$6:$J$8</definedName>
    <definedName name="VIT" localSheetId="18">[12]Tablas!#REF!</definedName>
    <definedName name="VIT" localSheetId="1">[12]Tablas!#REF!</definedName>
    <definedName name="VIT">[12]Tablas!#REF!</definedName>
    <definedName name="VIT1_1" localSheetId="18">[12]Tablas!#REF!</definedName>
    <definedName name="VIT1_1" localSheetId="1">[12]Tablas!#REF!</definedName>
    <definedName name="VIT1_1">[12]Tablas!#REF!</definedName>
    <definedName name="VIT1_1_1" localSheetId="18">[12]Tablas!#REF!</definedName>
    <definedName name="VIT1_1_1" localSheetId="1">[12]Tablas!#REF!</definedName>
    <definedName name="VIT1_1_1">[12]Tablas!#REF!</definedName>
    <definedName name="VIT1_1_10" localSheetId="18">[12]Tablas!#REF!</definedName>
    <definedName name="VIT1_1_10" localSheetId="1">[12]Tablas!#REF!</definedName>
    <definedName name="VIT1_1_10">[12]Tablas!#REF!</definedName>
    <definedName name="VIT1_1_11" localSheetId="18">[12]Tablas!#REF!</definedName>
    <definedName name="VIT1_1_11" localSheetId="1">[12]Tablas!#REF!</definedName>
    <definedName name="VIT1_1_11">[12]Tablas!#REF!</definedName>
    <definedName name="VIT1_1_12" localSheetId="18">[12]Tablas!#REF!</definedName>
    <definedName name="VIT1_1_12" localSheetId="1">[12]Tablas!#REF!</definedName>
    <definedName name="VIT1_1_12">[12]Tablas!#REF!</definedName>
    <definedName name="VIT1_1_13" localSheetId="18">[12]Tablas!#REF!</definedName>
    <definedName name="VIT1_1_13" localSheetId="1">[12]Tablas!#REF!</definedName>
    <definedName name="VIT1_1_13">[12]Tablas!#REF!</definedName>
    <definedName name="VIT1_1_14" localSheetId="18">[12]Tablas!#REF!</definedName>
    <definedName name="VIT1_1_14" localSheetId="1">[12]Tablas!#REF!</definedName>
    <definedName name="VIT1_1_14">[12]Tablas!#REF!</definedName>
    <definedName name="VIT1_1_15" localSheetId="18">[12]Tablas!#REF!</definedName>
    <definedName name="VIT1_1_15" localSheetId="1">[12]Tablas!#REF!</definedName>
    <definedName name="VIT1_1_15">[12]Tablas!#REF!</definedName>
    <definedName name="VIT1_1_16" localSheetId="18">[12]Tablas!#REF!</definedName>
    <definedName name="VIT1_1_16" localSheetId="1">[12]Tablas!#REF!</definedName>
    <definedName name="VIT1_1_16">[12]Tablas!#REF!</definedName>
    <definedName name="VIt1_1_17" localSheetId="18">[12]Tablas!#REF!</definedName>
    <definedName name="VIt1_1_17" localSheetId="1">[12]Tablas!#REF!</definedName>
    <definedName name="VIt1_1_17">[12]Tablas!#REF!</definedName>
    <definedName name="VIT1_1_18" localSheetId="18">[12]Tablas!#REF!</definedName>
    <definedName name="VIT1_1_18" localSheetId="1">[12]Tablas!#REF!</definedName>
    <definedName name="VIT1_1_18">[12]Tablas!#REF!</definedName>
    <definedName name="VIt1_1_19" localSheetId="18">[12]Tablas!#REF!</definedName>
    <definedName name="VIt1_1_19" localSheetId="1">[12]Tablas!#REF!</definedName>
    <definedName name="VIt1_1_19">[12]Tablas!#REF!</definedName>
    <definedName name="VIT1_1_2" localSheetId="18">[12]Tablas!#REF!</definedName>
    <definedName name="VIT1_1_2" localSheetId="1">[12]Tablas!#REF!</definedName>
    <definedName name="VIT1_1_2">[12]Tablas!#REF!</definedName>
    <definedName name="VIT1_1_20" localSheetId="18">[12]Tablas!#REF!</definedName>
    <definedName name="VIT1_1_20" localSheetId="1">[12]Tablas!#REF!</definedName>
    <definedName name="VIT1_1_20">[12]Tablas!#REF!</definedName>
    <definedName name="VIT1_1_3" localSheetId="18">[12]Tablas!#REF!</definedName>
    <definedName name="VIT1_1_3" localSheetId="1">[12]Tablas!#REF!</definedName>
    <definedName name="VIT1_1_3">[12]Tablas!#REF!</definedName>
    <definedName name="VIT1_1_4" localSheetId="18">[12]Tablas!#REF!</definedName>
    <definedName name="VIT1_1_4" localSheetId="1">[12]Tablas!#REF!</definedName>
    <definedName name="VIT1_1_4">[12]Tablas!#REF!</definedName>
    <definedName name="VIT1_1_5" localSheetId="18">[12]Tablas!#REF!</definedName>
    <definedName name="VIT1_1_5" localSheetId="1">[12]Tablas!#REF!</definedName>
    <definedName name="VIT1_1_5">[12]Tablas!#REF!</definedName>
    <definedName name="VIT1_1_6" localSheetId="18">[12]Tablas!#REF!</definedName>
    <definedName name="VIT1_1_6" localSheetId="1">[12]Tablas!#REF!</definedName>
    <definedName name="VIT1_1_6">[12]Tablas!#REF!</definedName>
    <definedName name="VIT1_1_7" localSheetId="18">[12]Tablas!#REF!</definedName>
    <definedName name="VIT1_1_7" localSheetId="1">[12]Tablas!#REF!</definedName>
    <definedName name="VIT1_1_7">[12]Tablas!#REF!</definedName>
    <definedName name="VIT1_1_8" localSheetId="18">[12]Tablas!#REF!</definedName>
    <definedName name="VIT1_1_8" localSheetId="1">[12]Tablas!#REF!</definedName>
    <definedName name="VIT1_1_8">[12]Tablas!#REF!</definedName>
    <definedName name="VIT1_1_9" localSheetId="18">[12]Tablas!#REF!</definedName>
    <definedName name="VIT1_1_9" localSheetId="1">[12]Tablas!#REF!</definedName>
    <definedName name="VIT1_1_9">[12]Tablas!#REF!</definedName>
    <definedName name="VIT1_2" localSheetId="18">[12]Tablas!#REF!</definedName>
    <definedName name="VIT1_2" localSheetId="1">[12]Tablas!#REF!</definedName>
    <definedName name="VIT1_2">[12]Tablas!#REF!</definedName>
    <definedName name="VIT1_3" localSheetId="18">[12]Tablas!#REF!</definedName>
    <definedName name="VIT1_3" localSheetId="1">[12]Tablas!#REF!</definedName>
    <definedName name="VIT1_3">[12]Tablas!#REF!</definedName>
    <definedName name="VIT1_4" localSheetId="18">[12]Tablas!#REF!</definedName>
    <definedName name="VIT1_4" localSheetId="1">[12]Tablas!#REF!</definedName>
    <definedName name="VIT1_4">[12]Tablas!#REF!</definedName>
    <definedName name="VIT1_5" localSheetId="18">[12]Tablas!#REF!</definedName>
    <definedName name="VIT1_5" localSheetId="1">[12]Tablas!#REF!</definedName>
    <definedName name="VIT1_5">[12]Tablas!#REF!</definedName>
    <definedName name="VIT1_6" localSheetId="18">[12]Tablas!#REF!</definedName>
    <definedName name="VIT1_6" localSheetId="1">[12]Tablas!#REF!</definedName>
    <definedName name="VIT1_6">[12]Tablas!#REF!</definedName>
    <definedName name="vital5">[51]Personalizar!$E$15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18">#REF!</definedName>
    <definedName name="vp" localSheetId="1">#REF!</definedName>
    <definedName name="vp">#REF!</definedName>
    <definedName name="VPN" localSheetId="18">#REF!</definedName>
    <definedName name="VPN" localSheetId="1">#REF!</definedName>
    <definedName name="VPN">#REF!</definedName>
    <definedName name="VPNCCP" localSheetId="18">#REF!</definedName>
    <definedName name="VPNCCP" localSheetId="1">#REF!</definedName>
    <definedName name="VPNCCP">#REF!</definedName>
    <definedName name="VPNInversion" localSheetId="18">#REF!</definedName>
    <definedName name="VPNInversion" localSheetId="1">#REF!</definedName>
    <definedName name="VPNInversion">#REF!</definedName>
    <definedName name="VPNInversionCCP" localSheetId="18">#REF!</definedName>
    <definedName name="VPNInversionCCP" localSheetId="1">#REF!</definedName>
    <definedName name="VPNInversionCCP">#REF!</definedName>
    <definedName name="VPR" localSheetId="18">#REF!</definedName>
    <definedName name="VPR" localSheetId="1">#REF!</definedName>
    <definedName name="VPR">#REF!</definedName>
    <definedName name="VPR_COMBUS" localSheetId="18">#REF!</definedName>
    <definedName name="VPR_COMBUS" localSheetId="1">#REF!</definedName>
    <definedName name="VPR_COMBUS">#REF!</definedName>
    <definedName name="VPR_CRUDO" localSheetId="18">#REF!</definedName>
    <definedName name="VPR_CRUDO" localSheetId="1">#REF!</definedName>
    <definedName name="VPR_CRUDO">#REF!</definedName>
    <definedName name="VPR_GAS" localSheetId="18">#REF!</definedName>
    <definedName name="VPR_GAS" localSheetId="1">#REF!</definedName>
    <definedName name="VPR_GAS">#REF!</definedName>
    <definedName name="VPR_ON" localSheetId="18">#REF!</definedName>
    <definedName name="VPR_ON" localSheetId="1">#REF!</definedName>
    <definedName name="VPR_ON">#REF!</definedName>
    <definedName name="VPR1_1" localSheetId="18">[12]Tablas!#REF!</definedName>
    <definedName name="VPR1_1" localSheetId="1">[12]Tablas!#REF!</definedName>
    <definedName name="VPR1_1">[12]Tablas!#REF!</definedName>
    <definedName name="VPR1_1_1" localSheetId="18">[12]Tablas!#REF!</definedName>
    <definedName name="VPR1_1_1" localSheetId="1">[12]Tablas!#REF!</definedName>
    <definedName name="VPR1_1_1">[12]Tablas!#REF!</definedName>
    <definedName name="VPR1_1_10" localSheetId="18">[12]Tablas!#REF!</definedName>
    <definedName name="VPR1_1_10" localSheetId="1">[12]Tablas!#REF!</definedName>
    <definedName name="VPR1_1_10">[12]Tablas!#REF!</definedName>
    <definedName name="VPR1_1_11" localSheetId="18">[12]Tablas!#REF!</definedName>
    <definedName name="VPR1_1_11" localSheetId="1">[12]Tablas!#REF!</definedName>
    <definedName name="VPR1_1_11">[12]Tablas!#REF!</definedName>
    <definedName name="VPR1_1_12" localSheetId="18">[12]Tablas!#REF!</definedName>
    <definedName name="VPR1_1_12" localSheetId="1">[12]Tablas!#REF!</definedName>
    <definedName name="VPR1_1_12">[12]Tablas!#REF!</definedName>
    <definedName name="VPR1_1_13" localSheetId="18">[12]Tablas!#REF!</definedName>
    <definedName name="VPR1_1_13" localSheetId="1">[12]Tablas!#REF!</definedName>
    <definedName name="VPR1_1_13">[12]Tablas!#REF!</definedName>
    <definedName name="VPR1_1_14" localSheetId="18">[12]Tablas!#REF!</definedName>
    <definedName name="VPR1_1_14" localSheetId="1">[12]Tablas!#REF!</definedName>
    <definedName name="VPR1_1_14">[12]Tablas!#REF!</definedName>
    <definedName name="VPR1_1_15" localSheetId="18">[12]Tablas!#REF!</definedName>
    <definedName name="VPR1_1_15" localSheetId="1">[12]Tablas!#REF!</definedName>
    <definedName name="VPR1_1_15">[12]Tablas!#REF!</definedName>
    <definedName name="VPR1_1_16" localSheetId="18">[12]Tablas!#REF!</definedName>
    <definedName name="VPR1_1_16" localSheetId="1">[12]Tablas!#REF!</definedName>
    <definedName name="VPR1_1_16">[12]Tablas!#REF!</definedName>
    <definedName name="VPR1_1_17" localSheetId="18">[12]Tablas!#REF!</definedName>
    <definedName name="VPR1_1_17" localSheetId="1">[12]Tablas!#REF!</definedName>
    <definedName name="VPR1_1_17">[12]Tablas!#REF!</definedName>
    <definedName name="VPR1_1_18" localSheetId="18">[12]Tablas!#REF!</definedName>
    <definedName name="VPR1_1_18" localSheetId="1">[12]Tablas!#REF!</definedName>
    <definedName name="VPR1_1_18">[12]Tablas!#REF!</definedName>
    <definedName name="VPR1_1_19" localSheetId="18">[12]Tablas!#REF!</definedName>
    <definedName name="VPR1_1_19" localSheetId="1">[12]Tablas!#REF!</definedName>
    <definedName name="VPR1_1_19">[12]Tablas!#REF!</definedName>
    <definedName name="VPR1_1_2" localSheetId="18">[12]Tablas!#REF!</definedName>
    <definedName name="VPR1_1_2" localSheetId="1">[12]Tablas!#REF!</definedName>
    <definedName name="VPR1_1_2">[12]Tablas!#REF!</definedName>
    <definedName name="VPR1_1_20" localSheetId="18">[12]Tablas!#REF!</definedName>
    <definedName name="VPR1_1_20" localSheetId="1">[12]Tablas!#REF!</definedName>
    <definedName name="VPR1_1_20">[12]Tablas!#REF!</definedName>
    <definedName name="VPR1_1_21" localSheetId="18">[12]Tablas!#REF!</definedName>
    <definedName name="VPR1_1_21" localSheetId="1">[12]Tablas!#REF!</definedName>
    <definedName name="VPR1_1_21">[12]Tablas!#REF!</definedName>
    <definedName name="VPR1_1_22" localSheetId="18">[12]Tablas!#REF!</definedName>
    <definedName name="VPR1_1_22" localSheetId="1">[12]Tablas!#REF!</definedName>
    <definedName name="VPR1_1_22">[12]Tablas!#REF!</definedName>
    <definedName name="VPR1_1_23" localSheetId="18">[12]Tablas!#REF!</definedName>
    <definedName name="VPR1_1_23" localSheetId="1">[12]Tablas!#REF!</definedName>
    <definedName name="VPR1_1_23">[12]Tablas!#REF!</definedName>
    <definedName name="VPR1_1_24" localSheetId="18">[12]Tablas!#REF!</definedName>
    <definedName name="VPR1_1_24" localSheetId="1">[12]Tablas!#REF!</definedName>
    <definedName name="VPR1_1_24">[12]Tablas!#REF!</definedName>
    <definedName name="VPR1_1_25" localSheetId="18">[12]Tablas!#REF!</definedName>
    <definedName name="VPR1_1_25" localSheetId="1">[12]Tablas!#REF!</definedName>
    <definedName name="VPR1_1_25">[12]Tablas!#REF!</definedName>
    <definedName name="VPR1_1_26" localSheetId="18">[12]Tablas!#REF!</definedName>
    <definedName name="VPR1_1_26" localSheetId="1">[12]Tablas!#REF!</definedName>
    <definedName name="VPR1_1_26">[12]Tablas!#REF!</definedName>
    <definedName name="VPR1_1_27" localSheetId="18">[12]Tablas!#REF!</definedName>
    <definedName name="VPR1_1_27" localSheetId="1">[12]Tablas!#REF!</definedName>
    <definedName name="VPR1_1_27">[12]Tablas!#REF!</definedName>
    <definedName name="VPR1_1_28" localSheetId="18">[12]Tablas!#REF!</definedName>
    <definedName name="VPR1_1_28" localSheetId="1">[12]Tablas!#REF!</definedName>
    <definedName name="VPR1_1_28">[12]Tablas!#REF!</definedName>
    <definedName name="VPR1_1_29" localSheetId="18">[12]Tablas!#REF!</definedName>
    <definedName name="VPR1_1_29" localSheetId="1">[12]Tablas!#REF!</definedName>
    <definedName name="VPR1_1_29">[12]Tablas!#REF!</definedName>
    <definedName name="VPR1_1_3" localSheetId="18">[12]Tablas!#REF!</definedName>
    <definedName name="VPR1_1_3" localSheetId="1">[12]Tablas!#REF!</definedName>
    <definedName name="VPR1_1_3">[12]Tablas!#REF!</definedName>
    <definedName name="VPR1_1_30" localSheetId="18">[12]Tablas!#REF!</definedName>
    <definedName name="VPR1_1_30" localSheetId="1">[12]Tablas!#REF!</definedName>
    <definedName name="VPR1_1_30">[12]Tablas!#REF!</definedName>
    <definedName name="VPR1_1_31" localSheetId="18">[12]Tablas!#REF!</definedName>
    <definedName name="VPR1_1_31" localSheetId="1">[12]Tablas!#REF!</definedName>
    <definedName name="VPR1_1_31">[12]Tablas!#REF!</definedName>
    <definedName name="VPR1_1_32" localSheetId="18">[12]Tablas!#REF!</definedName>
    <definedName name="VPR1_1_32" localSheetId="1">[12]Tablas!#REF!</definedName>
    <definedName name="VPR1_1_32">[12]Tablas!#REF!</definedName>
    <definedName name="VPR1_1_4" localSheetId="18">[12]Tablas!#REF!</definedName>
    <definedName name="VPR1_1_4" localSheetId="1">[12]Tablas!#REF!</definedName>
    <definedName name="VPR1_1_4">[12]Tablas!#REF!</definedName>
    <definedName name="VPR1_1_5" localSheetId="18">[12]Tablas!#REF!</definedName>
    <definedName name="VPR1_1_5" localSheetId="1">[12]Tablas!#REF!</definedName>
    <definedName name="VPR1_1_5">[12]Tablas!#REF!</definedName>
    <definedName name="VPR1_1_6" localSheetId="18">[12]Tablas!#REF!</definedName>
    <definedName name="VPR1_1_6" localSheetId="1">[12]Tablas!#REF!</definedName>
    <definedName name="VPR1_1_6">[12]Tablas!#REF!</definedName>
    <definedName name="VPR1_1_7" localSheetId="18">[12]Tablas!#REF!</definedName>
    <definedName name="VPR1_1_7" localSheetId="1">[12]Tablas!#REF!</definedName>
    <definedName name="VPR1_1_7">[12]Tablas!#REF!</definedName>
    <definedName name="VPR1_1_8" localSheetId="18">[12]Tablas!#REF!</definedName>
    <definedName name="VPR1_1_8" localSheetId="1">[12]Tablas!#REF!</definedName>
    <definedName name="VPR1_1_8">[12]Tablas!#REF!</definedName>
    <definedName name="VPR1_1_9" localSheetId="18">[12]Tablas!#REF!</definedName>
    <definedName name="VPR1_1_9" localSheetId="1">[12]Tablas!#REF!</definedName>
    <definedName name="VPR1_1_9">[12]Tablas!#REF!</definedName>
    <definedName name="VPR1_2" localSheetId="18">[12]Tablas!#REF!</definedName>
    <definedName name="VPR1_2" localSheetId="1">[12]Tablas!#REF!</definedName>
    <definedName name="VPR1_2">[12]Tablas!#REF!</definedName>
    <definedName name="VPR1_3" localSheetId="18">[12]Tablas!#REF!</definedName>
    <definedName name="VPR1_3" localSheetId="1">[12]Tablas!#REF!</definedName>
    <definedName name="VPR1_3">[12]Tablas!#REF!</definedName>
    <definedName name="VPR1_4" localSheetId="18">[12]Tablas!#REF!</definedName>
    <definedName name="VPR1_4" localSheetId="1">[12]Tablas!#REF!</definedName>
    <definedName name="VPR1_4">[12]Tablas!#REF!</definedName>
    <definedName name="VPR1_5" localSheetId="18">[12]Tablas!#REF!</definedName>
    <definedName name="VPR1_5" localSheetId="1">[12]Tablas!#REF!</definedName>
    <definedName name="VPR1_5">[12]Tablas!#REF!</definedName>
    <definedName name="VPR1_6" localSheetId="18">[12]Tablas!#REF!</definedName>
    <definedName name="VPR1_6" localSheetId="1">[12]Tablas!#REF!</definedName>
    <definedName name="VPR1_6">[12]Tablas!#REF!</definedName>
    <definedName name="vpt" localSheetId="18">#REF!</definedName>
    <definedName name="vpt" localSheetId="1">#REF!</definedName>
    <definedName name="vpt">#REF!</definedName>
    <definedName name="VRP" localSheetId="18">[12]Tablas!#REF!</definedName>
    <definedName name="VRP" localSheetId="1">[12]Tablas!#REF!</definedName>
    <definedName name="VRP">[12]Tablas!#REF!</definedName>
    <definedName name="VRP_PETROQ" localSheetId="18">#REF!</definedName>
    <definedName name="VRP_PETROQ" localSheetId="1">#REF!</definedName>
    <definedName name="VRP_PETROQ">#REF!</definedName>
    <definedName name="VRP1_1" localSheetId="18">[12]Tablas!#REF!</definedName>
    <definedName name="VRP1_1" localSheetId="1">[12]Tablas!#REF!</definedName>
    <definedName name="VRP1_1">[12]Tablas!#REF!</definedName>
    <definedName name="VRP1_1_1" localSheetId="18">[12]Tablas!#REF!</definedName>
    <definedName name="VRP1_1_1" localSheetId="1">[12]Tablas!#REF!</definedName>
    <definedName name="VRP1_1_1">[12]Tablas!#REF!</definedName>
    <definedName name="VRP1_1_10" localSheetId="18">[12]Tablas!#REF!</definedName>
    <definedName name="VRP1_1_10" localSheetId="1">[12]Tablas!#REF!</definedName>
    <definedName name="VRP1_1_10">[12]Tablas!#REF!</definedName>
    <definedName name="VRP1_1_11" localSheetId="18">[12]Tablas!#REF!</definedName>
    <definedName name="VRP1_1_11" localSheetId="1">[12]Tablas!#REF!</definedName>
    <definedName name="VRP1_1_11">[12]Tablas!#REF!</definedName>
    <definedName name="VRP1_1_12" localSheetId="18">[12]Tablas!#REF!</definedName>
    <definedName name="VRP1_1_12" localSheetId="1">[12]Tablas!#REF!</definedName>
    <definedName name="VRP1_1_12">[12]Tablas!#REF!</definedName>
    <definedName name="VRP1_1_13" localSheetId="18">[12]Tablas!#REF!</definedName>
    <definedName name="VRP1_1_13" localSheetId="1">[12]Tablas!#REF!</definedName>
    <definedName name="VRP1_1_13">[12]Tablas!#REF!</definedName>
    <definedName name="VRP1_1_14" localSheetId="18">[12]Tablas!#REF!</definedName>
    <definedName name="VRP1_1_14" localSheetId="1">[12]Tablas!#REF!</definedName>
    <definedName name="VRP1_1_14">[12]Tablas!#REF!</definedName>
    <definedName name="VRP1_1_15" localSheetId="18">[12]Tablas!#REF!</definedName>
    <definedName name="VRP1_1_15" localSheetId="1">[12]Tablas!#REF!</definedName>
    <definedName name="VRP1_1_15">[12]Tablas!#REF!</definedName>
    <definedName name="VRP1_1_16" localSheetId="18">[12]Tablas!#REF!</definedName>
    <definedName name="VRP1_1_16" localSheetId="1">[12]Tablas!#REF!</definedName>
    <definedName name="VRP1_1_16">[12]Tablas!#REF!</definedName>
    <definedName name="VRP1_1_17" localSheetId="18">[12]Tablas!#REF!</definedName>
    <definedName name="VRP1_1_17" localSheetId="1">[12]Tablas!#REF!</definedName>
    <definedName name="VRP1_1_17">[12]Tablas!#REF!</definedName>
    <definedName name="VRP1_1_18" localSheetId="18">[12]Tablas!#REF!</definedName>
    <definedName name="VRP1_1_18" localSheetId="1">[12]Tablas!#REF!</definedName>
    <definedName name="VRP1_1_18">[12]Tablas!#REF!</definedName>
    <definedName name="VRP1_1_19" localSheetId="18">[12]Tablas!#REF!</definedName>
    <definedName name="VRP1_1_19" localSheetId="1">[12]Tablas!#REF!</definedName>
    <definedName name="VRP1_1_19">[12]Tablas!#REF!</definedName>
    <definedName name="VRP1_1_2" localSheetId="18">[12]Tablas!#REF!</definedName>
    <definedName name="VRP1_1_2" localSheetId="1">[12]Tablas!#REF!</definedName>
    <definedName name="VRP1_1_2">[12]Tablas!#REF!</definedName>
    <definedName name="VRP1_1_20" localSheetId="18">[12]Tablas!#REF!</definedName>
    <definedName name="VRP1_1_20" localSheetId="1">[12]Tablas!#REF!</definedName>
    <definedName name="VRP1_1_20">[12]Tablas!#REF!</definedName>
    <definedName name="VRP1_1_21" localSheetId="18">[12]Tablas!#REF!</definedName>
    <definedName name="VRP1_1_21" localSheetId="1">[12]Tablas!#REF!</definedName>
    <definedName name="VRP1_1_21">[12]Tablas!#REF!</definedName>
    <definedName name="VRP1_1_22" localSheetId="18">[12]Tablas!#REF!</definedName>
    <definedName name="VRP1_1_22" localSheetId="1">[12]Tablas!#REF!</definedName>
    <definedName name="VRP1_1_22">[12]Tablas!#REF!</definedName>
    <definedName name="VRP1_1_23" localSheetId="18">[12]Tablas!#REF!</definedName>
    <definedName name="VRP1_1_23" localSheetId="1">[12]Tablas!#REF!</definedName>
    <definedName name="VRP1_1_23">[12]Tablas!#REF!</definedName>
    <definedName name="VRP1_1_3" localSheetId="18">[12]Tablas!#REF!</definedName>
    <definedName name="VRP1_1_3" localSheetId="1">[12]Tablas!#REF!</definedName>
    <definedName name="VRP1_1_3">[12]Tablas!#REF!</definedName>
    <definedName name="VRP1_1_4" localSheetId="18">[12]Tablas!#REF!</definedName>
    <definedName name="VRP1_1_4" localSheetId="1">[12]Tablas!#REF!</definedName>
    <definedName name="VRP1_1_4">[12]Tablas!#REF!</definedName>
    <definedName name="VRP1_1_5" localSheetId="18">[12]Tablas!#REF!</definedName>
    <definedName name="VRP1_1_5" localSheetId="1">[12]Tablas!#REF!</definedName>
    <definedName name="VRP1_1_5">[12]Tablas!#REF!</definedName>
    <definedName name="VRP1_1_6" localSheetId="18">[12]Tablas!#REF!</definedName>
    <definedName name="VRP1_1_6" localSheetId="1">[12]Tablas!#REF!</definedName>
    <definedName name="VRP1_1_6">[12]Tablas!#REF!</definedName>
    <definedName name="VRP1_1_7" localSheetId="18">[12]Tablas!#REF!</definedName>
    <definedName name="VRP1_1_7" localSheetId="1">[12]Tablas!#REF!</definedName>
    <definedName name="VRP1_1_7">[12]Tablas!#REF!</definedName>
    <definedName name="VRP1_1_8" localSheetId="18">[12]Tablas!#REF!</definedName>
    <definedName name="VRP1_1_8" localSheetId="1">[12]Tablas!#REF!</definedName>
    <definedName name="VRP1_1_8">[12]Tablas!#REF!</definedName>
    <definedName name="VRP1_1_9" localSheetId="18">[12]Tablas!#REF!</definedName>
    <definedName name="VRP1_1_9" localSheetId="1">[12]Tablas!#REF!</definedName>
    <definedName name="VRP1_1_9">[12]Tablas!#REF!</definedName>
    <definedName name="VRP1_2" localSheetId="18">[12]Tablas!#REF!</definedName>
    <definedName name="VRP1_2" localSheetId="1">[12]Tablas!#REF!</definedName>
    <definedName name="VRP1_2">[12]Tablas!#REF!</definedName>
    <definedName name="VRP1_3" localSheetId="18">[12]Tablas!#REF!</definedName>
    <definedName name="VRP1_3" localSheetId="1">[12]Tablas!#REF!</definedName>
    <definedName name="VRP1_3">[12]Tablas!#REF!</definedName>
    <definedName name="VRP1_4" localSheetId="18">[12]Tablas!#REF!</definedName>
    <definedName name="VRP1_4" localSheetId="1">[12]Tablas!#REF!</definedName>
    <definedName name="VRP1_4">[12]Tablas!#REF!</definedName>
    <definedName name="vsdfj" hidden="1">{"via1",#N/A,TRUE,"general";"via2",#N/A,TRUE,"general";"via3",#N/A,TRUE,"general"}</definedName>
    <definedName name="VSM" localSheetId="18">[12]Tablas!#REF!</definedName>
    <definedName name="VSM" localSheetId="1">[12]Tablas!#REF!</definedName>
    <definedName name="VSM">[12]Tablas!#REF!</definedName>
    <definedName name="VSM1_1" localSheetId="18">[12]Tablas!#REF!</definedName>
    <definedName name="VSM1_1" localSheetId="1">[12]Tablas!#REF!</definedName>
    <definedName name="VSM1_1">[12]Tablas!#REF!</definedName>
    <definedName name="VSM1_1_1" localSheetId="18">[12]Tablas!#REF!</definedName>
    <definedName name="VSM1_1_1" localSheetId="1">[12]Tablas!#REF!</definedName>
    <definedName name="VSM1_1_1">[12]Tablas!#REF!</definedName>
    <definedName name="VSM1_1_2" localSheetId="18">[12]Tablas!#REF!</definedName>
    <definedName name="VSM1_1_2" localSheetId="1">[12]Tablas!#REF!</definedName>
    <definedName name="VSM1_1_2">[12]Tablas!#REF!</definedName>
    <definedName name="VSM1_1_3" localSheetId="18">[12]Tablas!#REF!</definedName>
    <definedName name="VSM1_1_3" localSheetId="1">[12]Tablas!#REF!</definedName>
    <definedName name="VSM1_1_3">[12]Tablas!#REF!</definedName>
    <definedName name="VSM1_1_4" localSheetId="18">[12]Tablas!#REF!</definedName>
    <definedName name="VSM1_1_4" localSheetId="1">[12]Tablas!#REF!</definedName>
    <definedName name="VSM1_1_4">[12]Tablas!#REF!</definedName>
    <definedName name="VSM1_1_5" localSheetId="18">[12]Tablas!#REF!</definedName>
    <definedName name="VSM1_1_5" localSheetId="1">[12]Tablas!#REF!</definedName>
    <definedName name="VSM1_1_5">[12]Tablas!#REF!</definedName>
    <definedName name="VSM1_2" localSheetId="18">[12]Tablas!#REF!</definedName>
    <definedName name="VSM1_2" localSheetId="1">[12]Tablas!#REF!</definedName>
    <definedName name="VSM1_2">[12]Tablas!#REF!</definedName>
    <definedName name="VSM1_3" localSheetId="18">[12]Tablas!#REF!</definedName>
    <definedName name="VSM1_3" localSheetId="1">[12]Tablas!#REF!</definedName>
    <definedName name="VSM1_3">[12]Tablas!#REF!</definedName>
    <definedName name="VSM1_4" localSheetId="18">[12]Tablas!#REF!</definedName>
    <definedName name="VSM1_4" localSheetId="1">[12]Tablas!#REF!</definedName>
    <definedName name="VSM1_4">[12]Tablas!#REF!</definedName>
    <definedName name="VSM1_5" localSheetId="18">[12]Tablas!#REF!</definedName>
    <definedName name="VSM1_5" localSheetId="1">[12]Tablas!#REF!</definedName>
    <definedName name="VSM1_5">[12]Tablas!#REF!</definedName>
    <definedName name="vsp" localSheetId="18">#REF!</definedName>
    <definedName name="vsp" localSheetId="1">#REF!</definedName>
    <definedName name="vsp">#REF!</definedName>
    <definedName name="vt" hidden="1">{"via1",#N/A,TRUE,"general";"via2",#N/A,TRUE,"general";"via3",#N/A,TRUE,"general"}</definedName>
    <definedName name="vutil" localSheetId="18">#REF!</definedName>
    <definedName name="vutil" localSheetId="1">#REF!</definedName>
    <definedName name="vutil">#REF!</definedName>
    <definedName name="vvcxv" hidden="1">{"TAB1",#N/A,TRUE,"GENERAL";"TAB2",#N/A,TRUE,"GENERAL";"TAB3",#N/A,TRUE,"GENERAL";"TAB4",#N/A,TRUE,"GENERAL";"TAB5",#N/A,TRUE,"GENERAL"}</definedName>
    <definedName name="Vvkmh" localSheetId="18">#REF!</definedName>
    <definedName name="Vvkmh" localSheetId="1">#REF!</definedName>
    <definedName name="Vvkmh">#REF!</definedName>
    <definedName name="Vvmph" localSheetId="18">#REF!</definedName>
    <definedName name="Vvmph" localSheetId="1">#REF!</definedName>
    <definedName name="Vvmph">#REF!</definedName>
    <definedName name="VVV" localSheetId="18">#REF!</definedName>
    <definedName name="VVV" localSheetId="32">#REF!</definedName>
    <definedName name="VVV" localSheetId="40">#REF!</definedName>
    <definedName name="VVV" localSheetId="41">#REF!</definedName>
    <definedName name="VVV" localSheetId="43">#REF!</definedName>
    <definedName name="VVV" localSheetId="64">#REF!</definedName>
    <definedName name="VVV" localSheetId="1">#REF!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18">#REF!</definedName>
    <definedName name="WAGE_RATE" localSheetId="1">#REF!</definedName>
    <definedName name="WAGE_RATE">#REF!</definedName>
    <definedName name="Wage0100" localSheetId="18">#REF!</definedName>
    <definedName name="Wage0100" localSheetId="1">#REF!</definedName>
    <definedName name="Wage0100">#REF!</definedName>
    <definedName name="Wage0200" localSheetId="18">#REF!</definedName>
    <definedName name="Wage0200" localSheetId="1">#REF!</definedName>
    <definedName name="Wage0200">#REF!</definedName>
    <definedName name="WBS" localSheetId="18">'[109]2004'!#REF!</definedName>
    <definedName name="WBS" localSheetId="1">'[109]2004'!#REF!</definedName>
    <definedName name="WBS">'[109]2004'!#REF!</definedName>
    <definedName name="Wcut" localSheetId="18">#REF!</definedName>
    <definedName name="Wcut" localSheetId="1">#REF!</definedName>
    <definedName name="Wcut">#REF!</definedName>
    <definedName name="WD" localSheetId="18">#REF!</definedName>
    <definedName name="WD" localSheetId="1">#REF!</definedName>
    <definedName name="WD">#REF!</definedName>
    <definedName name="WDD" hidden="1">{#N/A,#N/A,FALSE,"orthoflow";#N/A,#N/A,FALSE,"Miscelaneos";#N/A,#N/A,FALSE,"Instrumentacio";#N/A,#N/A,FALSE,"Electrico";#N/A,#N/A,FALSE,"Valv. Seguridad"}</definedName>
    <definedName name="WDFSDF" localSheetId="18">'[38]Res-Accide-10'!#REF!</definedName>
    <definedName name="WDFSDF" localSheetId="32">'[38]Res-Accide-10'!#REF!</definedName>
    <definedName name="WDFSDF" localSheetId="40">'[38]Res-Accide-10'!#REF!</definedName>
    <definedName name="WDFSDF" localSheetId="41">'[38]Res-Accide-10'!#REF!</definedName>
    <definedName name="WDFSDF" localSheetId="43">'[38]Res-Accide-10'!#REF!</definedName>
    <definedName name="WDFSDF" localSheetId="64">'[38]Res-Accide-10'!#REF!</definedName>
    <definedName name="WDFSDF" localSheetId="1">'[38]Res-Accide-10'!#REF!</definedName>
    <definedName name="WDFSDF" localSheetId="2">'[38]Res-Accide-10'!#REF!</definedName>
    <definedName name="WDFSDF">'[38]Res-Accide-10'!#REF!</definedName>
    <definedName name="wedw" localSheetId="18">#REF!</definedName>
    <definedName name="wedw" localSheetId="1">#REF!</definedName>
    <definedName name="wedw">#REF!</definedName>
    <definedName name="WEFWE" localSheetId="18">'[38]Res-Accide-10'!#REF!</definedName>
    <definedName name="WEFWE" localSheetId="32">'[38]Res-Accide-10'!#REF!</definedName>
    <definedName name="WEFWE" localSheetId="40">'[38]Res-Accide-10'!#REF!</definedName>
    <definedName name="WEFWE" localSheetId="41">'[38]Res-Accide-10'!#REF!</definedName>
    <definedName name="WEFWE" localSheetId="43">'[38]Res-Accide-10'!#REF!</definedName>
    <definedName name="WEFWE" localSheetId="64">'[38]Res-Accide-10'!#REF!</definedName>
    <definedName name="WEFWE" localSheetId="1">'[38]Res-Accide-10'!#REF!</definedName>
    <definedName name="WEFWE" localSheetId="2">'[38]Res-Accide-10'!#REF!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8">'[38]Res-Accide-10'!#REF!</definedName>
    <definedName name="WILSON" localSheetId="32">'[38]Res-Accide-10'!#REF!</definedName>
    <definedName name="WILSON" localSheetId="40">'[38]Res-Accide-10'!#REF!</definedName>
    <definedName name="WILSON" localSheetId="41">'[38]Res-Accide-10'!#REF!</definedName>
    <definedName name="WILSON" localSheetId="43">'[38]Res-Accide-10'!#REF!</definedName>
    <definedName name="WILSON" localSheetId="64">'[38]Res-Accide-10'!#REF!</definedName>
    <definedName name="WILSON" localSheetId="1">'[38]Res-Accide-10'!#REF!</definedName>
    <definedName name="WILSON" localSheetId="2">'[38]Res-Accide-10'!#REF!</definedName>
    <definedName name="WILSON">'[38]Res-Accide-10'!#REF!</definedName>
    <definedName name="WQ" localSheetId="18">#REF!</definedName>
    <definedName name="WQ" localSheetId="1">#REF!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18">#REF!</definedName>
    <definedName name="WSX" localSheetId="1">#REF!</definedName>
    <definedName name="WSX">#REF!</definedName>
    <definedName name="Wtot" localSheetId="18">#REF!</definedName>
    <definedName name="Wtot" localSheetId="1">#REF!</definedName>
    <definedName name="Wtot">#REF!</definedName>
    <definedName name="wtt" hidden="1">{"TAB1",#N/A,TRUE,"GENERAL";"TAB2",#N/A,TRUE,"GENERAL";"TAB3",#N/A,TRUE,"GENERAL";"TAB4",#N/A,TRUE,"GENERAL";"TAB5",#N/A,TRUE,"GENERAL"}</definedName>
    <definedName name="WW" localSheetId="18">[1]LIQUIDACION!#REF!</definedName>
    <definedName name="WW" localSheetId="1">[1]LIQUIDACION!#REF!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18">#REF!</definedName>
    <definedName name="x" localSheetId="1">#REF!</definedName>
    <definedName name="x">#REF!</definedName>
    <definedName name="xcbvbs" hidden="1">{"TAB1",#N/A,TRUE,"GENERAL";"TAB2",#N/A,TRUE,"GENERAL";"TAB3",#N/A,TRUE,"GENERAL";"TAB4",#N/A,TRUE,"GENERAL";"TAB5",#N/A,TRUE,"GENERAL"}</definedName>
    <definedName name="XD" localSheetId="18">#REF!</definedName>
    <definedName name="XD" localSheetId="1">#REF!</definedName>
    <definedName name="XD">#REF!</definedName>
    <definedName name="XSW" hidden="1">{#N/A,#N/A,TRUE,"1842CWN0"}</definedName>
    <definedName name="xsxs" hidden="1">{"TAB1",#N/A,TRUE,"GENERAL";"TAB2",#N/A,TRUE,"GENERAL";"TAB3",#N/A,TRUE,"GENERAL";"TAB4",#N/A,TRUE,"GENERAL";"TAB5",#N/A,TRUE,"GENERAL"}</definedName>
    <definedName name="XX" localSheetId="18">#REF!</definedName>
    <definedName name="XX" localSheetId="29">#REF!</definedName>
    <definedName name="XX" localSheetId="32">#REF!</definedName>
    <definedName name="XX" localSheetId="40">#REF!</definedName>
    <definedName name="XX" localSheetId="41">#REF!</definedName>
    <definedName name="XX" localSheetId="43">#REF!</definedName>
    <definedName name="XX" localSheetId="56">#REF!</definedName>
    <definedName name="XX" localSheetId="64">#REF!</definedName>
    <definedName name="XX" localSheetId="1">#REF!</definedName>
    <definedName name="XX" localSheetId="2">#REF!</definedName>
    <definedName name="XX">#REF!</definedName>
    <definedName name="xxfg" hidden="1">{"via1",#N/A,TRUE,"general";"via2",#N/A,TRUE,"general";"via3",#N/A,TRUE,"general"}</definedName>
    <definedName name="XXXX" localSheetId="18" hidden="1">#REF!</definedName>
    <definedName name="XXXX" localSheetId="1" hidden="1">#REF!</definedName>
    <definedName name="XXXX" hidden="1">#REF!</definedName>
    <definedName name="xxxxx" localSheetId="18">[110]!absc</definedName>
    <definedName name="xxxxx" localSheetId="32">[110]!absc</definedName>
    <definedName name="xxxxx" localSheetId="40">[110]!absc</definedName>
    <definedName name="xxxxx" localSheetId="41">[110]!absc</definedName>
    <definedName name="xxxxx" localSheetId="43">[110]!absc</definedName>
    <definedName name="xxxxx" localSheetId="64">[110]!absc</definedName>
    <definedName name="xxxxx" localSheetId="1">[110]!absc</definedName>
    <definedName name="xxxxx" localSheetId="2">[110]!absc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8">#REF!</definedName>
    <definedName name="XXXXXXXXXX" localSheetId="32">#REF!</definedName>
    <definedName name="XXXXXXXXXX" localSheetId="40">#REF!</definedName>
    <definedName name="XXXXXXXXXX" localSheetId="41">#REF!</definedName>
    <definedName name="XXXXXXXXXX" localSheetId="43">#REF!</definedName>
    <definedName name="XXXXXXXXXX" localSheetId="64">#REF!</definedName>
    <definedName name="XXXXXXXXXX" localSheetId="1">#REF!</definedName>
    <definedName name="XXXXXXXXXX" localSheetId="2">#REF!</definedName>
    <definedName name="XXXXXXXXXX">#REF!</definedName>
    <definedName name="xxxxxxxxxx29" hidden="1">{"via1",#N/A,TRUE,"general";"via2",#N/A,TRUE,"general";"via3",#N/A,TRUE,"general"}</definedName>
    <definedName name="XXXXXXXXXXXX" localSheetId="18">#REF!</definedName>
    <definedName name="XXXXXXXXXXXX" localSheetId="32">#REF!</definedName>
    <definedName name="XXXXXXXXXXXX" localSheetId="40">#REF!</definedName>
    <definedName name="XXXXXXXXXXXX" localSheetId="41">#REF!</definedName>
    <definedName name="XXXXXXXXXXXX" localSheetId="43">#REF!</definedName>
    <definedName name="XXXXXXXXXXXX" localSheetId="64">#REF!</definedName>
    <definedName name="XXXXXXXXXXXX" localSheetId="1">#REF!</definedName>
    <definedName name="XXXXXXXXXXXX" localSheetId="2">#REF!</definedName>
    <definedName name="XXXXXXXXXXXX">#REF!</definedName>
    <definedName name="XZS" localSheetId="18" hidden="1">#REF!</definedName>
    <definedName name="XZS" localSheetId="1" hidden="1">#REF!</definedName>
    <definedName name="XZS" hidden="1">#REF!</definedName>
    <definedName name="XZXZV" hidden="1">{"via1",#N/A,TRUE,"general";"via2",#N/A,TRUE,"general";"via3",#N/A,TRUE,"general"}</definedName>
    <definedName name="Y" localSheetId="18">[27]!absc</definedName>
    <definedName name="Y" localSheetId="32">[27]!absc</definedName>
    <definedName name="Y" localSheetId="40">[27]!absc</definedName>
    <definedName name="Y" localSheetId="41">[27]!absc</definedName>
    <definedName name="Y" localSheetId="43">[27]!absc</definedName>
    <definedName name="Y" localSheetId="64">[27]!absc</definedName>
    <definedName name="Y" localSheetId="1">[27]!absc</definedName>
    <definedName name="Y" localSheetId="2">[27]!absc</definedName>
    <definedName name="Y">[27]!absc</definedName>
    <definedName name="y6y6" hidden="1">{"via1",#N/A,TRUE,"general";"via2",#N/A,TRUE,"general";"via3",#N/A,TRUE,"general"}</definedName>
    <definedName name="YA" localSheetId="18">#REF!</definedName>
    <definedName name="YA" localSheetId="32">#REF!</definedName>
    <definedName name="YA" localSheetId="40">#REF!</definedName>
    <definedName name="YA" localSheetId="41">#REF!</definedName>
    <definedName name="YA" localSheetId="43">#REF!</definedName>
    <definedName name="YA" localSheetId="64">#REF!</definedName>
    <definedName name="YA" localSheetId="1">#REF!</definedName>
    <definedName name="YA" localSheetId="2">#REF!</definedName>
    <definedName name="YA">#REF!</definedName>
    <definedName name="yery" hidden="1">{"via1",#N/A,TRUE,"general";"via2",#N/A,TRUE,"general";"via3",#N/A,TRUE,"general"}</definedName>
    <definedName name="YHN" localSheetId="18">#REF!</definedName>
    <definedName name="YHN" localSheetId="1">#REF!</definedName>
    <definedName name="YHN">#REF!</definedName>
    <definedName name="yhy" hidden="1">{"TAB1",#N/A,TRUE,"GENERAL";"TAB2",#N/A,TRUE,"GENERAL";"TAB3",#N/A,TRUE,"GENERAL";"TAB4",#N/A,TRUE,"GENERAL";"TAB5",#N/A,TRUE,"GENERAL"}</definedName>
    <definedName name="YJ" localSheetId="18">#REF!</definedName>
    <definedName name="YJ" localSheetId="1">#REF!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18">#REF!</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18">#REF!</definedName>
    <definedName name="ZDF" localSheetId="32">#REF!</definedName>
    <definedName name="ZDF" localSheetId="40">#REF!</definedName>
    <definedName name="ZDF" localSheetId="41">#REF!</definedName>
    <definedName name="ZDF" localSheetId="43">#REF!</definedName>
    <definedName name="ZDF" localSheetId="64">#REF!</definedName>
    <definedName name="ZDF" localSheetId="1">#REF!</definedName>
    <definedName name="ZDF" localSheetId="2">#REF!</definedName>
    <definedName name="ZDF">#REF!</definedName>
    <definedName name="ZONA1" localSheetId="18">#REF!</definedName>
    <definedName name="ZONA1" localSheetId="1">#REF!</definedName>
    <definedName name="ZONA1">#REF!</definedName>
    <definedName name="ZONA3" localSheetId="18">#REF!</definedName>
    <definedName name="ZONA3" localSheetId="1">#REF!</definedName>
    <definedName name="ZONA3">#REF!</definedName>
    <definedName name="ZONA4" localSheetId="18">#REF!</definedName>
    <definedName name="ZONA4" localSheetId="1">#REF!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8">'[52]A. P. U.'!#REF!</definedName>
    <definedName name="ZZZZZZZZZZZ" localSheetId="32">'[52]A. P. U.'!#REF!</definedName>
    <definedName name="ZZZZZZZZZZZ" localSheetId="40">'[52]A. P. U.'!#REF!</definedName>
    <definedName name="ZZZZZZZZZZZ" localSheetId="41">'[52]A. P. U.'!#REF!</definedName>
    <definedName name="ZZZZZZZZZZZ" localSheetId="43">'[52]A. P. U.'!#REF!</definedName>
    <definedName name="ZZZZZZZZZZZ" localSheetId="64">'[52]A. P. U.'!#REF!</definedName>
    <definedName name="ZZZZZZZZZZZ" localSheetId="1">'[52]A. P. U.'!#REF!</definedName>
    <definedName name="ZZZZZZZZZZZ" localSheetId="2">'[52]A. P. U.'!#REF!</definedName>
    <definedName name="ZZZZZZZZZZZ">'[52]A. P. U.'!#REF!</definedName>
  </definedNames>
  <calcPr calcId="152511" concurrentCalc="0"/>
</workbook>
</file>

<file path=xl/calcChain.xml><?xml version="1.0" encoding="utf-8"?>
<calcChain xmlns="http://schemas.openxmlformats.org/spreadsheetml/2006/main">
  <c r="J55" i="486" l="1"/>
  <c r="K55" i="486"/>
  <c r="L55" i="486"/>
  <c r="N55" i="486"/>
  <c r="L48" i="486"/>
  <c r="O55" i="486"/>
  <c r="J62" i="486"/>
  <c r="I62" i="486"/>
  <c r="K62" i="486"/>
  <c r="N62" i="486"/>
  <c r="J63" i="486"/>
  <c r="I63" i="486"/>
  <c r="K63" i="486"/>
  <c r="N63" i="486"/>
  <c r="J64" i="486"/>
  <c r="I64" i="486"/>
  <c r="K64" i="486"/>
  <c r="N64" i="486"/>
  <c r="J65" i="486"/>
  <c r="I65" i="486"/>
  <c r="K65" i="486"/>
  <c r="N65" i="486"/>
  <c r="N66" i="486"/>
  <c r="N57" i="486"/>
  <c r="N48" i="486"/>
  <c r="N50" i="486"/>
  <c r="K39" i="486"/>
  <c r="N39" i="486"/>
  <c r="K40" i="486"/>
  <c r="N40" i="486"/>
  <c r="K41" i="486"/>
  <c r="N41" i="486"/>
  <c r="N42" i="486"/>
  <c r="N43" i="486"/>
  <c r="N68" i="486"/>
  <c r="K73" i="486"/>
  <c r="L73" i="486"/>
  <c r="K74" i="486"/>
  <c r="L74" i="486"/>
  <c r="K75" i="486"/>
  <c r="L75" i="486"/>
  <c r="N76" i="486"/>
  <c r="N78" i="486"/>
  <c r="B34" i="486"/>
  <c r="N34" i="486"/>
  <c r="L34" i="486"/>
  <c r="C34" i="486"/>
  <c r="G29" i="486"/>
  <c r="E27" i="486"/>
  <c r="D25" i="486"/>
  <c r="D23" i="486"/>
  <c r="D20" i="486"/>
  <c r="H19" i="486"/>
  <c r="D19" i="486"/>
  <c r="J13" i="486"/>
  <c r="D13" i="486"/>
  <c r="N11" i="486"/>
  <c r="M11" i="486"/>
  <c r="L11" i="486"/>
  <c r="C6" i="486"/>
  <c r="J54" i="485"/>
  <c r="K54" i="485"/>
  <c r="L54" i="485"/>
  <c r="N54" i="485"/>
  <c r="L47" i="485"/>
  <c r="O54" i="485"/>
  <c r="J61" i="485"/>
  <c r="I61" i="485"/>
  <c r="K61" i="485"/>
  <c r="L61" i="485"/>
  <c r="N61" i="485"/>
  <c r="N65" i="485"/>
  <c r="N56" i="485"/>
  <c r="N47" i="485"/>
  <c r="L48" i="485"/>
  <c r="N48" i="485"/>
  <c r="N49" i="485"/>
  <c r="K39" i="485"/>
  <c r="N39" i="485"/>
  <c r="N40" i="485"/>
  <c r="N42" i="485"/>
  <c r="N67" i="485"/>
  <c r="K72" i="485"/>
  <c r="L72" i="485"/>
  <c r="K73" i="485"/>
  <c r="L73" i="485"/>
  <c r="K74" i="485"/>
  <c r="L74" i="485"/>
  <c r="N75" i="485"/>
  <c r="N77" i="485"/>
  <c r="B34" i="485"/>
  <c r="N34" i="485"/>
  <c r="L34" i="485"/>
  <c r="C34" i="485"/>
  <c r="G29" i="485"/>
  <c r="E27" i="485"/>
  <c r="D25" i="485"/>
  <c r="D23" i="485"/>
  <c r="D20" i="485"/>
  <c r="H19" i="485"/>
  <c r="D19" i="485"/>
  <c r="J13" i="485"/>
  <c r="D13" i="485"/>
  <c r="N11" i="485"/>
  <c r="M11" i="485"/>
  <c r="L11" i="485"/>
  <c r="C6" i="485"/>
  <c r="L55" i="481"/>
  <c r="J54" i="484"/>
  <c r="K54" i="484"/>
  <c r="L54" i="484"/>
  <c r="N54" i="484"/>
  <c r="L47" i="484"/>
  <c r="O54" i="484"/>
  <c r="J61" i="484"/>
  <c r="I61" i="484"/>
  <c r="K61" i="484"/>
  <c r="L61" i="484"/>
  <c r="N61" i="484"/>
  <c r="N65" i="484"/>
  <c r="N56" i="484"/>
  <c r="N47" i="484"/>
  <c r="N49" i="484"/>
  <c r="K39" i="484"/>
  <c r="N39" i="484"/>
  <c r="K40" i="484"/>
  <c r="N40" i="484"/>
  <c r="K41" i="484"/>
  <c r="N41" i="484"/>
  <c r="N42" i="484"/>
  <c r="N67" i="484"/>
  <c r="K72" i="484"/>
  <c r="L72" i="484"/>
  <c r="K73" i="484"/>
  <c r="L73" i="484"/>
  <c r="K74" i="484"/>
  <c r="L74" i="484"/>
  <c r="N75" i="484"/>
  <c r="N77" i="484"/>
  <c r="B34" i="484"/>
  <c r="N34" i="484"/>
  <c r="L34" i="484"/>
  <c r="C34" i="484"/>
  <c r="G29" i="484"/>
  <c r="E27" i="484"/>
  <c r="D25" i="484"/>
  <c r="D23" i="484"/>
  <c r="D20" i="484"/>
  <c r="H19" i="484"/>
  <c r="D19" i="484"/>
  <c r="J13" i="484"/>
  <c r="D13" i="484"/>
  <c r="N11" i="484"/>
  <c r="M11" i="484"/>
  <c r="L11" i="484"/>
  <c r="C6" i="484"/>
  <c r="J55" i="481"/>
  <c r="K55" i="481"/>
  <c r="N55" i="481"/>
  <c r="L48" i="481"/>
  <c r="O55" i="481"/>
  <c r="J62" i="481"/>
  <c r="I62" i="481"/>
  <c r="K62" i="481"/>
  <c r="L62" i="481"/>
  <c r="N62" i="481"/>
  <c r="N66" i="481"/>
  <c r="N57" i="481"/>
  <c r="N48" i="481"/>
  <c r="N50" i="481"/>
  <c r="K39" i="481"/>
  <c r="N39" i="481"/>
  <c r="K40" i="481"/>
  <c r="N40" i="481"/>
  <c r="K41" i="481"/>
  <c r="N41" i="481"/>
  <c r="K42" i="481"/>
  <c r="N42" i="481"/>
  <c r="N43" i="481"/>
  <c r="N68" i="481"/>
  <c r="K73" i="481"/>
  <c r="L73" i="481"/>
  <c r="K74" i="481"/>
  <c r="L74" i="481"/>
  <c r="K75" i="481"/>
  <c r="L75" i="481"/>
  <c r="N76" i="481"/>
  <c r="N78" i="481"/>
  <c r="B34" i="481"/>
  <c r="N34" i="481"/>
  <c r="L34" i="481"/>
  <c r="C34" i="481"/>
  <c r="G29" i="481"/>
  <c r="E27" i="481"/>
  <c r="D25" i="481"/>
  <c r="D23" i="481"/>
  <c r="D20" i="481"/>
  <c r="H19" i="481"/>
  <c r="D19" i="481"/>
  <c r="J13" i="481"/>
  <c r="D13" i="481"/>
  <c r="N11" i="481"/>
  <c r="M11" i="481"/>
  <c r="L11" i="481"/>
  <c r="C6" i="481"/>
  <c r="K88" i="476"/>
  <c r="I58" i="476"/>
  <c r="I55" i="476"/>
  <c r="I45" i="476"/>
  <c r="N81" i="476"/>
  <c r="C18" i="476"/>
  <c r="C19" i="476"/>
  <c r="J83" i="476"/>
  <c r="L48" i="478"/>
  <c r="N48" i="478"/>
  <c r="N53" i="478"/>
  <c r="B34" i="478"/>
  <c r="L34" i="478"/>
  <c r="K78" i="478"/>
  <c r="K77" i="478"/>
  <c r="K76" i="478"/>
  <c r="N69" i="478"/>
  <c r="N60" i="478"/>
  <c r="N43" i="478"/>
  <c r="G29" i="478"/>
  <c r="E27" i="478"/>
  <c r="D25" i="478"/>
  <c r="D23" i="478"/>
  <c r="D20" i="478"/>
  <c r="H19" i="478"/>
  <c r="D19" i="478"/>
  <c r="J13" i="478"/>
  <c r="D13" i="478"/>
  <c r="N11" i="478"/>
  <c r="M11" i="478"/>
  <c r="L11" i="478"/>
  <c r="C6" i="478"/>
  <c r="N71" i="478"/>
  <c r="C34" i="478"/>
  <c r="L77" i="478"/>
  <c r="L78" i="478"/>
  <c r="L76" i="478"/>
  <c r="R100" i="476"/>
  <c r="S99" i="476"/>
  <c r="C81" i="476"/>
  <c r="C82" i="476"/>
  <c r="C83" i="476"/>
  <c r="C78" i="476"/>
  <c r="C77" i="476"/>
  <c r="C76" i="476"/>
  <c r="C75" i="476"/>
  <c r="C72" i="476"/>
  <c r="C69" i="476"/>
  <c r="C70" i="476"/>
  <c r="C71" i="476"/>
  <c r="C64" i="476"/>
  <c r="C65" i="476"/>
  <c r="C66" i="476"/>
  <c r="C62" i="476"/>
  <c r="C63" i="476"/>
  <c r="M57" i="476"/>
  <c r="C57" i="476"/>
  <c r="C58" i="476"/>
  <c r="C59" i="476"/>
  <c r="M56" i="476"/>
  <c r="C56" i="476"/>
  <c r="C55" i="476"/>
  <c r="M54" i="476"/>
  <c r="C54" i="476"/>
  <c r="C53" i="476"/>
  <c r="C52" i="476"/>
  <c r="C51" i="476"/>
  <c r="C50" i="476"/>
  <c r="C48" i="476"/>
  <c r="C49" i="476"/>
  <c r="C46" i="476"/>
  <c r="C47" i="476"/>
  <c r="M45" i="476"/>
  <c r="C45" i="476"/>
  <c r="C44" i="476"/>
  <c r="C43" i="476"/>
  <c r="C36" i="476"/>
  <c r="C37" i="476"/>
  <c r="C35" i="476"/>
  <c r="C34" i="476"/>
  <c r="C33" i="476"/>
  <c r="C32" i="476"/>
  <c r="M30" i="476"/>
  <c r="C30" i="476"/>
  <c r="C31" i="476"/>
  <c r="C26" i="476"/>
  <c r="C27" i="476"/>
  <c r="M24" i="476"/>
  <c r="C24" i="476"/>
  <c r="C25" i="476"/>
  <c r="C23" i="476"/>
  <c r="C20" i="476"/>
  <c r="C17" i="476"/>
  <c r="C15" i="476"/>
  <c r="C16" i="476"/>
  <c r="C5" i="476"/>
  <c r="C41" i="476"/>
  <c r="C42" i="476"/>
  <c r="C38" i="476"/>
  <c r="N79" i="478"/>
  <c r="N81" i="478"/>
  <c r="C67" i="476"/>
  <c r="C68" i="476"/>
  <c r="I64" i="476"/>
  <c r="I65" i="476"/>
  <c r="I67" i="476"/>
  <c r="J19" i="476"/>
  <c r="I77" i="476"/>
  <c r="I20" i="476"/>
  <c r="I75" i="476"/>
  <c r="I76" i="476"/>
  <c r="I62" i="476"/>
  <c r="K92" i="476"/>
  <c r="I30" i="476"/>
  <c r="I14" i="476"/>
  <c r="I33" i="476"/>
  <c r="I23" i="476"/>
  <c r="M23" i="476"/>
  <c r="I16" i="476"/>
  <c r="I26" i="476"/>
  <c r="I17" i="476"/>
  <c r="M20" i="476"/>
  <c r="I19" i="476"/>
  <c r="M33" i="476"/>
  <c r="M26" i="476"/>
  <c r="I18" i="476"/>
  <c r="I82" i="476"/>
  <c r="K93" i="476"/>
  <c r="K94" i="476"/>
  <c r="I27" i="476"/>
  <c r="I83" i="476"/>
  <c r="K19" i="476"/>
  <c r="N34" i="478"/>
  <c r="M96" i="476"/>
  <c r="K83" i="476"/>
  <c r="M82" i="476"/>
  <c r="W50" i="450"/>
  <c r="W202" i="450"/>
  <c r="W199" i="450"/>
  <c r="W198" i="450"/>
  <c r="W195" i="450"/>
  <c r="W60" i="450"/>
  <c r="W61" i="450"/>
  <c r="W201" i="450"/>
  <c r="DI190" i="464"/>
  <c r="DI189" i="464"/>
  <c r="DI187" i="464"/>
  <c r="DI186" i="464"/>
  <c r="DI184" i="464"/>
  <c r="DI183" i="464"/>
  <c r="DI182" i="464"/>
  <c r="DI181" i="464"/>
  <c r="DI180" i="464"/>
  <c r="DI179" i="464"/>
  <c r="DI178" i="464"/>
  <c r="DI177" i="464"/>
  <c r="DI176" i="464"/>
  <c r="DI175" i="464"/>
  <c r="DI174" i="464"/>
  <c r="DI173" i="464"/>
  <c r="DI172" i="464"/>
  <c r="DI171" i="464"/>
  <c r="DI170" i="464"/>
  <c r="DI169" i="464"/>
  <c r="DI168" i="464"/>
  <c r="DI167" i="464"/>
  <c r="DI166" i="464"/>
  <c r="DI165" i="464"/>
  <c r="DI164" i="464"/>
  <c r="DI163" i="464"/>
  <c r="DI162" i="464"/>
  <c r="DI161" i="464"/>
  <c r="DI160" i="464"/>
  <c r="DI159" i="464"/>
  <c r="DI158" i="464"/>
  <c r="DI156" i="464"/>
  <c r="DI155" i="464"/>
  <c r="DI154" i="464"/>
  <c r="DI153" i="464"/>
  <c r="DI152" i="464"/>
  <c r="DI151" i="464"/>
  <c r="DI150" i="464"/>
  <c r="DI148" i="464"/>
  <c r="DI145" i="464"/>
  <c r="DI144" i="464"/>
  <c r="DI142" i="464"/>
  <c r="DI141" i="464"/>
  <c r="DI140" i="464"/>
  <c r="DI139" i="464"/>
  <c r="DI138" i="464"/>
  <c r="DI137" i="464"/>
  <c r="DI136" i="464"/>
  <c r="DI135" i="464"/>
  <c r="DI134" i="464"/>
  <c r="DI133" i="464"/>
  <c r="DI132" i="464"/>
  <c r="DI131" i="464"/>
  <c r="DI130" i="464"/>
  <c r="DI129" i="464"/>
  <c r="DI128" i="464"/>
  <c r="DI127" i="464"/>
  <c r="DI126" i="464"/>
  <c r="DI125" i="464"/>
  <c r="DI118" i="464"/>
  <c r="DI117" i="464"/>
  <c r="DI116" i="464"/>
  <c r="DI115" i="464"/>
  <c r="DI114" i="464"/>
  <c r="DI112" i="464"/>
  <c r="DI110" i="464"/>
  <c r="DI109" i="464"/>
  <c r="DI108" i="464"/>
  <c r="DI107" i="464"/>
  <c r="DI106" i="464"/>
  <c r="DI105" i="464"/>
  <c r="DI104" i="464"/>
  <c r="DI98" i="464"/>
  <c r="DI97" i="464"/>
  <c r="DI96" i="464"/>
  <c r="DI95" i="464"/>
  <c r="DI94" i="464"/>
  <c r="DI91" i="464"/>
  <c r="DI89" i="464"/>
  <c r="DI88" i="464"/>
  <c r="DI86" i="464"/>
  <c r="DI84" i="464"/>
  <c r="DI83" i="464"/>
  <c r="DI80" i="464"/>
  <c r="DI79" i="464"/>
  <c r="DI78" i="464"/>
  <c r="DI77" i="464"/>
  <c r="DI76" i="464"/>
  <c r="DI75" i="464"/>
  <c r="DI73" i="464"/>
  <c r="DI71" i="464"/>
  <c r="DI70" i="464"/>
  <c r="DI67" i="464"/>
  <c r="DI66" i="464"/>
  <c r="DI64" i="464"/>
  <c r="DI63" i="464"/>
  <c r="DI60" i="464"/>
  <c r="DI57" i="464"/>
  <c r="DI56" i="464"/>
  <c r="DI55" i="464"/>
  <c r="DI54" i="464"/>
  <c r="DI52" i="464"/>
  <c r="DI51" i="464"/>
  <c r="DI50" i="464"/>
  <c r="DI49" i="464"/>
  <c r="DI48" i="464"/>
  <c r="DI47" i="464"/>
  <c r="DI46" i="464"/>
  <c r="DI45" i="464"/>
  <c r="DI44" i="464"/>
  <c r="DI43" i="464"/>
  <c r="DI42" i="464"/>
  <c r="DI41" i="464"/>
  <c r="DI40" i="464"/>
  <c r="DI39" i="464"/>
  <c r="DI38" i="464"/>
  <c r="DI37" i="464"/>
  <c r="DI36" i="464"/>
  <c r="DI35" i="464"/>
  <c r="AY93" i="464"/>
  <c r="AY84" i="464"/>
  <c r="AY83" i="464"/>
  <c r="AT93" i="464"/>
  <c r="AU93" i="464"/>
  <c r="AT84" i="464"/>
  <c r="AU84" i="464"/>
  <c r="AT83" i="464"/>
  <c r="AU83" i="464"/>
  <c r="AU159" i="464"/>
  <c r="AU160" i="464"/>
  <c r="AU161" i="464"/>
  <c r="AU162" i="464"/>
  <c r="AU163" i="464"/>
  <c r="AU164" i="464"/>
  <c r="AU165" i="464"/>
  <c r="AU166" i="464"/>
  <c r="AU167" i="464"/>
  <c r="AU168" i="464"/>
  <c r="AU169" i="464"/>
  <c r="AU170" i="464"/>
  <c r="AU171" i="464"/>
  <c r="AU172" i="464"/>
  <c r="AU173" i="464"/>
  <c r="AU174" i="464"/>
  <c r="AU175" i="464"/>
  <c r="AU176" i="464"/>
  <c r="AU177" i="464"/>
  <c r="AU178" i="464"/>
  <c r="AU179" i="464"/>
  <c r="AU180" i="464"/>
  <c r="AU181" i="464"/>
  <c r="AU182" i="464"/>
  <c r="AU183" i="464"/>
  <c r="AU184" i="464"/>
  <c r="AU185" i="464"/>
  <c r="AU186" i="464"/>
  <c r="AU187" i="464"/>
  <c r="AU188" i="464"/>
  <c r="AU189" i="464"/>
  <c r="AU190" i="464"/>
  <c r="AU191" i="464"/>
  <c r="AU158" i="464"/>
  <c r="AU150" i="464"/>
  <c r="AU151" i="464"/>
  <c r="AU152" i="464"/>
  <c r="AU153" i="464"/>
  <c r="AU154" i="464"/>
  <c r="AU145" i="464"/>
  <c r="AU146" i="464"/>
  <c r="AU147" i="464"/>
  <c r="AU148" i="464"/>
  <c r="AU149" i="464"/>
  <c r="AU144" i="464"/>
  <c r="AU126" i="464"/>
  <c r="AU127" i="464"/>
  <c r="AU128" i="464"/>
  <c r="AU129" i="464"/>
  <c r="AU130" i="464"/>
  <c r="AU131" i="464"/>
  <c r="AU132" i="464"/>
  <c r="AU133" i="464"/>
  <c r="AU134" i="464"/>
  <c r="AU135" i="464"/>
  <c r="AU136" i="464"/>
  <c r="AU137" i="464"/>
  <c r="AU138" i="464"/>
  <c r="AU139" i="464"/>
  <c r="AU140" i="464"/>
  <c r="AU141" i="464"/>
  <c r="AU142" i="464"/>
  <c r="AU125" i="464"/>
  <c r="AU99" i="464"/>
  <c r="AU98" i="464"/>
  <c r="AU97" i="464"/>
  <c r="AU96" i="464"/>
  <c r="AU95" i="464"/>
  <c r="AU94" i="464"/>
  <c r="AU92" i="464"/>
  <c r="AU91" i="464"/>
  <c r="AU90" i="464"/>
  <c r="AU89" i="464"/>
  <c r="AU88" i="464"/>
  <c r="AU87" i="464"/>
  <c r="AU86" i="464"/>
  <c r="AU85" i="464"/>
  <c r="AU70" i="464"/>
  <c r="AU71" i="464"/>
  <c r="AU72" i="464"/>
  <c r="AU73" i="464"/>
  <c r="AU74" i="464"/>
  <c r="AU75" i="464"/>
  <c r="AU76" i="464"/>
  <c r="AU77" i="464"/>
  <c r="AU78" i="464"/>
  <c r="AU79" i="464"/>
  <c r="AU80" i="464"/>
  <c r="AU69" i="464"/>
  <c r="AU63" i="464"/>
  <c r="AU64" i="464"/>
  <c r="AU65" i="464"/>
  <c r="AU66" i="464"/>
  <c r="AU67" i="464"/>
  <c r="AU62" i="464"/>
  <c r="AU60" i="464"/>
  <c r="AU57" i="464"/>
  <c r="AU58" i="464"/>
  <c r="AU59" i="464"/>
  <c r="AU56" i="464"/>
  <c r="AU41" i="464"/>
  <c r="AU42" i="464"/>
  <c r="AU43" i="464"/>
  <c r="AU44" i="464"/>
  <c r="AU45" i="464"/>
  <c r="AU46" i="464"/>
  <c r="AU47" i="464"/>
  <c r="AU48" i="464"/>
  <c r="AU49" i="464"/>
  <c r="AU50" i="464"/>
  <c r="AU51" i="464"/>
  <c r="AU52" i="464"/>
  <c r="AU38" i="464"/>
  <c r="AU39" i="464"/>
  <c r="AU40" i="464"/>
  <c r="AU37" i="464"/>
  <c r="AU26" i="464"/>
  <c r="AU25" i="464"/>
  <c r="AU22" i="464"/>
  <c r="AU21" i="464"/>
  <c r="AI93" i="464"/>
  <c r="AO93" i="464"/>
  <c r="AI84" i="464"/>
  <c r="AO84" i="464"/>
  <c r="AI83" i="464"/>
  <c r="AO83" i="464"/>
  <c r="Z93" i="464"/>
  <c r="AA93" i="464"/>
  <c r="Z84" i="464"/>
  <c r="AA84" i="464"/>
  <c r="Z83" i="464"/>
  <c r="AA83" i="464"/>
  <c r="AO190" i="464"/>
  <c r="AO189" i="464"/>
  <c r="AO188" i="464"/>
  <c r="AO155" i="464"/>
  <c r="AO154" i="464"/>
  <c r="AO153" i="464"/>
  <c r="AO149" i="464"/>
  <c r="AO148" i="464"/>
  <c r="AO147" i="464"/>
  <c r="AO146" i="464"/>
  <c r="AO144" i="464"/>
  <c r="AO116" i="464"/>
  <c r="AO115" i="464"/>
  <c r="AO114" i="464"/>
  <c r="AO113" i="464"/>
  <c r="AO112" i="464"/>
  <c r="AO111" i="464"/>
  <c r="AO107" i="464"/>
  <c r="AO104" i="464"/>
  <c r="AO92" i="464"/>
  <c r="AO90" i="464"/>
  <c r="AO88" i="464"/>
  <c r="AO87" i="464"/>
  <c r="AO85" i="464"/>
  <c r="AO74" i="464"/>
  <c r="AO72" i="464"/>
  <c r="AO71" i="464"/>
  <c r="AO65" i="464"/>
  <c r="AO59" i="464"/>
  <c r="AO58" i="464"/>
  <c r="AO56" i="464"/>
  <c r="AO51" i="464"/>
  <c r="AO50" i="464"/>
  <c r="AO40" i="464"/>
  <c r="AO37" i="464"/>
  <c r="AO26" i="464"/>
  <c r="AO25" i="464"/>
  <c r="AO22" i="464"/>
  <c r="AO21" i="464"/>
  <c r="AA188" i="464"/>
  <c r="AA150" i="464"/>
  <c r="AA151" i="464"/>
  <c r="AA152" i="464"/>
  <c r="AA153" i="464"/>
  <c r="AA154" i="464"/>
  <c r="AA147" i="464"/>
  <c r="AA148" i="464"/>
  <c r="AA149" i="464"/>
  <c r="AA146" i="464"/>
  <c r="AA86" i="464"/>
  <c r="AA87" i="464"/>
  <c r="AA88" i="464"/>
  <c r="AA89" i="464"/>
  <c r="AA90" i="464"/>
  <c r="AA91" i="464"/>
  <c r="AA92" i="464"/>
  <c r="AA85" i="464"/>
  <c r="AA72" i="464"/>
  <c r="AA73" i="464"/>
  <c r="AA74" i="464"/>
  <c r="AA71" i="464"/>
  <c r="AA65" i="464"/>
  <c r="AA64" i="464"/>
  <c r="AA38" i="464"/>
  <c r="AA39" i="464"/>
  <c r="AA40" i="464"/>
  <c r="AA41" i="464"/>
  <c r="AA42" i="464"/>
  <c r="AA43" i="464"/>
  <c r="AA44" i="464"/>
  <c r="AA45" i="464"/>
  <c r="AA46" i="464"/>
  <c r="AA47" i="464"/>
  <c r="AA48" i="464"/>
  <c r="AA49" i="464"/>
  <c r="AA50" i="464"/>
  <c r="AA51" i="464"/>
  <c r="AA52" i="464"/>
  <c r="AA53" i="464"/>
  <c r="AA54" i="464"/>
  <c r="AA55" i="464"/>
  <c r="AA56" i="464"/>
  <c r="AA57" i="464"/>
  <c r="AA58" i="464"/>
  <c r="AA59" i="464"/>
  <c r="AA37" i="464"/>
  <c r="AA27" i="464"/>
  <c r="AA28" i="464"/>
  <c r="AA29" i="464"/>
  <c r="AA30" i="464"/>
  <c r="AA23" i="464"/>
  <c r="AA24" i="464"/>
  <c r="AA25" i="464"/>
  <c r="AA26" i="464"/>
  <c r="AA22" i="464"/>
  <c r="AA21" i="464"/>
  <c r="I47" i="476"/>
  <c r="I50" i="476"/>
  <c r="I43" i="476"/>
  <c r="Z25" i="468"/>
  <c r="Z27" i="468"/>
  <c r="AH131" i="470"/>
  <c r="AG131" i="470"/>
  <c r="AF131" i="470"/>
  <c r="AE131" i="470"/>
  <c r="AD131" i="470"/>
  <c r="AC131" i="470"/>
  <c r="AB131" i="470"/>
  <c r="AA131" i="470"/>
  <c r="Z131" i="470"/>
  <c r="Y131" i="470"/>
  <c r="X131" i="470"/>
  <c r="W131" i="470"/>
  <c r="V131" i="470"/>
  <c r="U131" i="470"/>
  <c r="T131" i="470"/>
  <c r="S131" i="470"/>
  <c r="R131" i="470"/>
  <c r="Q131" i="470"/>
  <c r="P131" i="470"/>
  <c r="O131" i="470"/>
  <c r="N131" i="470"/>
  <c r="M131" i="470"/>
  <c r="L131" i="470"/>
  <c r="K131" i="470"/>
  <c r="J131" i="470"/>
  <c r="I131" i="470"/>
  <c r="H131" i="470"/>
  <c r="G131" i="470"/>
  <c r="F131" i="470"/>
  <c r="E131" i="470"/>
  <c r="D131" i="470"/>
  <c r="C128" i="470"/>
  <c r="P130" i="470"/>
  <c r="AH118" i="470"/>
  <c r="AG118" i="470"/>
  <c r="AF118" i="470"/>
  <c r="AE118" i="470"/>
  <c r="AD118" i="470"/>
  <c r="AC118" i="470"/>
  <c r="AB118" i="470"/>
  <c r="AA118" i="470"/>
  <c r="Z118" i="470"/>
  <c r="Y118" i="470"/>
  <c r="X118" i="470"/>
  <c r="W118" i="470"/>
  <c r="V118" i="470"/>
  <c r="U118" i="470"/>
  <c r="T118" i="470"/>
  <c r="S118" i="470"/>
  <c r="R118" i="470"/>
  <c r="Q118" i="470"/>
  <c r="P118" i="470"/>
  <c r="O118" i="470"/>
  <c r="N118" i="470"/>
  <c r="M118" i="470"/>
  <c r="L118" i="470"/>
  <c r="K118" i="470"/>
  <c r="J118" i="470"/>
  <c r="I118" i="470"/>
  <c r="H118" i="470"/>
  <c r="G118" i="470"/>
  <c r="F118" i="470"/>
  <c r="E118" i="470"/>
  <c r="D118" i="470"/>
  <c r="C115" i="470"/>
  <c r="AD117" i="470"/>
  <c r="AH104" i="470"/>
  <c r="AG104" i="470"/>
  <c r="AF104" i="470"/>
  <c r="AE104" i="470"/>
  <c r="AD104" i="470"/>
  <c r="AC104" i="470"/>
  <c r="AB104" i="470"/>
  <c r="AA104" i="470"/>
  <c r="Z104" i="470"/>
  <c r="Y104" i="470"/>
  <c r="X104" i="470"/>
  <c r="W104" i="470"/>
  <c r="V104" i="470"/>
  <c r="U104" i="470"/>
  <c r="T104" i="470"/>
  <c r="S104" i="470"/>
  <c r="R104" i="470"/>
  <c r="Q104" i="470"/>
  <c r="P104" i="470"/>
  <c r="O104" i="470"/>
  <c r="N104" i="470"/>
  <c r="M104" i="470"/>
  <c r="L104" i="470"/>
  <c r="K104" i="470"/>
  <c r="J104" i="470"/>
  <c r="I104" i="470"/>
  <c r="H104" i="470"/>
  <c r="G104" i="470"/>
  <c r="F104" i="470"/>
  <c r="E104" i="470"/>
  <c r="D104" i="470"/>
  <c r="C101" i="470"/>
  <c r="Z103" i="470"/>
  <c r="AH91" i="470"/>
  <c r="AG91" i="470"/>
  <c r="AF91" i="470"/>
  <c r="AE91" i="470"/>
  <c r="AD91" i="470"/>
  <c r="AC91" i="470"/>
  <c r="AB91" i="470"/>
  <c r="AA91" i="470"/>
  <c r="Z91" i="470"/>
  <c r="Y91" i="470"/>
  <c r="X91" i="470"/>
  <c r="W91" i="470"/>
  <c r="V91" i="470"/>
  <c r="U91" i="470"/>
  <c r="T91" i="470"/>
  <c r="S91" i="470"/>
  <c r="R91" i="470"/>
  <c r="Q91" i="470"/>
  <c r="P91" i="470"/>
  <c r="O91" i="470"/>
  <c r="N91" i="470"/>
  <c r="M91" i="470"/>
  <c r="L91" i="470"/>
  <c r="K91" i="470"/>
  <c r="J91" i="470"/>
  <c r="I91" i="470"/>
  <c r="H91" i="470"/>
  <c r="G91" i="470"/>
  <c r="F91" i="470"/>
  <c r="E91" i="470"/>
  <c r="D91" i="470"/>
  <c r="C88" i="470"/>
  <c r="AH90" i="470"/>
  <c r="AH77" i="470"/>
  <c r="AG77" i="470"/>
  <c r="AF77" i="470"/>
  <c r="AE77" i="470"/>
  <c r="AD77" i="470"/>
  <c r="AC77" i="470"/>
  <c r="AB77" i="470"/>
  <c r="AA77" i="470"/>
  <c r="Z77" i="470"/>
  <c r="Y77" i="470"/>
  <c r="X77" i="470"/>
  <c r="W77" i="470"/>
  <c r="V77" i="470"/>
  <c r="U77" i="470"/>
  <c r="T77" i="470"/>
  <c r="S77" i="470"/>
  <c r="R77" i="470"/>
  <c r="Q77" i="470"/>
  <c r="P77" i="470"/>
  <c r="O77" i="470"/>
  <c r="N77" i="470"/>
  <c r="M77" i="470"/>
  <c r="L77" i="470"/>
  <c r="K77" i="470"/>
  <c r="J77" i="470"/>
  <c r="I77" i="470"/>
  <c r="H77" i="470"/>
  <c r="G77" i="470"/>
  <c r="F77" i="470"/>
  <c r="E77" i="470"/>
  <c r="D77" i="470"/>
  <c r="C74" i="470"/>
  <c r="M76" i="470"/>
  <c r="AH64" i="470"/>
  <c r="AG64" i="470"/>
  <c r="AF64" i="470"/>
  <c r="AE64" i="470"/>
  <c r="AD64" i="470"/>
  <c r="AC64" i="470"/>
  <c r="AB64" i="470"/>
  <c r="AA64" i="470"/>
  <c r="Z64" i="470"/>
  <c r="Y64" i="470"/>
  <c r="X64" i="470"/>
  <c r="W64" i="470"/>
  <c r="V64" i="470"/>
  <c r="U64" i="470"/>
  <c r="T64" i="470"/>
  <c r="S64" i="470"/>
  <c r="R64" i="470"/>
  <c r="Q64" i="470"/>
  <c r="P64" i="470"/>
  <c r="O64" i="470"/>
  <c r="N64" i="470"/>
  <c r="M64" i="470"/>
  <c r="L64" i="470"/>
  <c r="K64" i="470"/>
  <c r="J64" i="470"/>
  <c r="I64" i="470"/>
  <c r="H64" i="470"/>
  <c r="G64" i="470"/>
  <c r="F64" i="470"/>
  <c r="E64" i="470"/>
  <c r="D64" i="470"/>
  <c r="C61" i="470"/>
  <c r="AG63" i="470"/>
  <c r="AH50" i="470"/>
  <c r="AG50" i="470"/>
  <c r="AF50" i="470"/>
  <c r="AE50" i="470"/>
  <c r="AD50" i="470"/>
  <c r="AC50" i="470"/>
  <c r="AB50" i="470"/>
  <c r="AA50" i="470"/>
  <c r="Z50" i="470"/>
  <c r="Y50" i="470"/>
  <c r="X50" i="470"/>
  <c r="W50" i="470"/>
  <c r="V50" i="470"/>
  <c r="U50" i="470"/>
  <c r="T50" i="470"/>
  <c r="S50" i="470"/>
  <c r="R50" i="470"/>
  <c r="Q50" i="470"/>
  <c r="P50" i="470"/>
  <c r="O50" i="470"/>
  <c r="N50" i="470"/>
  <c r="M50" i="470"/>
  <c r="L50" i="470"/>
  <c r="K50" i="470"/>
  <c r="J50" i="470"/>
  <c r="I50" i="470"/>
  <c r="H50" i="470"/>
  <c r="G50" i="470"/>
  <c r="F50" i="470"/>
  <c r="E50" i="470"/>
  <c r="D50" i="470"/>
  <c r="C47" i="470"/>
  <c r="X49" i="470"/>
  <c r="AH37" i="470"/>
  <c r="AG37" i="470"/>
  <c r="AF37" i="470"/>
  <c r="AE37" i="470"/>
  <c r="AD37" i="470"/>
  <c r="AC37" i="470"/>
  <c r="AB37" i="470"/>
  <c r="AA37" i="470"/>
  <c r="Z37" i="470"/>
  <c r="Y37" i="470"/>
  <c r="X37" i="470"/>
  <c r="W37" i="470"/>
  <c r="V37" i="470"/>
  <c r="U37" i="470"/>
  <c r="T37" i="470"/>
  <c r="S37" i="470"/>
  <c r="R37" i="470"/>
  <c r="Q37" i="470"/>
  <c r="P37" i="470"/>
  <c r="O37" i="470"/>
  <c r="N37" i="470"/>
  <c r="M37" i="470"/>
  <c r="L37" i="470"/>
  <c r="K37" i="470"/>
  <c r="J37" i="470"/>
  <c r="I37" i="470"/>
  <c r="H37" i="470"/>
  <c r="G37" i="470"/>
  <c r="F37" i="470"/>
  <c r="E37" i="470"/>
  <c r="D37" i="470"/>
  <c r="C34" i="470"/>
  <c r="AF36" i="470"/>
  <c r="AH23" i="470"/>
  <c r="AG23" i="470"/>
  <c r="AF23" i="470"/>
  <c r="AE23" i="470"/>
  <c r="AD23" i="470"/>
  <c r="AC23" i="470"/>
  <c r="AB23" i="470"/>
  <c r="AA23" i="470"/>
  <c r="Z23" i="470"/>
  <c r="Y23" i="470"/>
  <c r="X23" i="470"/>
  <c r="W23" i="470"/>
  <c r="V23" i="470"/>
  <c r="U23" i="470"/>
  <c r="T23" i="470"/>
  <c r="S23" i="470"/>
  <c r="R23" i="470"/>
  <c r="Q23" i="470"/>
  <c r="P23" i="470"/>
  <c r="O23" i="470"/>
  <c r="N23" i="470"/>
  <c r="M23" i="470"/>
  <c r="L23" i="470"/>
  <c r="K23" i="470"/>
  <c r="J23" i="470"/>
  <c r="I23" i="470"/>
  <c r="H23" i="470"/>
  <c r="G23" i="470"/>
  <c r="F23" i="470"/>
  <c r="E23" i="470"/>
  <c r="D23" i="470"/>
  <c r="C20" i="470"/>
  <c r="AF22" i="470"/>
  <c r="X105" i="468"/>
  <c r="W105" i="468"/>
  <c r="V105" i="468"/>
  <c r="U105" i="468"/>
  <c r="T105" i="468"/>
  <c r="S105" i="468"/>
  <c r="R105" i="468"/>
  <c r="Q105" i="468"/>
  <c r="P105" i="468"/>
  <c r="O105" i="468"/>
  <c r="N105" i="468"/>
  <c r="M105" i="468"/>
  <c r="L105" i="468"/>
  <c r="K105" i="468"/>
  <c r="J105" i="468"/>
  <c r="I105" i="468"/>
  <c r="H105" i="468"/>
  <c r="G105" i="468"/>
  <c r="F105" i="468"/>
  <c r="E105" i="468"/>
  <c r="D105" i="468"/>
  <c r="C102" i="468"/>
  <c r="X92" i="468"/>
  <c r="W92" i="468"/>
  <c r="V92" i="468"/>
  <c r="U92" i="468"/>
  <c r="T92" i="468"/>
  <c r="S92" i="468"/>
  <c r="R92" i="468"/>
  <c r="Q92" i="468"/>
  <c r="P92" i="468"/>
  <c r="O92" i="468"/>
  <c r="N92" i="468"/>
  <c r="M92" i="468"/>
  <c r="L92" i="468"/>
  <c r="K92" i="468"/>
  <c r="J92" i="468"/>
  <c r="I92" i="468"/>
  <c r="H92" i="468"/>
  <c r="G92" i="468"/>
  <c r="F92" i="468"/>
  <c r="E92" i="468"/>
  <c r="D92" i="468"/>
  <c r="C89" i="468"/>
  <c r="J91" i="468"/>
  <c r="X78" i="468"/>
  <c r="W78" i="468"/>
  <c r="V78" i="468"/>
  <c r="U78" i="468"/>
  <c r="T78" i="468"/>
  <c r="S78" i="468"/>
  <c r="R78" i="468"/>
  <c r="Q78" i="468"/>
  <c r="P78" i="468"/>
  <c r="O78" i="468"/>
  <c r="N78" i="468"/>
  <c r="M78" i="468"/>
  <c r="L78" i="468"/>
  <c r="K78" i="468"/>
  <c r="J78" i="468"/>
  <c r="I78" i="468"/>
  <c r="H78" i="468"/>
  <c r="G78" i="468"/>
  <c r="F78" i="468"/>
  <c r="E78" i="468"/>
  <c r="D78" i="468"/>
  <c r="C75" i="468"/>
  <c r="W77" i="468"/>
  <c r="X65" i="468"/>
  <c r="W65" i="468"/>
  <c r="V65" i="468"/>
  <c r="U65" i="468"/>
  <c r="T65" i="468"/>
  <c r="S65" i="468"/>
  <c r="R65" i="468"/>
  <c r="Q65" i="468"/>
  <c r="P65" i="468"/>
  <c r="O65" i="468"/>
  <c r="N65" i="468"/>
  <c r="M65" i="468"/>
  <c r="L65" i="468"/>
  <c r="K65" i="468"/>
  <c r="J65" i="468"/>
  <c r="I65" i="468"/>
  <c r="H65" i="468"/>
  <c r="G65" i="468"/>
  <c r="F65" i="468"/>
  <c r="E65" i="468"/>
  <c r="D65" i="468"/>
  <c r="C62" i="468"/>
  <c r="W64" i="468"/>
  <c r="X51" i="468"/>
  <c r="W51" i="468"/>
  <c r="V51" i="468"/>
  <c r="U51" i="468"/>
  <c r="T51" i="468"/>
  <c r="S51" i="468"/>
  <c r="R51" i="468"/>
  <c r="Q51" i="468"/>
  <c r="P51" i="468"/>
  <c r="O51" i="468"/>
  <c r="N51" i="468"/>
  <c r="M51" i="468"/>
  <c r="L51" i="468"/>
  <c r="K51" i="468"/>
  <c r="J51" i="468"/>
  <c r="I51" i="468"/>
  <c r="H51" i="468"/>
  <c r="G51" i="468"/>
  <c r="F51" i="468"/>
  <c r="E51" i="468"/>
  <c r="D51" i="468"/>
  <c r="C48" i="468"/>
  <c r="X50" i="468"/>
  <c r="X37" i="468"/>
  <c r="W37" i="468"/>
  <c r="V37" i="468"/>
  <c r="U37" i="468"/>
  <c r="T37" i="468"/>
  <c r="S37" i="468"/>
  <c r="R37" i="468"/>
  <c r="Q37" i="468"/>
  <c r="P37" i="468"/>
  <c r="O37" i="468"/>
  <c r="N37" i="468"/>
  <c r="M37" i="468"/>
  <c r="L37" i="468"/>
  <c r="K37" i="468"/>
  <c r="J37" i="468"/>
  <c r="I37" i="468"/>
  <c r="H37" i="468"/>
  <c r="G37" i="468"/>
  <c r="F37" i="468"/>
  <c r="E37" i="468"/>
  <c r="D37" i="468"/>
  <c r="C34" i="468"/>
  <c r="X36" i="468"/>
  <c r="Z29" i="468"/>
  <c r="Z28" i="468"/>
  <c r="Z26" i="468"/>
  <c r="X23" i="468"/>
  <c r="W23" i="468"/>
  <c r="V23" i="468"/>
  <c r="U23" i="468"/>
  <c r="T23" i="468"/>
  <c r="S23" i="468"/>
  <c r="R23" i="468"/>
  <c r="Q23" i="468"/>
  <c r="P23" i="468"/>
  <c r="O23" i="468"/>
  <c r="N23" i="468"/>
  <c r="M23" i="468"/>
  <c r="L23" i="468"/>
  <c r="K23" i="468"/>
  <c r="J23" i="468"/>
  <c r="I23" i="468"/>
  <c r="H23" i="468"/>
  <c r="G23" i="468"/>
  <c r="F23" i="468"/>
  <c r="E23" i="468"/>
  <c r="D23" i="468"/>
  <c r="C20" i="468"/>
  <c r="S22" i="468"/>
  <c r="S21" i="468"/>
  <c r="P4" i="468"/>
  <c r="I4" i="468"/>
  <c r="Q3" i="468"/>
  <c r="N3" i="468"/>
  <c r="M3" i="468"/>
  <c r="H3" i="468"/>
  <c r="G3" i="468"/>
  <c r="AH88" i="467"/>
  <c r="AG88" i="467"/>
  <c r="AF88" i="467"/>
  <c r="AE88" i="467"/>
  <c r="AD88" i="467"/>
  <c r="AC88" i="467"/>
  <c r="AB88" i="467"/>
  <c r="AA88" i="467"/>
  <c r="Z88" i="467"/>
  <c r="Y88" i="467"/>
  <c r="X88" i="467"/>
  <c r="W88" i="467"/>
  <c r="V88" i="467"/>
  <c r="U88" i="467"/>
  <c r="T88" i="467"/>
  <c r="S88" i="467"/>
  <c r="R88" i="467"/>
  <c r="Q88" i="467"/>
  <c r="P88" i="467"/>
  <c r="O88" i="467"/>
  <c r="N88" i="467"/>
  <c r="M88" i="467"/>
  <c r="L88" i="467"/>
  <c r="K88" i="467"/>
  <c r="J88" i="467"/>
  <c r="I88" i="467"/>
  <c r="H88" i="467"/>
  <c r="G88" i="467"/>
  <c r="F88" i="467"/>
  <c r="E88" i="467"/>
  <c r="D88" i="467"/>
  <c r="C85" i="467"/>
  <c r="AH87" i="467"/>
  <c r="AH75" i="467"/>
  <c r="AG75" i="467"/>
  <c r="AF75" i="467"/>
  <c r="AE75" i="467"/>
  <c r="AD75" i="467"/>
  <c r="AC75" i="467"/>
  <c r="AB75" i="467"/>
  <c r="AA75" i="467"/>
  <c r="Z75" i="467"/>
  <c r="Y75" i="467"/>
  <c r="X75" i="467"/>
  <c r="W75" i="467"/>
  <c r="V75" i="467"/>
  <c r="U75" i="467"/>
  <c r="T75" i="467"/>
  <c r="S75" i="467"/>
  <c r="R75" i="467"/>
  <c r="Q75" i="467"/>
  <c r="P75" i="467"/>
  <c r="O75" i="467"/>
  <c r="N75" i="467"/>
  <c r="M75" i="467"/>
  <c r="L75" i="467"/>
  <c r="K75" i="467"/>
  <c r="J75" i="467"/>
  <c r="I75" i="467"/>
  <c r="H75" i="467"/>
  <c r="G75" i="467"/>
  <c r="F75" i="467"/>
  <c r="E75" i="467"/>
  <c r="D75" i="467"/>
  <c r="C72" i="467"/>
  <c r="AG74" i="467"/>
  <c r="AH62" i="467"/>
  <c r="AG62" i="467"/>
  <c r="AF62" i="467"/>
  <c r="AE62" i="467"/>
  <c r="AD62" i="467"/>
  <c r="AC62" i="467"/>
  <c r="AB62" i="467"/>
  <c r="AA62" i="467"/>
  <c r="Z62" i="467"/>
  <c r="Y62" i="467"/>
  <c r="X62" i="467"/>
  <c r="W62" i="467"/>
  <c r="V62" i="467"/>
  <c r="U62" i="467"/>
  <c r="T62" i="467"/>
  <c r="S62" i="467"/>
  <c r="R62" i="467"/>
  <c r="Q62" i="467"/>
  <c r="P62" i="467"/>
  <c r="O62" i="467"/>
  <c r="N62" i="467"/>
  <c r="M62" i="467"/>
  <c r="L62" i="467"/>
  <c r="K62" i="467"/>
  <c r="J62" i="467"/>
  <c r="I62" i="467"/>
  <c r="H62" i="467"/>
  <c r="G62" i="467"/>
  <c r="F62" i="467"/>
  <c r="E62" i="467"/>
  <c r="D62" i="467"/>
  <c r="C59" i="467"/>
  <c r="AF61" i="467"/>
  <c r="AH49" i="467"/>
  <c r="AG49" i="467"/>
  <c r="AF49" i="467"/>
  <c r="AE49" i="467"/>
  <c r="AD49" i="467"/>
  <c r="AC49" i="467"/>
  <c r="AB49" i="467"/>
  <c r="AA49" i="467"/>
  <c r="Z49" i="467"/>
  <c r="Y49" i="467"/>
  <c r="X49" i="467"/>
  <c r="W49" i="467"/>
  <c r="V49" i="467"/>
  <c r="U49" i="467"/>
  <c r="T49" i="467"/>
  <c r="S49" i="467"/>
  <c r="R49" i="467"/>
  <c r="Q49" i="467"/>
  <c r="P49" i="467"/>
  <c r="O49" i="467"/>
  <c r="N49" i="467"/>
  <c r="M49" i="467"/>
  <c r="L49" i="467"/>
  <c r="K49" i="467"/>
  <c r="J49" i="467"/>
  <c r="I49" i="467"/>
  <c r="H49" i="467"/>
  <c r="G49" i="467"/>
  <c r="F49" i="467"/>
  <c r="E49" i="467"/>
  <c r="D49" i="467"/>
  <c r="C46" i="467"/>
  <c r="AA48" i="467"/>
  <c r="AH36" i="467"/>
  <c r="AG36" i="467"/>
  <c r="AF36" i="467"/>
  <c r="AE36" i="467"/>
  <c r="AD36" i="467"/>
  <c r="AC36" i="467"/>
  <c r="AB36" i="467"/>
  <c r="AA36" i="467"/>
  <c r="Z36" i="467"/>
  <c r="Y36" i="467"/>
  <c r="X36" i="467"/>
  <c r="W36" i="467"/>
  <c r="V36" i="467"/>
  <c r="U36" i="467"/>
  <c r="T36" i="467"/>
  <c r="S36" i="467"/>
  <c r="R36" i="467"/>
  <c r="Q36" i="467"/>
  <c r="P36" i="467"/>
  <c r="O36" i="467"/>
  <c r="N36" i="467"/>
  <c r="M36" i="467"/>
  <c r="L36" i="467"/>
  <c r="K36" i="467"/>
  <c r="J36" i="467"/>
  <c r="I36" i="467"/>
  <c r="H36" i="467"/>
  <c r="G36" i="467"/>
  <c r="F36" i="467"/>
  <c r="E36" i="467"/>
  <c r="D36" i="467"/>
  <c r="C33" i="467"/>
  <c r="Q35" i="467"/>
  <c r="AH22" i="467"/>
  <c r="AG22" i="467"/>
  <c r="AF22" i="467"/>
  <c r="AE22" i="467"/>
  <c r="AD22" i="467"/>
  <c r="AC22" i="467"/>
  <c r="AB22" i="467"/>
  <c r="AA22" i="467"/>
  <c r="Z22" i="467"/>
  <c r="Y22" i="467"/>
  <c r="X22" i="467"/>
  <c r="W22" i="467"/>
  <c r="V22" i="467"/>
  <c r="U22" i="467"/>
  <c r="T22" i="467"/>
  <c r="S22" i="467"/>
  <c r="R22" i="467"/>
  <c r="Q22" i="467"/>
  <c r="P22" i="467"/>
  <c r="O22" i="467"/>
  <c r="N22" i="467"/>
  <c r="M22" i="467"/>
  <c r="L22" i="467"/>
  <c r="K22" i="467"/>
  <c r="J22" i="467"/>
  <c r="I22" i="467"/>
  <c r="H22" i="467"/>
  <c r="G22" i="467"/>
  <c r="F22" i="467"/>
  <c r="E22" i="467"/>
  <c r="D22" i="467"/>
  <c r="C19" i="467"/>
  <c r="AG21" i="467"/>
  <c r="X76" i="465"/>
  <c r="W76" i="465"/>
  <c r="V76" i="465"/>
  <c r="U76" i="465"/>
  <c r="T76" i="465"/>
  <c r="S76" i="465"/>
  <c r="R76" i="465"/>
  <c r="Q76" i="465"/>
  <c r="P76" i="465"/>
  <c r="O76" i="465"/>
  <c r="N76" i="465"/>
  <c r="M76" i="465"/>
  <c r="L76" i="465"/>
  <c r="K76" i="465"/>
  <c r="J76" i="465"/>
  <c r="I76" i="465"/>
  <c r="H76" i="465"/>
  <c r="G76" i="465"/>
  <c r="F76" i="465"/>
  <c r="E76" i="465"/>
  <c r="D76" i="465"/>
  <c r="C73" i="465"/>
  <c r="K75" i="465"/>
  <c r="X63" i="465"/>
  <c r="W63" i="465"/>
  <c r="V63" i="465"/>
  <c r="U63" i="465"/>
  <c r="T63" i="465"/>
  <c r="S63" i="465"/>
  <c r="R63" i="465"/>
  <c r="Q63" i="465"/>
  <c r="P63" i="465"/>
  <c r="O63" i="465"/>
  <c r="N63" i="465"/>
  <c r="M63" i="465"/>
  <c r="L63" i="465"/>
  <c r="K63" i="465"/>
  <c r="J63" i="465"/>
  <c r="I63" i="465"/>
  <c r="H63" i="465"/>
  <c r="G63" i="465"/>
  <c r="F63" i="465"/>
  <c r="E63" i="465"/>
  <c r="D63" i="465"/>
  <c r="C60" i="465"/>
  <c r="K62" i="465"/>
  <c r="X50" i="465"/>
  <c r="W50" i="465"/>
  <c r="V50" i="465"/>
  <c r="U50" i="465"/>
  <c r="T50" i="465"/>
  <c r="S50" i="465"/>
  <c r="R50" i="465"/>
  <c r="Q50" i="465"/>
  <c r="P50" i="465"/>
  <c r="O50" i="465"/>
  <c r="N50" i="465"/>
  <c r="M50" i="465"/>
  <c r="L50" i="465"/>
  <c r="K50" i="465"/>
  <c r="J50" i="465"/>
  <c r="I50" i="465"/>
  <c r="H50" i="465"/>
  <c r="G50" i="465"/>
  <c r="F50" i="465"/>
  <c r="E50" i="465"/>
  <c r="D50" i="465"/>
  <c r="C47" i="465"/>
  <c r="K49" i="465"/>
  <c r="X36" i="465"/>
  <c r="W36" i="465"/>
  <c r="V36" i="465"/>
  <c r="U36" i="465"/>
  <c r="T36" i="465"/>
  <c r="S36" i="465"/>
  <c r="R36" i="465"/>
  <c r="Q36" i="465"/>
  <c r="P36" i="465"/>
  <c r="O36" i="465"/>
  <c r="N36" i="465"/>
  <c r="M36" i="465"/>
  <c r="L36" i="465"/>
  <c r="K36" i="465"/>
  <c r="J36" i="465"/>
  <c r="I36" i="465"/>
  <c r="H36" i="465"/>
  <c r="G36" i="465"/>
  <c r="F36" i="465"/>
  <c r="E36" i="465"/>
  <c r="D36" i="465"/>
  <c r="C33" i="465"/>
  <c r="K35" i="465"/>
  <c r="X22" i="465"/>
  <c r="W22" i="465"/>
  <c r="V22" i="465"/>
  <c r="U22" i="465"/>
  <c r="T22" i="465"/>
  <c r="S22" i="465"/>
  <c r="R22" i="465"/>
  <c r="Q22" i="465"/>
  <c r="P22" i="465"/>
  <c r="O22" i="465"/>
  <c r="N22" i="465"/>
  <c r="M22" i="465"/>
  <c r="L22" i="465"/>
  <c r="K22" i="465"/>
  <c r="J22" i="465"/>
  <c r="I22" i="465"/>
  <c r="H22" i="465"/>
  <c r="G22" i="465"/>
  <c r="F22" i="465"/>
  <c r="E22" i="465"/>
  <c r="D22" i="465"/>
  <c r="C19" i="465"/>
  <c r="X21" i="465"/>
  <c r="P4" i="465"/>
  <c r="I4" i="465"/>
  <c r="Q3" i="465"/>
  <c r="N3" i="465"/>
  <c r="M3" i="465"/>
  <c r="H3" i="465"/>
  <c r="G3" i="465"/>
  <c r="BL191" i="464"/>
  <c r="CZ191" i="464"/>
  <c r="DA191" i="464"/>
  <c r="CY190" i="464"/>
  <c r="CW190" i="464"/>
  <c r="CR190" i="464"/>
  <c r="CO190" i="464"/>
  <c r="CH190" i="464"/>
  <c r="CC190" i="464"/>
  <c r="BU190" i="464"/>
  <c r="BO190" i="464"/>
  <c r="BL190" i="464"/>
  <c r="BG190" i="464"/>
  <c r="BC190" i="464"/>
  <c r="AZ190" i="464"/>
  <c r="AX190" i="464"/>
  <c r="AQ190" i="464"/>
  <c r="AH190" i="464"/>
  <c r="AF190" i="464"/>
  <c r="AD190" i="464"/>
  <c r="AA190" i="464"/>
  <c r="V190" i="464"/>
  <c r="S190" i="464"/>
  <c r="P190" i="464"/>
  <c r="M190" i="464"/>
  <c r="J190" i="464"/>
  <c r="H190" i="464"/>
  <c r="E190" i="464"/>
  <c r="CY189" i="464"/>
  <c r="CW189" i="464"/>
  <c r="CR189" i="464"/>
  <c r="CO189" i="464"/>
  <c r="CH189" i="464"/>
  <c r="CC189" i="464"/>
  <c r="BU189" i="464"/>
  <c r="BO189" i="464"/>
  <c r="BL189" i="464"/>
  <c r="BG189" i="464"/>
  <c r="BC189" i="464"/>
  <c r="AZ189" i="464"/>
  <c r="AX189" i="464"/>
  <c r="AQ189" i="464"/>
  <c r="AH189" i="464"/>
  <c r="AF189" i="464"/>
  <c r="AD189" i="464"/>
  <c r="AA189" i="464"/>
  <c r="V189" i="464"/>
  <c r="S189" i="464"/>
  <c r="P189" i="464"/>
  <c r="M189" i="464"/>
  <c r="J189" i="464"/>
  <c r="H189" i="464"/>
  <c r="E189" i="464"/>
  <c r="CY188" i="464"/>
  <c r="CW188" i="464"/>
  <c r="CR188" i="464"/>
  <c r="CO188" i="464"/>
  <c r="CH188" i="464"/>
  <c r="CC188" i="464"/>
  <c r="BU188" i="464"/>
  <c r="BO188" i="464"/>
  <c r="BL188" i="464"/>
  <c r="BG188" i="464"/>
  <c r="BC188" i="464"/>
  <c r="AZ188" i="464"/>
  <c r="AX188" i="464"/>
  <c r="AQ188" i="464"/>
  <c r="AH188" i="464"/>
  <c r="AF188" i="464"/>
  <c r="AD188" i="464"/>
  <c r="V188" i="464"/>
  <c r="S188" i="464"/>
  <c r="P188" i="464"/>
  <c r="M188" i="464"/>
  <c r="J188" i="464"/>
  <c r="H188" i="464"/>
  <c r="E188" i="464"/>
  <c r="CY187" i="464"/>
  <c r="CW187" i="464"/>
  <c r="CR187" i="464"/>
  <c r="CO187" i="464"/>
  <c r="CH187" i="464"/>
  <c r="CC187" i="464"/>
  <c r="BU187" i="464"/>
  <c r="BO187" i="464"/>
  <c r="BL187" i="464"/>
  <c r="BG187" i="464"/>
  <c r="BC187" i="464"/>
  <c r="AZ187" i="464"/>
  <c r="AX187" i="464"/>
  <c r="AQ187" i="464"/>
  <c r="AO187" i="464"/>
  <c r="AH187" i="464"/>
  <c r="AF187" i="464"/>
  <c r="AD187" i="464"/>
  <c r="AA187" i="464"/>
  <c r="V187" i="464"/>
  <c r="S187" i="464"/>
  <c r="P187" i="464"/>
  <c r="M187" i="464"/>
  <c r="J187" i="464"/>
  <c r="H187" i="464"/>
  <c r="E187" i="464"/>
  <c r="CY186" i="464"/>
  <c r="CW186" i="464"/>
  <c r="CR186" i="464"/>
  <c r="CO186" i="464"/>
  <c r="CH186" i="464"/>
  <c r="CC186" i="464"/>
  <c r="BU186" i="464"/>
  <c r="BO186" i="464"/>
  <c r="BL186" i="464"/>
  <c r="BG186" i="464"/>
  <c r="BC186" i="464"/>
  <c r="AZ186" i="464"/>
  <c r="AX186" i="464"/>
  <c r="AQ186" i="464"/>
  <c r="AO186" i="464"/>
  <c r="AH186" i="464"/>
  <c r="AF186" i="464"/>
  <c r="AD186" i="464"/>
  <c r="AA186" i="464"/>
  <c r="V186" i="464"/>
  <c r="S186" i="464"/>
  <c r="P186" i="464"/>
  <c r="M186" i="464"/>
  <c r="J186" i="464"/>
  <c r="H186" i="464"/>
  <c r="E186" i="464"/>
  <c r="CY185" i="464"/>
  <c r="CW185" i="464"/>
  <c r="CR185" i="464"/>
  <c r="CO185" i="464"/>
  <c r="CH185" i="464"/>
  <c r="CC185" i="464"/>
  <c r="BU185" i="464"/>
  <c r="BO185" i="464"/>
  <c r="BL185" i="464"/>
  <c r="BG185" i="464"/>
  <c r="BC185" i="464"/>
  <c r="AZ185" i="464"/>
  <c r="AX185" i="464"/>
  <c r="AQ185" i="464"/>
  <c r="AO185" i="464"/>
  <c r="AH185" i="464"/>
  <c r="AF185" i="464"/>
  <c r="AD185" i="464"/>
  <c r="AA185" i="464"/>
  <c r="V185" i="464"/>
  <c r="S185" i="464"/>
  <c r="P185" i="464"/>
  <c r="M185" i="464"/>
  <c r="J185" i="464"/>
  <c r="H185" i="464"/>
  <c r="E185" i="464"/>
  <c r="CY184" i="464"/>
  <c r="CW184" i="464"/>
  <c r="CR184" i="464"/>
  <c r="CO184" i="464"/>
  <c r="CH184" i="464"/>
  <c r="CC184" i="464"/>
  <c r="BU184" i="464"/>
  <c r="BO184" i="464"/>
  <c r="BL184" i="464"/>
  <c r="BG184" i="464"/>
  <c r="BC184" i="464"/>
  <c r="AZ184" i="464"/>
  <c r="AX184" i="464"/>
  <c r="AQ184" i="464"/>
  <c r="AO184" i="464"/>
  <c r="AH184" i="464"/>
  <c r="AF184" i="464"/>
  <c r="AD184" i="464"/>
  <c r="AA184" i="464"/>
  <c r="V184" i="464"/>
  <c r="S184" i="464"/>
  <c r="P184" i="464"/>
  <c r="M184" i="464"/>
  <c r="J184" i="464"/>
  <c r="H184" i="464"/>
  <c r="E184" i="464"/>
  <c r="CY183" i="464"/>
  <c r="CW183" i="464"/>
  <c r="CR183" i="464"/>
  <c r="CO183" i="464"/>
  <c r="CH183" i="464"/>
  <c r="CC183" i="464"/>
  <c r="BU183" i="464"/>
  <c r="BO183" i="464"/>
  <c r="BL183" i="464"/>
  <c r="BG183" i="464"/>
  <c r="BC183" i="464"/>
  <c r="AZ183" i="464"/>
  <c r="AX183" i="464"/>
  <c r="AQ183" i="464"/>
  <c r="AO183" i="464"/>
  <c r="AH183" i="464"/>
  <c r="AF183" i="464"/>
  <c r="AD183" i="464"/>
  <c r="AA183" i="464"/>
  <c r="V183" i="464"/>
  <c r="S183" i="464"/>
  <c r="P183" i="464"/>
  <c r="M183" i="464"/>
  <c r="J183" i="464"/>
  <c r="H183" i="464"/>
  <c r="E183" i="464"/>
  <c r="CY182" i="464"/>
  <c r="CW182" i="464"/>
  <c r="CR182" i="464"/>
  <c r="CO182" i="464"/>
  <c r="CH182" i="464"/>
  <c r="CC182" i="464"/>
  <c r="BU182" i="464"/>
  <c r="BO182" i="464"/>
  <c r="BL182" i="464"/>
  <c r="BG182" i="464"/>
  <c r="BC182" i="464"/>
  <c r="AZ182" i="464"/>
  <c r="AX182" i="464"/>
  <c r="AQ182" i="464"/>
  <c r="AO182" i="464"/>
  <c r="AH182" i="464"/>
  <c r="AF182" i="464"/>
  <c r="AD182" i="464"/>
  <c r="AA182" i="464"/>
  <c r="V182" i="464"/>
  <c r="S182" i="464"/>
  <c r="P182" i="464"/>
  <c r="M182" i="464"/>
  <c r="J182" i="464"/>
  <c r="H182" i="464"/>
  <c r="E182" i="464"/>
  <c r="CY181" i="464"/>
  <c r="CW181" i="464"/>
  <c r="CR181" i="464"/>
  <c r="CO181" i="464"/>
  <c r="CH181" i="464"/>
  <c r="CC181" i="464"/>
  <c r="BU181" i="464"/>
  <c r="BO181" i="464"/>
  <c r="BL181" i="464"/>
  <c r="BG181" i="464"/>
  <c r="BC181" i="464"/>
  <c r="AZ181" i="464"/>
  <c r="AX181" i="464"/>
  <c r="AQ181" i="464"/>
  <c r="AO181" i="464"/>
  <c r="AH181" i="464"/>
  <c r="AF181" i="464"/>
  <c r="AD181" i="464"/>
  <c r="AA181" i="464"/>
  <c r="V181" i="464"/>
  <c r="S181" i="464"/>
  <c r="P181" i="464"/>
  <c r="M181" i="464"/>
  <c r="J181" i="464"/>
  <c r="H181" i="464"/>
  <c r="E181" i="464"/>
  <c r="CY180" i="464"/>
  <c r="CW180" i="464"/>
  <c r="CR180" i="464"/>
  <c r="CO180" i="464"/>
  <c r="CH180" i="464"/>
  <c r="CC180" i="464"/>
  <c r="BU180" i="464"/>
  <c r="BO180" i="464"/>
  <c r="BL180" i="464"/>
  <c r="BG180" i="464"/>
  <c r="BC180" i="464"/>
  <c r="AZ180" i="464"/>
  <c r="AX180" i="464"/>
  <c r="AQ180" i="464"/>
  <c r="AO180" i="464"/>
  <c r="AH180" i="464"/>
  <c r="AF180" i="464"/>
  <c r="AD180" i="464"/>
  <c r="AA180" i="464"/>
  <c r="V180" i="464"/>
  <c r="S180" i="464"/>
  <c r="P180" i="464"/>
  <c r="M180" i="464"/>
  <c r="J180" i="464"/>
  <c r="H180" i="464"/>
  <c r="E180" i="464"/>
  <c r="CY179" i="464"/>
  <c r="CW179" i="464"/>
  <c r="CR179" i="464"/>
  <c r="CO179" i="464"/>
  <c r="CH179" i="464"/>
  <c r="CC179" i="464"/>
  <c r="BU179" i="464"/>
  <c r="BO179" i="464"/>
  <c r="BL179" i="464"/>
  <c r="BG179" i="464"/>
  <c r="BC179" i="464"/>
  <c r="AZ179" i="464"/>
  <c r="AX179" i="464"/>
  <c r="AQ179" i="464"/>
  <c r="AO179" i="464"/>
  <c r="AH179" i="464"/>
  <c r="AF179" i="464"/>
  <c r="AD179" i="464"/>
  <c r="AA179" i="464"/>
  <c r="V179" i="464"/>
  <c r="S179" i="464"/>
  <c r="P179" i="464"/>
  <c r="M179" i="464"/>
  <c r="J179" i="464"/>
  <c r="H179" i="464"/>
  <c r="E179" i="464"/>
  <c r="CY178" i="464"/>
  <c r="CW178" i="464"/>
  <c r="CR178" i="464"/>
  <c r="CO178" i="464"/>
  <c r="CH178" i="464"/>
  <c r="CC178" i="464"/>
  <c r="BU178" i="464"/>
  <c r="BO178" i="464"/>
  <c r="BL178" i="464"/>
  <c r="BG178" i="464"/>
  <c r="BC178" i="464"/>
  <c r="AZ178" i="464"/>
  <c r="AX178" i="464"/>
  <c r="AQ178" i="464"/>
  <c r="AO178" i="464"/>
  <c r="AH178" i="464"/>
  <c r="AF178" i="464"/>
  <c r="AD178" i="464"/>
  <c r="AA178" i="464"/>
  <c r="V178" i="464"/>
  <c r="S178" i="464"/>
  <c r="P178" i="464"/>
  <c r="M178" i="464"/>
  <c r="J178" i="464"/>
  <c r="H178" i="464"/>
  <c r="E178" i="464"/>
  <c r="CY177" i="464"/>
  <c r="CW177" i="464"/>
  <c r="CR177" i="464"/>
  <c r="CO177" i="464"/>
  <c r="CH177" i="464"/>
  <c r="CC177" i="464"/>
  <c r="BU177" i="464"/>
  <c r="BO177" i="464"/>
  <c r="BL177" i="464"/>
  <c r="BG177" i="464"/>
  <c r="BC177" i="464"/>
  <c r="AZ177" i="464"/>
  <c r="AX177" i="464"/>
  <c r="AQ177" i="464"/>
  <c r="AO177" i="464"/>
  <c r="AH177" i="464"/>
  <c r="AF177" i="464"/>
  <c r="AD177" i="464"/>
  <c r="AA177" i="464"/>
  <c r="V177" i="464"/>
  <c r="S177" i="464"/>
  <c r="P177" i="464"/>
  <c r="M177" i="464"/>
  <c r="J177" i="464"/>
  <c r="H177" i="464"/>
  <c r="E177" i="464"/>
  <c r="CY176" i="464"/>
  <c r="CW176" i="464"/>
  <c r="CR176" i="464"/>
  <c r="CO176" i="464"/>
  <c r="CH176" i="464"/>
  <c r="CC176" i="464"/>
  <c r="BU176" i="464"/>
  <c r="BO176" i="464"/>
  <c r="BL176" i="464"/>
  <c r="BG176" i="464"/>
  <c r="BC176" i="464"/>
  <c r="AZ176" i="464"/>
  <c r="AX176" i="464"/>
  <c r="AQ176" i="464"/>
  <c r="AO176" i="464"/>
  <c r="AH176" i="464"/>
  <c r="AF176" i="464"/>
  <c r="AD176" i="464"/>
  <c r="AA176" i="464"/>
  <c r="V176" i="464"/>
  <c r="S176" i="464"/>
  <c r="P176" i="464"/>
  <c r="M176" i="464"/>
  <c r="J176" i="464"/>
  <c r="H176" i="464"/>
  <c r="E176" i="464"/>
  <c r="CY175" i="464"/>
  <c r="CW175" i="464"/>
  <c r="CR175" i="464"/>
  <c r="CO175" i="464"/>
  <c r="CH175" i="464"/>
  <c r="CC175" i="464"/>
  <c r="BU175" i="464"/>
  <c r="BO175" i="464"/>
  <c r="BL175" i="464"/>
  <c r="BG175" i="464"/>
  <c r="BC175" i="464"/>
  <c r="AZ175" i="464"/>
  <c r="AX175" i="464"/>
  <c r="AQ175" i="464"/>
  <c r="AO175" i="464"/>
  <c r="AH175" i="464"/>
  <c r="AF175" i="464"/>
  <c r="AD175" i="464"/>
  <c r="AA175" i="464"/>
  <c r="V175" i="464"/>
  <c r="S175" i="464"/>
  <c r="P175" i="464"/>
  <c r="M175" i="464"/>
  <c r="J175" i="464"/>
  <c r="H175" i="464"/>
  <c r="E175" i="464"/>
  <c r="CY174" i="464"/>
  <c r="CW174" i="464"/>
  <c r="CR174" i="464"/>
  <c r="CO174" i="464"/>
  <c r="CH174" i="464"/>
  <c r="CC174" i="464"/>
  <c r="BU174" i="464"/>
  <c r="BO174" i="464"/>
  <c r="BL174" i="464"/>
  <c r="BG174" i="464"/>
  <c r="BC174" i="464"/>
  <c r="AZ174" i="464"/>
  <c r="AX174" i="464"/>
  <c r="AQ174" i="464"/>
  <c r="AO174" i="464"/>
  <c r="AH174" i="464"/>
  <c r="AF174" i="464"/>
  <c r="AD174" i="464"/>
  <c r="AA174" i="464"/>
  <c r="V174" i="464"/>
  <c r="S174" i="464"/>
  <c r="P174" i="464"/>
  <c r="M174" i="464"/>
  <c r="J174" i="464"/>
  <c r="H174" i="464"/>
  <c r="E174" i="464"/>
  <c r="CY173" i="464"/>
  <c r="CW173" i="464"/>
  <c r="CR173" i="464"/>
  <c r="CO173" i="464"/>
  <c r="CH173" i="464"/>
  <c r="CC173" i="464"/>
  <c r="BU173" i="464"/>
  <c r="BO173" i="464"/>
  <c r="BL173" i="464"/>
  <c r="BG173" i="464"/>
  <c r="BC173" i="464"/>
  <c r="AZ173" i="464"/>
  <c r="AX173" i="464"/>
  <c r="AQ173" i="464"/>
  <c r="AO173" i="464"/>
  <c r="AH173" i="464"/>
  <c r="AF173" i="464"/>
  <c r="AD173" i="464"/>
  <c r="AA173" i="464"/>
  <c r="V173" i="464"/>
  <c r="S173" i="464"/>
  <c r="P173" i="464"/>
  <c r="M173" i="464"/>
  <c r="J173" i="464"/>
  <c r="H173" i="464"/>
  <c r="E173" i="464"/>
  <c r="CY172" i="464"/>
  <c r="CW172" i="464"/>
  <c r="CR172" i="464"/>
  <c r="CO172" i="464"/>
  <c r="CH172" i="464"/>
  <c r="CC172" i="464"/>
  <c r="BU172" i="464"/>
  <c r="BO172" i="464"/>
  <c r="BL172" i="464"/>
  <c r="BG172" i="464"/>
  <c r="BC172" i="464"/>
  <c r="AZ172" i="464"/>
  <c r="AX172" i="464"/>
  <c r="AQ172" i="464"/>
  <c r="AO172" i="464"/>
  <c r="AH172" i="464"/>
  <c r="AF172" i="464"/>
  <c r="AD172" i="464"/>
  <c r="AA172" i="464"/>
  <c r="V172" i="464"/>
  <c r="S172" i="464"/>
  <c r="P172" i="464"/>
  <c r="M172" i="464"/>
  <c r="J172" i="464"/>
  <c r="H172" i="464"/>
  <c r="E172" i="464"/>
  <c r="CY171" i="464"/>
  <c r="CW171" i="464"/>
  <c r="CR171" i="464"/>
  <c r="CO171" i="464"/>
  <c r="CH171" i="464"/>
  <c r="CC171" i="464"/>
  <c r="BU171" i="464"/>
  <c r="BO171" i="464"/>
  <c r="BL171" i="464"/>
  <c r="BG171" i="464"/>
  <c r="BC171" i="464"/>
  <c r="AZ171" i="464"/>
  <c r="AX171" i="464"/>
  <c r="AQ171" i="464"/>
  <c r="AO171" i="464"/>
  <c r="AH171" i="464"/>
  <c r="AF171" i="464"/>
  <c r="AD171" i="464"/>
  <c r="AA171" i="464"/>
  <c r="V171" i="464"/>
  <c r="S171" i="464"/>
  <c r="P171" i="464"/>
  <c r="M171" i="464"/>
  <c r="J171" i="464"/>
  <c r="H171" i="464"/>
  <c r="E171" i="464"/>
  <c r="CY170" i="464"/>
  <c r="CW170" i="464"/>
  <c r="CR170" i="464"/>
  <c r="CO170" i="464"/>
  <c r="CH170" i="464"/>
  <c r="CC170" i="464"/>
  <c r="BU170" i="464"/>
  <c r="BO170" i="464"/>
  <c r="BL170" i="464"/>
  <c r="BG170" i="464"/>
  <c r="BC170" i="464"/>
  <c r="AZ170" i="464"/>
  <c r="AX170" i="464"/>
  <c r="AQ170" i="464"/>
  <c r="AO170" i="464"/>
  <c r="AH170" i="464"/>
  <c r="AF170" i="464"/>
  <c r="AD170" i="464"/>
  <c r="AA170" i="464"/>
  <c r="V170" i="464"/>
  <c r="S170" i="464"/>
  <c r="P170" i="464"/>
  <c r="M170" i="464"/>
  <c r="J170" i="464"/>
  <c r="H170" i="464"/>
  <c r="E170" i="464"/>
  <c r="CY169" i="464"/>
  <c r="CW169" i="464"/>
  <c r="CR169" i="464"/>
  <c r="CO169" i="464"/>
  <c r="CH169" i="464"/>
  <c r="CC169" i="464"/>
  <c r="BU169" i="464"/>
  <c r="BO169" i="464"/>
  <c r="BL169" i="464"/>
  <c r="BG169" i="464"/>
  <c r="BC169" i="464"/>
  <c r="AZ169" i="464"/>
  <c r="AX169" i="464"/>
  <c r="AQ169" i="464"/>
  <c r="AO169" i="464"/>
  <c r="AH169" i="464"/>
  <c r="AF169" i="464"/>
  <c r="AD169" i="464"/>
  <c r="AA169" i="464"/>
  <c r="V169" i="464"/>
  <c r="S169" i="464"/>
  <c r="P169" i="464"/>
  <c r="M169" i="464"/>
  <c r="J169" i="464"/>
  <c r="H169" i="464"/>
  <c r="E169" i="464"/>
  <c r="CY168" i="464"/>
  <c r="CW168" i="464"/>
  <c r="CR168" i="464"/>
  <c r="CO168" i="464"/>
  <c r="CH168" i="464"/>
  <c r="CC168" i="464"/>
  <c r="BU168" i="464"/>
  <c r="BO168" i="464"/>
  <c r="BL168" i="464"/>
  <c r="BG168" i="464"/>
  <c r="BC168" i="464"/>
  <c r="AZ168" i="464"/>
  <c r="AX168" i="464"/>
  <c r="AQ168" i="464"/>
  <c r="AO168" i="464"/>
  <c r="AH168" i="464"/>
  <c r="AF168" i="464"/>
  <c r="AD168" i="464"/>
  <c r="AA168" i="464"/>
  <c r="V168" i="464"/>
  <c r="S168" i="464"/>
  <c r="P168" i="464"/>
  <c r="M168" i="464"/>
  <c r="J168" i="464"/>
  <c r="H168" i="464"/>
  <c r="E168" i="464"/>
  <c r="CY167" i="464"/>
  <c r="CW167" i="464"/>
  <c r="CR167" i="464"/>
  <c r="CO167" i="464"/>
  <c r="CH167" i="464"/>
  <c r="CC167" i="464"/>
  <c r="BU167" i="464"/>
  <c r="BO167" i="464"/>
  <c r="BL167" i="464"/>
  <c r="BG167" i="464"/>
  <c r="BC167" i="464"/>
  <c r="AZ167" i="464"/>
  <c r="AX167" i="464"/>
  <c r="AQ167" i="464"/>
  <c r="AO167" i="464"/>
  <c r="AH167" i="464"/>
  <c r="AF167" i="464"/>
  <c r="AD167" i="464"/>
  <c r="AA167" i="464"/>
  <c r="V167" i="464"/>
  <c r="S167" i="464"/>
  <c r="P167" i="464"/>
  <c r="M167" i="464"/>
  <c r="J167" i="464"/>
  <c r="H167" i="464"/>
  <c r="E167" i="464"/>
  <c r="CY166" i="464"/>
  <c r="CW166" i="464"/>
  <c r="CR166" i="464"/>
  <c r="CO166" i="464"/>
  <c r="CH166" i="464"/>
  <c r="CC166" i="464"/>
  <c r="BU166" i="464"/>
  <c r="BO166" i="464"/>
  <c r="BL166" i="464"/>
  <c r="BG166" i="464"/>
  <c r="BC166" i="464"/>
  <c r="AZ166" i="464"/>
  <c r="AX166" i="464"/>
  <c r="AQ166" i="464"/>
  <c r="AO166" i="464"/>
  <c r="AH166" i="464"/>
  <c r="AF166" i="464"/>
  <c r="AD166" i="464"/>
  <c r="AA166" i="464"/>
  <c r="V166" i="464"/>
  <c r="S166" i="464"/>
  <c r="P166" i="464"/>
  <c r="M166" i="464"/>
  <c r="J166" i="464"/>
  <c r="H166" i="464"/>
  <c r="E166" i="464"/>
  <c r="CY165" i="464"/>
  <c r="CW165" i="464"/>
  <c r="CR165" i="464"/>
  <c r="CO165" i="464"/>
  <c r="CH165" i="464"/>
  <c r="CC165" i="464"/>
  <c r="BU165" i="464"/>
  <c r="BO165" i="464"/>
  <c r="BL165" i="464"/>
  <c r="BG165" i="464"/>
  <c r="BC165" i="464"/>
  <c r="AZ165" i="464"/>
  <c r="AX165" i="464"/>
  <c r="AQ165" i="464"/>
  <c r="AO165" i="464"/>
  <c r="AH165" i="464"/>
  <c r="AF165" i="464"/>
  <c r="AD165" i="464"/>
  <c r="AA165" i="464"/>
  <c r="V165" i="464"/>
  <c r="S165" i="464"/>
  <c r="P165" i="464"/>
  <c r="M165" i="464"/>
  <c r="J165" i="464"/>
  <c r="H165" i="464"/>
  <c r="E165" i="464"/>
  <c r="CY164" i="464"/>
  <c r="CW164" i="464"/>
  <c r="CR164" i="464"/>
  <c r="CO164" i="464"/>
  <c r="CH164" i="464"/>
  <c r="CC164" i="464"/>
  <c r="BU164" i="464"/>
  <c r="BO164" i="464"/>
  <c r="BL164" i="464"/>
  <c r="BG164" i="464"/>
  <c r="BC164" i="464"/>
  <c r="AZ164" i="464"/>
  <c r="AX164" i="464"/>
  <c r="AQ164" i="464"/>
  <c r="AO164" i="464"/>
  <c r="AH164" i="464"/>
  <c r="AF164" i="464"/>
  <c r="AD164" i="464"/>
  <c r="AA164" i="464"/>
  <c r="V164" i="464"/>
  <c r="S164" i="464"/>
  <c r="P164" i="464"/>
  <c r="M164" i="464"/>
  <c r="J164" i="464"/>
  <c r="H164" i="464"/>
  <c r="E164" i="464"/>
  <c r="CY163" i="464"/>
  <c r="CW163" i="464"/>
  <c r="CR163" i="464"/>
  <c r="CO163" i="464"/>
  <c r="CH163" i="464"/>
  <c r="CC163" i="464"/>
  <c r="BU163" i="464"/>
  <c r="BO163" i="464"/>
  <c r="BL163" i="464"/>
  <c r="BG163" i="464"/>
  <c r="BC163" i="464"/>
  <c r="AZ163" i="464"/>
  <c r="AX163" i="464"/>
  <c r="AQ163" i="464"/>
  <c r="AO163" i="464"/>
  <c r="AH163" i="464"/>
  <c r="AF163" i="464"/>
  <c r="AD163" i="464"/>
  <c r="AA163" i="464"/>
  <c r="V163" i="464"/>
  <c r="S163" i="464"/>
  <c r="P163" i="464"/>
  <c r="M163" i="464"/>
  <c r="J163" i="464"/>
  <c r="H163" i="464"/>
  <c r="E163" i="464"/>
  <c r="CY162" i="464"/>
  <c r="CW162" i="464"/>
  <c r="CR162" i="464"/>
  <c r="CO162" i="464"/>
  <c r="CH162" i="464"/>
  <c r="CC162" i="464"/>
  <c r="BU162" i="464"/>
  <c r="BO162" i="464"/>
  <c r="BL162" i="464"/>
  <c r="BG162" i="464"/>
  <c r="BC162" i="464"/>
  <c r="AZ162" i="464"/>
  <c r="AX162" i="464"/>
  <c r="AQ162" i="464"/>
  <c r="AO162" i="464"/>
  <c r="AH162" i="464"/>
  <c r="AF162" i="464"/>
  <c r="AD162" i="464"/>
  <c r="AA162" i="464"/>
  <c r="V162" i="464"/>
  <c r="S162" i="464"/>
  <c r="P162" i="464"/>
  <c r="M162" i="464"/>
  <c r="J162" i="464"/>
  <c r="H162" i="464"/>
  <c r="E162" i="464"/>
  <c r="CY161" i="464"/>
  <c r="CW161" i="464"/>
  <c r="CR161" i="464"/>
  <c r="CO161" i="464"/>
  <c r="CH161" i="464"/>
  <c r="CC161" i="464"/>
  <c r="BU161" i="464"/>
  <c r="BO161" i="464"/>
  <c r="BL161" i="464"/>
  <c r="BG161" i="464"/>
  <c r="BC161" i="464"/>
  <c r="AZ161" i="464"/>
  <c r="AX161" i="464"/>
  <c r="AQ161" i="464"/>
  <c r="AO161" i="464"/>
  <c r="AH161" i="464"/>
  <c r="AF161" i="464"/>
  <c r="AD161" i="464"/>
  <c r="AA161" i="464"/>
  <c r="V161" i="464"/>
  <c r="S161" i="464"/>
  <c r="P161" i="464"/>
  <c r="M161" i="464"/>
  <c r="J161" i="464"/>
  <c r="H161" i="464"/>
  <c r="E161" i="464"/>
  <c r="CY160" i="464"/>
  <c r="CW160" i="464"/>
  <c r="CR160" i="464"/>
  <c r="CO160" i="464"/>
  <c r="CH160" i="464"/>
  <c r="CC160" i="464"/>
  <c r="BU160" i="464"/>
  <c r="BO160" i="464"/>
  <c r="BL160" i="464"/>
  <c r="BG160" i="464"/>
  <c r="BC160" i="464"/>
  <c r="AZ160" i="464"/>
  <c r="AX160" i="464"/>
  <c r="AQ160" i="464"/>
  <c r="AO160" i="464"/>
  <c r="AH160" i="464"/>
  <c r="AF160" i="464"/>
  <c r="AD160" i="464"/>
  <c r="AA160" i="464"/>
  <c r="V160" i="464"/>
  <c r="S160" i="464"/>
  <c r="P160" i="464"/>
  <c r="M160" i="464"/>
  <c r="J160" i="464"/>
  <c r="H160" i="464"/>
  <c r="E160" i="464"/>
  <c r="CY159" i="464"/>
  <c r="CW159" i="464"/>
  <c r="CR159" i="464"/>
  <c r="CO159" i="464"/>
  <c r="CH159" i="464"/>
  <c r="CC159" i="464"/>
  <c r="BU159" i="464"/>
  <c r="BO159" i="464"/>
  <c r="BL159" i="464"/>
  <c r="BG159" i="464"/>
  <c r="BC159" i="464"/>
  <c r="AZ159" i="464"/>
  <c r="AX159" i="464"/>
  <c r="AQ159" i="464"/>
  <c r="AO159" i="464"/>
  <c r="AH159" i="464"/>
  <c r="AF159" i="464"/>
  <c r="AD159" i="464"/>
  <c r="AA159" i="464"/>
  <c r="V159" i="464"/>
  <c r="S159" i="464"/>
  <c r="P159" i="464"/>
  <c r="M159" i="464"/>
  <c r="J159" i="464"/>
  <c r="H159" i="464"/>
  <c r="E159" i="464"/>
  <c r="CY158" i="464"/>
  <c r="CW158" i="464"/>
  <c r="CR158" i="464"/>
  <c r="CO158" i="464"/>
  <c r="CH158" i="464"/>
  <c r="CC158" i="464"/>
  <c r="BU158" i="464"/>
  <c r="BO158" i="464"/>
  <c r="BL158" i="464"/>
  <c r="BG158" i="464"/>
  <c r="BC158" i="464"/>
  <c r="AZ158" i="464"/>
  <c r="AX158" i="464"/>
  <c r="AQ158" i="464"/>
  <c r="AO158" i="464"/>
  <c r="AH158" i="464"/>
  <c r="AF158" i="464"/>
  <c r="AD158" i="464"/>
  <c r="AA158" i="464"/>
  <c r="V158" i="464"/>
  <c r="S158" i="464"/>
  <c r="P158" i="464"/>
  <c r="M158" i="464"/>
  <c r="J158" i="464"/>
  <c r="H158" i="464"/>
  <c r="E158" i="464"/>
  <c r="CY156" i="464"/>
  <c r="CW156" i="464"/>
  <c r="CR156" i="464"/>
  <c r="CO156" i="464"/>
  <c r="CH156" i="464"/>
  <c r="CC156" i="464"/>
  <c r="BU156" i="464"/>
  <c r="BO156" i="464"/>
  <c r="BL156" i="464"/>
  <c r="BG156" i="464"/>
  <c r="BC156" i="464"/>
  <c r="AZ156" i="464"/>
  <c r="AX156" i="464"/>
  <c r="AU156" i="464"/>
  <c r="AQ156" i="464"/>
  <c r="AO156" i="464"/>
  <c r="AH156" i="464"/>
  <c r="AF156" i="464"/>
  <c r="AD156" i="464"/>
  <c r="AA156" i="464"/>
  <c r="V156" i="464"/>
  <c r="S156" i="464"/>
  <c r="P156" i="464"/>
  <c r="M156" i="464"/>
  <c r="J156" i="464"/>
  <c r="H156" i="464"/>
  <c r="E156" i="464"/>
  <c r="CY155" i="464"/>
  <c r="CW155" i="464"/>
  <c r="CR155" i="464"/>
  <c r="CO155" i="464"/>
  <c r="CH155" i="464"/>
  <c r="CC155" i="464"/>
  <c r="BU155" i="464"/>
  <c r="BO155" i="464"/>
  <c r="BL155" i="464"/>
  <c r="BG155" i="464"/>
  <c r="BC155" i="464"/>
  <c r="AZ155" i="464"/>
  <c r="AX155" i="464"/>
  <c r="AU155" i="464"/>
  <c r="AQ155" i="464"/>
  <c r="AH155" i="464"/>
  <c r="AF155" i="464"/>
  <c r="AD155" i="464"/>
  <c r="AA155" i="464"/>
  <c r="V155" i="464"/>
  <c r="S155" i="464"/>
  <c r="P155" i="464"/>
  <c r="M155" i="464"/>
  <c r="J155" i="464"/>
  <c r="H155" i="464"/>
  <c r="E155" i="464"/>
  <c r="CY154" i="464"/>
  <c r="CW154" i="464"/>
  <c r="CR154" i="464"/>
  <c r="CO154" i="464"/>
  <c r="CH154" i="464"/>
  <c r="CC154" i="464"/>
  <c r="BU154" i="464"/>
  <c r="BO154" i="464"/>
  <c r="BL154" i="464"/>
  <c r="BG154" i="464"/>
  <c r="BC154" i="464"/>
  <c r="AZ154" i="464"/>
  <c r="AX154" i="464"/>
  <c r="AQ154" i="464"/>
  <c r="AH154" i="464"/>
  <c r="AF154" i="464"/>
  <c r="AD154" i="464"/>
  <c r="V154" i="464"/>
  <c r="S154" i="464"/>
  <c r="P154" i="464"/>
  <c r="M154" i="464"/>
  <c r="J154" i="464"/>
  <c r="H154" i="464"/>
  <c r="E154" i="464"/>
  <c r="CY153" i="464"/>
  <c r="CW153" i="464"/>
  <c r="CR153" i="464"/>
  <c r="CO153" i="464"/>
  <c r="CH153" i="464"/>
  <c r="CC153" i="464"/>
  <c r="BU153" i="464"/>
  <c r="BO153" i="464"/>
  <c r="BL153" i="464"/>
  <c r="BG153" i="464"/>
  <c r="BC153" i="464"/>
  <c r="AZ153" i="464"/>
  <c r="AX153" i="464"/>
  <c r="AQ153" i="464"/>
  <c r="AH153" i="464"/>
  <c r="AF153" i="464"/>
  <c r="AD153" i="464"/>
  <c r="V153" i="464"/>
  <c r="S153" i="464"/>
  <c r="P153" i="464"/>
  <c r="M153" i="464"/>
  <c r="J153" i="464"/>
  <c r="H153" i="464"/>
  <c r="E153" i="464"/>
  <c r="CY152" i="464"/>
  <c r="CW152" i="464"/>
  <c r="CR152" i="464"/>
  <c r="CO152" i="464"/>
  <c r="CH152" i="464"/>
  <c r="CC152" i="464"/>
  <c r="BU152" i="464"/>
  <c r="BO152" i="464"/>
  <c r="BL152" i="464"/>
  <c r="BG152" i="464"/>
  <c r="BC152" i="464"/>
  <c r="AZ152" i="464"/>
  <c r="AX152" i="464"/>
  <c r="AQ152" i="464"/>
  <c r="AO152" i="464"/>
  <c r="AH152" i="464"/>
  <c r="AF152" i="464"/>
  <c r="AD152" i="464"/>
  <c r="V152" i="464"/>
  <c r="S152" i="464"/>
  <c r="P152" i="464"/>
  <c r="M152" i="464"/>
  <c r="J152" i="464"/>
  <c r="H152" i="464"/>
  <c r="E152" i="464"/>
  <c r="CY151" i="464"/>
  <c r="CW151" i="464"/>
  <c r="CR151" i="464"/>
  <c r="CO151" i="464"/>
  <c r="CH151" i="464"/>
  <c r="CC151" i="464"/>
  <c r="BU151" i="464"/>
  <c r="BO151" i="464"/>
  <c r="BL151" i="464"/>
  <c r="BG151" i="464"/>
  <c r="BC151" i="464"/>
  <c r="AZ151" i="464"/>
  <c r="AX151" i="464"/>
  <c r="AQ151" i="464"/>
  <c r="AO151" i="464"/>
  <c r="AH151" i="464"/>
  <c r="AF151" i="464"/>
  <c r="AD151" i="464"/>
  <c r="V151" i="464"/>
  <c r="S151" i="464"/>
  <c r="P151" i="464"/>
  <c r="M151" i="464"/>
  <c r="J151" i="464"/>
  <c r="H151" i="464"/>
  <c r="E151" i="464"/>
  <c r="CY150" i="464"/>
  <c r="CW150" i="464"/>
  <c r="CR150" i="464"/>
  <c r="CO150" i="464"/>
  <c r="CH150" i="464"/>
  <c r="CC150" i="464"/>
  <c r="BU150" i="464"/>
  <c r="BO150" i="464"/>
  <c r="BL150" i="464"/>
  <c r="BG150" i="464"/>
  <c r="BC150" i="464"/>
  <c r="AZ150" i="464"/>
  <c r="AX150" i="464"/>
  <c r="AQ150" i="464"/>
  <c r="AO150" i="464"/>
  <c r="AH150" i="464"/>
  <c r="AF150" i="464"/>
  <c r="AD150" i="464"/>
  <c r="V150" i="464"/>
  <c r="S150" i="464"/>
  <c r="P150" i="464"/>
  <c r="M150" i="464"/>
  <c r="J150" i="464"/>
  <c r="H150" i="464"/>
  <c r="E150" i="464"/>
  <c r="CY149" i="464"/>
  <c r="CW149" i="464"/>
  <c r="CR149" i="464"/>
  <c r="CO149" i="464"/>
  <c r="CH149" i="464"/>
  <c r="CC149" i="464"/>
  <c r="BU149" i="464"/>
  <c r="BO149" i="464"/>
  <c r="BL149" i="464"/>
  <c r="BG149" i="464"/>
  <c r="BC149" i="464"/>
  <c r="AZ149" i="464"/>
  <c r="AX149" i="464"/>
  <c r="AQ149" i="464"/>
  <c r="AH149" i="464"/>
  <c r="AF149" i="464"/>
  <c r="AD149" i="464"/>
  <c r="V149" i="464"/>
  <c r="S149" i="464"/>
  <c r="P149" i="464"/>
  <c r="M149" i="464"/>
  <c r="J149" i="464"/>
  <c r="H149" i="464"/>
  <c r="E149" i="464"/>
  <c r="CY148" i="464"/>
  <c r="CW148" i="464"/>
  <c r="CR148" i="464"/>
  <c r="CO148" i="464"/>
  <c r="CH148" i="464"/>
  <c r="CC148" i="464"/>
  <c r="BU148" i="464"/>
  <c r="BO148" i="464"/>
  <c r="BL148" i="464"/>
  <c r="BG148" i="464"/>
  <c r="BC148" i="464"/>
  <c r="AZ148" i="464"/>
  <c r="AX148" i="464"/>
  <c r="AQ148" i="464"/>
  <c r="AH148" i="464"/>
  <c r="AF148" i="464"/>
  <c r="AD148" i="464"/>
  <c r="V148" i="464"/>
  <c r="S148" i="464"/>
  <c r="P148" i="464"/>
  <c r="M148" i="464"/>
  <c r="J148" i="464"/>
  <c r="H148" i="464"/>
  <c r="E148" i="464"/>
  <c r="CY147" i="464"/>
  <c r="CW147" i="464"/>
  <c r="CR147" i="464"/>
  <c r="CO147" i="464"/>
  <c r="CH147" i="464"/>
  <c r="CC147" i="464"/>
  <c r="BU147" i="464"/>
  <c r="BO147" i="464"/>
  <c r="BL147" i="464"/>
  <c r="BG147" i="464"/>
  <c r="BC147" i="464"/>
  <c r="AZ147" i="464"/>
  <c r="AX147" i="464"/>
  <c r="AQ147" i="464"/>
  <c r="AH147" i="464"/>
  <c r="AF147" i="464"/>
  <c r="AD147" i="464"/>
  <c r="V147" i="464"/>
  <c r="S147" i="464"/>
  <c r="P147" i="464"/>
  <c r="M147" i="464"/>
  <c r="J147" i="464"/>
  <c r="H147" i="464"/>
  <c r="E147" i="464"/>
  <c r="CY146" i="464"/>
  <c r="CW146" i="464"/>
  <c r="CR146" i="464"/>
  <c r="CO146" i="464"/>
  <c r="CH146" i="464"/>
  <c r="CC146" i="464"/>
  <c r="BU146" i="464"/>
  <c r="BO146" i="464"/>
  <c r="BL146" i="464"/>
  <c r="BG146" i="464"/>
  <c r="BC146" i="464"/>
  <c r="AZ146" i="464"/>
  <c r="AX146" i="464"/>
  <c r="AQ146" i="464"/>
  <c r="AH146" i="464"/>
  <c r="AF146" i="464"/>
  <c r="AD146" i="464"/>
  <c r="V146" i="464"/>
  <c r="S146" i="464"/>
  <c r="P146" i="464"/>
  <c r="M146" i="464"/>
  <c r="J146" i="464"/>
  <c r="H146" i="464"/>
  <c r="E146" i="464"/>
  <c r="CY145" i="464"/>
  <c r="CW145" i="464"/>
  <c r="CR145" i="464"/>
  <c r="CO145" i="464"/>
  <c r="CH145" i="464"/>
  <c r="CC145" i="464"/>
  <c r="BU145" i="464"/>
  <c r="BO145" i="464"/>
  <c r="BL145" i="464"/>
  <c r="BG145" i="464"/>
  <c r="BC145" i="464"/>
  <c r="AZ145" i="464"/>
  <c r="AX145" i="464"/>
  <c r="AQ145" i="464"/>
  <c r="AO145" i="464"/>
  <c r="AH145" i="464"/>
  <c r="AF145" i="464"/>
  <c r="AD145" i="464"/>
  <c r="AA145" i="464"/>
  <c r="V145" i="464"/>
  <c r="S145" i="464"/>
  <c r="P145" i="464"/>
  <c r="M145" i="464"/>
  <c r="J145" i="464"/>
  <c r="H145" i="464"/>
  <c r="E145" i="464"/>
  <c r="CY144" i="464"/>
  <c r="CW144" i="464"/>
  <c r="CR144" i="464"/>
  <c r="CO144" i="464"/>
  <c r="CH144" i="464"/>
  <c r="CC144" i="464"/>
  <c r="BU144" i="464"/>
  <c r="BO144" i="464"/>
  <c r="BL144" i="464"/>
  <c r="BG144" i="464"/>
  <c r="BC144" i="464"/>
  <c r="AZ144" i="464"/>
  <c r="AX144" i="464"/>
  <c r="AQ144" i="464"/>
  <c r="AH144" i="464"/>
  <c r="AF144" i="464"/>
  <c r="AD144" i="464"/>
  <c r="AA144" i="464"/>
  <c r="V144" i="464"/>
  <c r="S144" i="464"/>
  <c r="P144" i="464"/>
  <c r="M144" i="464"/>
  <c r="J144" i="464"/>
  <c r="H144" i="464"/>
  <c r="E144" i="464"/>
  <c r="CY142" i="464"/>
  <c r="CW142" i="464"/>
  <c r="CR142" i="464"/>
  <c r="CO142" i="464"/>
  <c r="CH142" i="464"/>
  <c r="CC142" i="464"/>
  <c r="BU142" i="464"/>
  <c r="BO142" i="464"/>
  <c r="BL142" i="464"/>
  <c r="BG142" i="464"/>
  <c r="BC142" i="464"/>
  <c r="AZ142" i="464"/>
  <c r="AX142" i="464"/>
  <c r="AQ142" i="464"/>
  <c r="AO142" i="464"/>
  <c r="AH142" i="464"/>
  <c r="AF142" i="464"/>
  <c r="AD142" i="464"/>
  <c r="AA142" i="464"/>
  <c r="V142" i="464"/>
  <c r="S142" i="464"/>
  <c r="P142" i="464"/>
  <c r="M142" i="464"/>
  <c r="J142" i="464"/>
  <c r="H142" i="464"/>
  <c r="E142" i="464"/>
  <c r="CY141" i="464"/>
  <c r="CW141" i="464"/>
  <c r="CR141" i="464"/>
  <c r="CO141" i="464"/>
  <c r="CH141" i="464"/>
  <c r="CC141" i="464"/>
  <c r="BU141" i="464"/>
  <c r="BO141" i="464"/>
  <c r="BL141" i="464"/>
  <c r="BG141" i="464"/>
  <c r="BC141" i="464"/>
  <c r="AZ141" i="464"/>
  <c r="AX141" i="464"/>
  <c r="AQ141" i="464"/>
  <c r="AO141" i="464"/>
  <c r="AH141" i="464"/>
  <c r="AF141" i="464"/>
  <c r="AD141" i="464"/>
  <c r="AA141" i="464"/>
  <c r="V141" i="464"/>
  <c r="S141" i="464"/>
  <c r="P141" i="464"/>
  <c r="M141" i="464"/>
  <c r="J141" i="464"/>
  <c r="H141" i="464"/>
  <c r="E141" i="464"/>
  <c r="CY140" i="464"/>
  <c r="CW140" i="464"/>
  <c r="CR140" i="464"/>
  <c r="CO140" i="464"/>
  <c r="CH140" i="464"/>
  <c r="CC140" i="464"/>
  <c r="BU140" i="464"/>
  <c r="BO140" i="464"/>
  <c r="BL140" i="464"/>
  <c r="BG140" i="464"/>
  <c r="BC140" i="464"/>
  <c r="AZ140" i="464"/>
  <c r="AX140" i="464"/>
  <c r="AQ140" i="464"/>
  <c r="AO140" i="464"/>
  <c r="AH140" i="464"/>
  <c r="AF140" i="464"/>
  <c r="AD140" i="464"/>
  <c r="AA140" i="464"/>
  <c r="V140" i="464"/>
  <c r="S140" i="464"/>
  <c r="P140" i="464"/>
  <c r="M140" i="464"/>
  <c r="J140" i="464"/>
  <c r="H140" i="464"/>
  <c r="E140" i="464"/>
  <c r="CY139" i="464"/>
  <c r="CW139" i="464"/>
  <c r="CR139" i="464"/>
  <c r="CO139" i="464"/>
  <c r="CH139" i="464"/>
  <c r="CC139" i="464"/>
  <c r="BU139" i="464"/>
  <c r="BO139" i="464"/>
  <c r="BL139" i="464"/>
  <c r="BG139" i="464"/>
  <c r="BC139" i="464"/>
  <c r="AZ139" i="464"/>
  <c r="AX139" i="464"/>
  <c r="AQ139" i="464"/>
  <c r="AO139" i="464"/>
  <c r="AH139" i="464"/>
  <c r="AF139" i="464"/>
  <c r="AD139" i="464"/>
  <c r="AA139" i="464"/>
  <c r="V139" i="464"/>
  <c r="S139" i="464"/>
  <c r="P139" i="464"/>
  <c r="M139" i="464"/>
  <c r="J139" i="464"/>
  <c r="H139" i="464"/>
  <c r="E139" i="464"/>
  <c r="CY138" i="464"/>
  <c r="CW138" i="464"/>
  <c r="CR138" i="464"/>
  <c r="CO138" i="464"/>
  <c r="CH138" i="464"/>
  <c r="CC138" i="464"/>
  <c r="BU138" i="464"/>
  <c r="BO138" i="464"/>
  <c r="BL138" i="464"/>
  <c r="BG138" i="464"/>
  <c r="BC138" i="464"/>
  <c r="AZ138" i="464"/>
  <c r="AX138" i="464"/>
  <c r="AQ138" i="464"/>
  <c r="AO138" i="464"/>
  <c r="AH138" i="464"/>
  <c r="AF138" i="464"/>
  <c r="AD138" i="464"/>
  <c r="AA138" i="464"/>
  <c r="V138" i="464"/>
  <c r="S138" i="464"/>
  <c r="P138" i="464"/>
  <c r="M138" i="464"/>
  <c r="J138" i="464"/>
  <c r="H138" i="464"/>
  <c r="E138" i="464"/>
  <c r="CY137" i="464"/>
  <c r="CW137" i="464"/>
  <c r="CR137" i="464"/>
  <c r="CO137" i="464"/>
  <c r="CH137" i="464"/>
  <c r="CC137" i="464"/>
  <c r="BU137" i="464"/>
  <c r="BO137" i="464"/>
  <c r="BL137" i="464"/>
  <c r="BG137" i="464"/>
  <c r="BC137" i="464"/>
  <c r="AZ137" i="464"/>
  <c r="AX137" i="464"/>
  <c r="AQ137" i="464"/>
  <c r="AO137" i="464"/>
  <c r="AH137" i="464"/>
  <c r="AF137" i="464"/>
  <c r="AD137" i="464"/>
  <c r="AA137" i="464"/>
  <c r="V137" i="464"/>
  <c r="S137" i="464"/>
  <c r="P137" i="464"/>
  <c r="M137" i="464"/>
  <c r="J137" i="464"/>
  <c r="H137" i="464"/>
  <c r="E137" i="464"/>
  <c r="CY136" i="464"/>
  <c r="CW136" i="464"/>
  <c r="CR136" i="464"/>
  <c r="CO136" i="464"/>
  <c r="CH136" i="464"/>
  <c r="CC136" i="464"/>
  <c r="BU136" i="464"/>
  <c r="BO136" i="464"/>
  <c r="BL136" i="464"/>
  <c r="BG136" i="464"/>
  <c r="BC136" i="464"/>
  <c r="AZ136" i="464"/>
  <c r="AX136" i="464"/>
  <c r="AQ136" i="464"/>
  <c r="AO136" i="464"/>
  <c r="AH136" i="464"/>
  <c r="AF136" i="464"/>
  <c r="AD136" i="464"/>
  <c r="AA136" i="464"/>
  <c r="V136" i="464"/>
  <c r="S136" i="464"/>
  <c r="P136" i="464"/>
  <c r="M136" i="464"/>
  <c r="J136" i="464"/>
  <c r="H136" i="464"/>
  <c r="E136" i="464"/>
  <c r="CY135" i="464"/>
  <c r="CW135" i="464"/>
  <c r="CR135" i="464"/>
  <c r="CO135" i="464"/>
  <c r="CH135" i="464"/>
  <c r="CC135" i="464"/>
  <c r="BU135" i="464"/>
  <c r="BO135" i="464"/>
  <c r="BL135" i="464"/>
  <c r="BG135" i="464"/>
  <c r="BC135" i="464"/>
  <c r="AZ135" i="464"/>
  <c r="AX135" i="464"/>
  <c r="AQ135" i="464"/>
  <c r="AO135" i="464"/>
  <c r="AH135" i="464"/>
  <c r="AF135" i="464"/>
  <c r="AD135" i="464"/>
  <c r="AA135" i="464"/>
  <c r="V135" i="464"/>
  <c r="S135" i="464"/>
  <c r="P135" i="464"/>
  <c r="M135" i="464"/>
  <c r="J135" i="464"/>
  <c r="H135" i="464"/>
  <c r="E135" i="464"/>
  <c r="CY134" i="464"/>
  <c r="CW134" i="464"/>
  <c r="CR134" i="464"/>
  <c r="CO134" i="464"/>
  <c r="CH134" i="464"/>
  <c r="CC134" i="464"/>
  <c r="BU134" i="464"/>
  <c r="BO134" i="464"/>
  <c r="BL134" i="464"/>
  <c r="BG134" i="464"/>
  <c r="BC134" i="464"/>
  <c r="AZ134" i="464"/>
  <c r="AX134" i="464"/>
  <c r="AQ134" i="464"/>
  <c r="AO134" i="464"/>
  <c r="AH134" i="464"/>
  <c r="AF134" i="464"/>
  <c r="AD134" i="464"/>
  <c r="AA134" i="464"/>
  <c r="V134" i="464"/>
  <c r="S134" i="464"/>
  <c r="P134" i="464"/>
  <c r="M134" i="464"/>
  <c r="J134" i="464"/>
  <c r="H134" i="464"/>
  <c r="E134" i="464"/>
  <c r="CY133" i="464"/>
  <c r="CW133" i="464"/>
  <c r="CR133" i="464"/>
  <c r="CO133" i="464"/>
  <c r="CH133" i="464"/>
  <c r="CC133" i="464"/>
  <c r="BU133" i="464"/>
  <c r="BO133" i="464"/>
  <c r="BL133" i="464"/>
  <c r="BG133" i="464"/>
  <c r="BC133" i="464"/>
  <c r="AZ133" i="464"/>
  <c r="AX133" i="464"/>
  <c r="AQ133" i="464"/>
  <c r="AO133" i="464"/>
  <c r="AH133" i="464"/>
  <c r="AF133" i="464"/>
  <c r="AD133" i="464"/>
  <c r="AA133" i="464"/>
  <c r="V133" i="464"/>
  <c r="S133" i="464"/>
  <c r="P133" i="464"/>
  <c r="M133" i="464"/>
  <c r="J133" i="464"/>
  <c r="H133" i="464"/>
  <c r="E133" i="464"/>
  <c r="CY132" i="464"/>
  <c r="CW132" i="464"/>
  <c r="CR132" i="464"/>
  <c r="CO132" i="464"/>
  <c r="CH132" i="464"/>
  <c r="CC132" i="464"/>
  <c r="BU132" i="464"/>
  <c r="BO132" i="464"/>
  <c r="BL132" i="464"/>
  <c r="BG132" i="464"/>
  <c r="BC132" i="464"/>
  <c r="AZ132" i="464"/>
  <c r="AX132" i="464"/>
  <c r="AQ132" i="464"/>
  <c r="AO132" i="464"/>
  <c r="AH132" i="464"/>
  <c r="AF132" i="464"/>
  <c r="AD132" i="464"/>
  <c r="AA132" i="464"/>
  <c r="V132" i="464"/>
  <c r="S132" i="464"/>
  <c r="P132" i="464"/>
  <c r="M132" i="464"/>
  <c r="J132" i="464"/>
  <c r="H132" i="464"/>
  <c r="E132" i="464"/>
  <c r="CY131" i="464"/>
  <c r="CW131" i="464"/>
  <c r="CR131" i="464"/>
  <c r="CO131" i="464"/>
  <c r="CH131" i="464"/>
  <c r="CC131" i="464"/>
  <c r="BU131" i="464"/>
  <c r="BO131" i="464"/>
  <c r="BL131" i="464"/>
  <c r="BG131" i="464"/>
  <c r="BC131" i="464"/>
  <c r="AZ131" i="464"/>
  <c r="AX131" i="464"/>
  <c r="AQ131" i="464"/>
  <c r="AO131" i="464"/>
  <c r="AH131" i="464"/>
  <c r="AF131" i="464"/>
  <c r="AD131" i="464"/>
  <c r="AA131" i="464"/>
  <c r="V131" i="464"/>
  <c r="S131" i="464"/>
  <c r="P131" i="464"/>
  <c r="M131" i="464"/>
  <c r="J131" i="464"/>
  <c r="H131" i="464"/>
  <c r="E131" i="464"/>
  <c r="CY130" i="464"/>
  <c r="CW130" i="464"/>
  <c r="CR130" i="464"/>
  <c r="CO130" i="464"/>
  <c r="CH130" i="464"/>
  <c r="CC130" i="464"/>
  <c r="BU130" i="464"/>
  <c r="BO130" i="464"/>
  <c r="BL130" i="464"/>
  <c r="BG130" i="464"/>
  <c r="BC130" i="464"/>
  <c r="AZ130" i="464"/>
  <c r="AX130" i="464"/>
  <c r="AQ130" i="464"/>
  <c r="AO130" i="464"/>
  <c r="AH130" i="464"/>
  <c r="AF130" i="464"/>
  <c r="AD130" i="464"/>
  <c r="AA130" i="464"/>
  <c r="V130" i="464"/>
  <c r="S130" i="464"/>
  <c r="P130" i="464"/>
  <c r="M130" i="464"/>
  <c r="J130" i="464"/>
  <c r="H130" i="464"/>
  <c r="E130" i="464"/>
  <c r="CY129" i="464"/>
  <c r="CW129" i="464"/>
  <c r="CR129" i="464"/>
  <c r="CO129" i="464"/>
  <c r="CH129" i="464"/>
  <c r="CC129" i="464"/>
  <c r="BU129" i="464"/>
  <c r="BO129" i="464"/>
  <c r="BL129" i="464"/>
  <c r="BG129" i="464"/>
  <c r="BC129" i="464"/>
  <c r="AZ129" i="464"/>
  <c r="AX129" i="464"/>
  <c r="AQ129" i="464"/>
  <c r="AO129" i="464"/>
  <c r="AH129" i="464"/>
  <c r="AF129" i="464"/>
  <c r="AD129" i="464"/>
  <c r="AA129" i="464"/>
  <c r="V129" i="464"/>
  <c r="S129" i="464"/>
  <c r="P129" i="464"/>
  <c r="M129" i="464"/>
  <c r="J129" i="464"/>
  <c r="H129" i="464"/>
  <c r="E129" i="464"/>
  <c r="CY128" i="464"/>
  <c r="CW128" i="464"/>
  <c r="CR128" i="464"/>
  <c r="CO128" i="464"/>
  <c r="CH128" i="464"/>
  <c r="CC128" i="464"/>
  <c r="BU128" i="464"/>
  <c r="BO128" i="464"/>
  <c r="BL128" i="464"/>
  <c r="BG128" i="464"/>
  <c r="BC128" i="464"/>
  <c r="AZ128" i="464"/>
  <c r="AX128" i="464"/>
  <c r="AQ128" i="464"/>
  <c r="AO128" i="464"/>
  <c r="AH128" i="464"/>
  <c r="AF128" i="464"/>
  <c r="AD128" i="464"/>
  <c r="AA128" i="464"/>
  <c r="V128" i="464"/>
  <c r="S128" i="464"/>
  <c r="P128" i="464"/>
  <c r="M128" i="464"/>
  <c r="J128" i="464"/>
  <c r="H128" i="464"/>
  <c r="E128" i="464"/>
  <c r="CY127" i="464"/>
  <c r="CW127" i="464"/>
  <c r="CR127" i="464"/>
  <c r="CO127" i="464"/>
  <c r="CH127" i="464"/>
  <c r="CC127" i="464"/>
  <c r="BU127" i="464"/>
  <c r="BO127" i="464"/>
  <c r="BL127" i="464"/>
  <c r="BG127" i="464"/>
  <c r="BC127" i="464"/>
  <c r="AZ127" i="464"/>
  <c r="AX127" i="464"/>
  <c r="AQ127" i="464"/>
  <c r="AO127" i="464"/>
  <c r="AH127" i="464"/>
  <c r="AF127" i="464"/>
  <c r="AD127" i="464"/>
  <c r="AA127" i="464"/>
  <c r="V127" i="464"/>
  <c r="S127" i="464"/>
  <c r="P127" i="464"/>
  <c r="M127" i="464"/>
  <c r="J127" i="464"/>
  <c r="H127" i="464"/>
  <c r="E127" i="464"/>
  <c r="CY126" i="464"/>
  <c r="CW126" i="464"/>
  <c r="CR126" i="464"/>
  <c r="CO126" i="464"/>
  <c r="CH126" i="464"/>
  <c r="CC126" i="464"/>
  <c r="BU126" i="464"/>
  <c r="BO126" i="464"/>
  <c r="BL126" i="464"/>
  <c r="BG126" i="464"/>
  <c r="BC126" i="464"/>
  <c r="AZ126" i="464"/>
  <c r="AX126" i="464"/>
  <c r="AQ126" i="464"/>
  <c r="AO126" i="464"/>
  <c r="AH126" i="464"/>
  <c r="AF126" i="464"/>
  <c r="AD126" i="464"/>
  <c r="AA126" i="464"/>
  <c r="V126" i="464"/>
  <c r="S126" i="464"/>
  <c r="P126" i="464"/>
  <c r="M126" i="464"/>
  <c r="J126" i="464"/>
  <c r="H126" i="464"/>
  <c r="E126" i="464"/>
  <c r="CY125" i="464"/>
  <c r="CW125" i="464"/>
  <c r="CR125" i="464"/>
  <c r="CO125" i="464"/>
  <c r="CH125" i="464"/>
  <c r="CC125" i="464"/>
  <c r="BU125" i="464"/>
  <c r="BO125" i="464"/>
  <c r="BL125" i="464"/>
  <c r="BG125" i="464"/>
  <c r="BC125" i="464"/>
  <c r="AZ125" i="464"/>
  <c r="AX125" i="464"/>
  <c r="AQ125" i="464"/>
  <c r="AO125" i="464"/>
  <c r="AH125" i="464"/>
  <c r="AF125" i="464"/>
  <c r="AD125" i="464"/>
  <c r="AA125" i="464"/>
  <c r="V125" i="464"/>
  <c r="S125" i="464"/>
  <c r="P125" i="464"/>
  <c r="M125" i="464"/>
  <c r="J125" i="464"/>
  <c r="H125" i="464"/>
  <c r="E125" i="464"/>
  <c r="CO123" i="464"/>
  <c r="BU123" i="464"/>
  <c r="CO122" i="464"/>
  <c r="BU122" i="464"/>
  <c r="CO121" i="464"/>
  <c r="BU121" i="464"/>
  <c r="CO120" i="464"/>
  <c r="BU120" i="464"/>
  <c r="CO119" i="464"/>
  <c r="BU119" i="464"/>
  <c r="CY118" i="464"/>
  <c r="CW118" i="464"/>
  <c r="CR118" i="464"/>
  <c r="CO118" i="464"/>
  <c r="CH118" i="464"/>
  <c r="CC118" i="464"/>
  <c r="BU118" i="464"/>
  <c r="BO118" i="464"/>
  <c r="BL118" i="464"/>
  <c r="BG118" i="464"/>
  <c r="BC118" i="464"/>
  <c r="AZ118" i="464"/>
  <c r="AX118" i="464"/>
  <c r="AU118" i="464"/>
  <c r="AQ118" i="464"/>
  <c r="AO118" i="464"/>
  <c r="AH118" i="464"/>
  <c r="AF118" i="464"/>
  <c r="AD118" i="464"/>
  <c r="AA118" i="464"/>
  <c r="V118" i="464"/>
  <c r="S118" i="464"/>
  <c r="P118" i="464"/>
  <c r="M118" i="464"/>
  <c r="J118" i="464"/>
  <c r="H118" i="464"/>
  <c r="E118" i="464"/>
  <c r="CY117" i="464"/>
  <c r="CW117" i="464"/>
  <c r="CR117" i="464"/>
  <c r="CO117" i="464"/>
  <c r="CH117" i="464"/>
  <c r="CC117" i="464"/>
  <c r="BU117" i="464"/>
  <c r="BO117" i="464"/>
  <c r="BL117" i="464"/>
  <c r="BG117" i="464"/>
  <c r="BC117" i="464"/>
  <c r="AZ117" i="464"/>
  <c r="AX117" i="464"/>
  <c r="AU117" i="464"/>
  <c r="AQ117" i="464"/>
  <c r="AO117" i="464"/>
  <c r="AH117" i="464"/>
  <c r="AF117" i="464"/>
  <c r="AD117" i="464"/>
  <c r="AA117" i="464"/>
  <c r="V117" i="464"/>
  <c r="S117" i="464"/>
  <c r="P117" i="464"/>
  <c r="M117" i="464"/>
  <c r="J117" i="464"/>
  <c r="H117" i="464"/>
  <c r="E117" i="464"/>
  <c r="CY116" i="464"/>
  <c r="CW116" i="464"/>
  <c r="CR116" i="464"/>
  <c r="CO116" i="464"/>
  <c r="CH116" i="464"/>
  <c r="CC116" i="464"/>
  <c r="BU116" i="464"/>
  <c r="BO116" i="464"/>
  <c r="BL116" i="464"/>
  <c r="BG116" i="464"/>
  <c r="BC116" i="464"/>
  <c r="AZ116" i="464"/>
  <c r="AX116" i="464"/>
  <c r="AU116" i="464"/>
  <c r="AQ116" i="464"/>
  <c r="AH116" i="464"/>
  <c r="AF116" i="464"/>
  <c r="AD116" i="464"/>
  <c r="AA116" i="464"/>
  <c r="V116" i="464"/>
  <c r="S116" i="464"/>
  <c r="P116" i="464"/>
  <c r="M116" i="464"/>
  <c r="J116" i="464"/>
  <c r="H116" i="464"/>
  <c r="E116" i="464"/>
  <c r="CY115" i="464"/>
  <c r="CW115" i="464"/>
  <c r="CR115" i="464"/>
  <c r="CO115" i="464"/>
  <c r="CH115" i="464"/>
  <c r="CC115" i="464"/>
  <c r="BU115" i="464"/>
  <c r="BO115" i="464"/>
  <c r="BL115" i="464"/>
  <c r="BG115" i="464"/>
  <c r="BC115" i="464"/>
  <c r="AZ115" i="464"/>
  <c r="AX115" i="464"/>
  <c r="AU115" i="464"/>
  <c r="AQ115" i="464"/>
  <c r="AH115" i="464"/>
  <c r="AF115" i="464"/>
  <c r="AD115" i="464"/>
  <c r="AA115" i="464"/>
  <c r="V115" i="464"/>
  <c r="S115" i="464"/>
  <c r="P115" i="464"/>
  <c r="M115" i="464"/>
  <c r="J115" i="464"/>
  <c r="H115" i="464"/>
  <c r="E115" i="464"/>
  <c r="CY114" i="464"/>
  <c r="CW114" i="464"/>
  <c r="CR114" i="464"/>
  <c r="CO114" i="464"/>
  <c r="CH114" i="464"/>
  <c r="CC114" i="464"/>
  <c r="BU114" i="464"/>
  <c r="BO114" i="464"/>
  <c r="BL114" i="464"/>
  <c r="BG114" i="464"/>
  <c r="BC114" i="464"/>
  <c r="AZ114" i="464"/>
  <c r="AX114" i="464"/>
  <c r="AU114" i="464"/>
  <c r="AQ114" i="464"/>
  <c r="AH114" i="464"/>
  <c r="AF114" i="464"/>
  <c r="AD114" i="464"/>
  <c r="AA114" i="464"/>
  <c r="V114" i="464"/>
  <c r="S114" i="464"/>
  <c r="P114" i="464"/>
  <c r="M114" i="464"/>
  <c r="J114" i="464"/>
  <c r="H114" i="464"/>
  <c r="E114" i="464"/>
  <c r="CY113" i="464"/>
  <c r="CW113" i="464"/>
  <c r="CR113" i="464"/>
  <c r="CO113" i="464"/>
  <c r="CH113" i="464"/>
  <c r="CC113" i="464"/>
  <c r="BU113" i="464"/>
  <c r="BO113" i="464"/>
  <c r="BL113" i="464"/>
  <c r="BG113" i="464"/>
  <c r="BC113" i="464"/>
  <c r="AZ113" i="464"/>
  <c r="AX113" i="464"/>
  <c r="AU113" i="464"/>
  <c r="AQ113" i="464"/>
  <c r="AH113" i="464"/>
  <c r="AF113" i="464"/>
  <c r="AD113" i="464"/>
  <c r="AA113" i="464"/>
  <c r="V113" i="464"/>
  <c r="S113" i="464"/>
  <c r="P113" i="464"/>
  <c r="M113" i="464"/>
  <c r="J113" i="464"/>
  <c r="H113" i="464"/>
  <c r="E113" i="464"/>
  <c r="CY112" i="464"/>
  <c r="CW112" i="464"/>
  <c r="CR112" i="464"/>
  <c r="CO112" i="464"/>
  <c r="CH112" i="464"/>
  <c r="CC112" i="464"/>
  <c r="BU112" i="464"/>
  <c r="BO112" i="464"/>
  <c r="BL112" i="464"/>
  <c r="BG112" i="464"/>
  <c r="BC112" i="464"/>
  <c r="AZ112" i="464"/>
  <c r="AX112" i="464"/>
  <c r="AU112" i="464"/>
  <c r="AQ112" i="464"/>
  <c r="AH112" i="464"/>
  <c r="AF112" i="464"/>
  <c r="AD112" i="464"/>
  <c r="AA112" i="464"/>
  <c r="V112" i="464"/>
  <c r="S112" i="464"/>
  <c r="P112" i="464"/>
  <c r="M112" i="464"/>
  <c r="J112" i="464"/>
  <c r="H112" i="464"/>
  <c r="E112" i="464"/>
  <c r="CY111" i="464"/>
  <c r="CW111" i="464"/>
  <c r="CR111" i="464"/>
  <c r="CO111" i="464"/>
  <c r="CH111" i="464"/>
  <c r="CC111" i="464"/>
  <c r="BU111" i="464"/>
  <c r="BO111" i="464"/>
  <c r="BL111" i="464"/>
  <c r="BG111" i="464"/>
  <c r="BC111" i="464"/>
  <c r="AZ111" i="464"/>
  <c r="AX111" i="464"/>
  <c r="AU111" i="464"/>
  <c r="AQ111" i="464"/>
  <c r="AH111" i="464"/>
  <c r="AF111" i="464"/>
  <c r="AD111" i="464"/>
  <c r="AA111" i="464"/>
  <c r="V111" i="464"/>
  <c r="S111" i="464"/>
  <c r="P111" i="464"/>
  <c r="M111" i="464"/>
  <c r="J111" i="464"/>
  <c r="H111" i="464"/>
  <c r="E111" i="464"/>
  <c r="CY110" i="464"/>
  <c r="CW110" i="464"/>
  <c r="CR110" i="464"/>
  <c r="CO110" i="464"/>
  <c r="CH110" i="464"/>
  <c r="CC110" i="464"/>
  <c r="BU110" i="464"/>
  <c r="BO110" i="464"/>
  <c r="BL110" i="464"/>
  <c r="BG110" i="464"/>
  <c r="BC110" i="464"/>
  <c r="AZ110" i="464"/>
  <c r="AX110" i="464"/>
  <c r="AU110" i="464"/>
  <c r="AQ110" i="464"/>
  <c r="AO110" i="464"/>
  <c r="AH110" i="464"/>
  <c r="AF110" i="464"/>
  <c r="AD110" i="464"/>
  <c r="AA110" i="464"/>
  <c r="V110" i="464"/>
  <c r="S110" i="464"/>
  <c r="P110" i="464"/>
  <c r="M110" i="464"/>
  <c r="J110" i="464"/>
  <c r="H110" i="464"/>
  <c r="E110" i="464"/>
  <c r="CY109" i="464"/>
  <c r="CW109" i="464"/>
  <c r="CR109" i="464"/>
  <c r="CO109" i="464"/>
  <c r="CH109" i="464"/>
  <c r="CC109" i="464"/>
  <c r="BU109" i="464"/>
  <c r="BO109" i="464"/>
  <c r="BL109" i="464"/>
  <c r="BG109" i="464"/>
  <c r="BC109" i="464"/>
  <c r="AZ109" i="464"/>
  <c r="AX109" i="464"/>
  <c r="AU109" i="464"/>
  <c r="AQ109" i="464"/>
  <c r="AO109" i="464"/>
  <c r="AH109" i="464"/>
  <c r="AF109" i="464"/>
  <c r="AD109" i="464"/>
  <c r="AA109" i="464"/>
  <c r="V109" i="464"/>
  <c r="S109" i="464"/>
  <c r="P109" i="464"/>
  <c r="M109" i="464"/>
  <c r="J109" i="464"/>
  <c r="H109" i="464"/>
  <c r="E109" i="464"/>
  <c r="CY108" i="464"/>
  <c r="CW108" i="464"/>
  <c r="CR108" i="464"/>
  <c r="CO108" i="464"/>
  <c r="CH108" i="464"/>
  <c r="CC108" i="464"/>
  <c r="BU108" i="464"/>
  <c r="BO108" i="464"/>
  <c r="BL108" i="464"/>
  <c r="BG108" i="464"/>
  <c r="BC108" i="464"/>
  <c r="AZ108" i="464"/>
  <c r="AX108" i="464"/>
  <c r="AU108" i="464"/>
  <c r="AQ108" i="464"/>
  <c r="AO108" i="464"/>
  <c r="AH108" i="464"/>
  <c r="AF108" i="464"/>
  <c r="AD108" i="464"/>
  <c r="AA108" i="464"/>
  <c r="V108" i="464"/>
  <c r="S108" i="464"/>
  <c r="P108" i="464"/>
  <c r="M108" i="464"/>
  <c r="J108" i="464"/>
  <c r="H108" i="464"/>
  <c r="E108" i="464"/>
  <c r="CY107" i="464"/>
  <c r="CW107" i="464"/>
  <c r="CR107" i="464"/>
  <c r="CO107" i="464"/>
  <c r="CH107" i="464"/>
  <c r="CC107" i="464"/>
  <c r="BU107" i="464"/>
  <c r="BO107" i="464"/>
  <c r="BL107" i="464"/>
  <c r="BG107" i="464"/>
  <c r="BC107" i="464"/>
  <c r="AZ107" i="464"/>
  <c r="AX107" i="464"/>
  <c r="AU107" i="464"/>
  <c r="AQ107" i="464"/>
  <c r="AH107" i="464"/>
  <c r="AF107" i="464"/>
  <c r="AD107" i="464"/>
  <c r="AA107" i="464"/>
  <c r="V107" i="464"/>
  <c r="S107" i="464"/>
  <c r="P107" i="464"/>
  <c r="M107" i="464"/>
  <c r="J107" i="464"/>
  <c r="H107" i="464"/>
  <c r="E107" i="464"/>
  <c r="CY106" i="464"/>
  <c r="CW106" i="464"/>
  <c r="CR106" i="464"/>
  <c r="CO106" i="464"/>
  <c r="CH106" i="464"/>
  <c r="CC106" i="464"/>
  <c r="BU106" i="464"/>
  <c r="BO106" i="464"/>
  <c r="BL106" i="464"/>
  <c r="BG106" i="464"/>
  <c r="BC106" i="464"/>
  <c r="AZ106" i="464"/>
  <c r="AX106" i="464"/>
  <c r="AU106" i="464"/>
  <c r="AQ106" i="464"/>
  <c r="AO106" i="464"/>
  <c r="AH106" i="464"/>
  <c r="AF106" i="464"/>
  <c r="AD106" i="464"/>
  <c r="AA106" i="464"/>
  <c r="V106" i="464"/>
  <c r="S106" i="464"/>
  <c r="P106" i="464"/>
  <c r="M106" i="464"/>
  <c r="J106" i="464"/>
  <c r="H106" i="464"/>
  <c r="E106" i="464"/>
  <c r="CY105" i="464"/>
  <c r="CW105" i="464"/>
  <c r="CR105" i="464"/>
  <c r="CO105" i="464"/>
  <c r="CH105" i="464"/>
  <c r="CC105" i="464"/>
  <c r="BU105" i="464"/>
  <c r="BO105" i="464"/>
  <c r="BL105" i="464"/>
  <c r="BG105" i="464"/>
  <c r="BC105" i="464"/>
  <c r="AZ105" i="464"/>
  <c r="AX105" i="464"/>
  <c r="AU105" i="464"/>
  <c r="AQ105" i="464"/>
  <c r="AO105" i="464"/>
  <c r="AH105" i="464"/>
  <c r="AF105" i="464"/>
  <c r="AD105" i="464"/>
  <c r="AA105" i="464"/>
  <c r="V105" i="464"/>
  <c r="S105" i="464"/>
  <c r="P105" i="464"/>
  <c r="M105" i="464"/>
  <c r="J105" i="464"/>
  <c r="H105" i="464"/>
  <c r="E105" i="464"/>
  <c r="CY104" i="464"/>
  <c r="CW104" i="464"/>
  <c r="CR104" i="464"/>
  <c r="CO104" i="464"/>
  <c r="CH104" i="464"/>
  <c r="CC104" i="464"/>
  <c r="BU104" i="464"/>
  <c r="BO104" i="464"/>
  <c r="BL104" i="464"/>
  <c r="BG104" i="464"/>
  <c r="BC104" i="464"/>
  <c r="AZ104" i="464"/>
  <c r="AX104" i="464"/>
  <c r="AU104" i="464"/>
  <c r="AQ104" i="464"/>
  <c r="AH104" i="464"/>
  <c r="AF104" i="464"/>
  <c r="AD104" i="464"/>
  <c r="AA104" i="464"/>
  <c r="V104" i="464"/>
  <c r="S104" i="464"/>
  <c r="P104" i="464"/>
  <c r="M104" i="464"/>
  <c r="J104" i="464"/>
  <c r="H104" i="464"/>
  <c r="E104" i="464"/>
  <c r="CY101" i="464"/>
  <c r="CW101" i="464"/>
  <c r="CR101" i="464"/>
  <c r="CO101" i="464"/>
  <c r="CH101" i="464"/>
  <c r="CC101" i="464"/>
  <c r="BU101" i="464"/>
  <c r="BO101" i="464"/>
  <c r="BL101" i="464"/>
  <c r="BG101" i="464"/>
  <c r="AO101" i="464"/>
  <c r="M101" i="464"/>
  <c r="J101" i="464"/>
  <c r="H101" i="464"/>
  <c r="CY100" i="464"/>
  <c r="CW100" i="464"/>
  <c r="CR100" i="464"/>
  <c r="CO100" i="464"/>
  <c r="CH100" i="464"/>
  <c r="CC100" i="464"/>
  <c r="BU100" i="464"/>
  <c r="BO100" i="464"/>
  <c r="BL100" i="464"/>
  <c r="BG100" i="464"/>
  <c r="AO100" i="464"/>
  <c r="M100" i="464"/>
  <c r="J100" i="464"/>
  <c r="H100" i="464"/>
  <c r="CY99" i="464"/>
  <c r="C137" i="470"/>
  <c r="CW99" i="464"/>
  <c r="CR99" i="464"/>
  <c r="CO99" i="464"/>
  <c r="C110" i="470"/>
  <c r="CH99" i="464"/>
  <c r="CC99" i="464"/>
  <c r="C83" i="470"/>
  <c r="BU99" i="464"/>
  <c r="C56" i="470"/>
  <c r="BO99" i="464"/>
  <c r="BL99" i="464"/>
  <c r="C29" i="470"/>
  <c r="BG99" i="464"/>
  <c r="BC99" i="464"/>
  <c r="AZ99" i="464"/>
  <c r="AX99" i="464"/>
  <c r="AQ99" i="464"/>
  <c r="AO99" i="464"/>
  <c r="AH99" i="464"/>
  <c r="AF99" i="464"/>
  <c r="AD99" i="464"/>
  <c r="AA99" i="464"/>
  <c r="V99" i="464"/>
  <c r="C111" i="468"/>
  <c r="S99" i="464"/>
  <c r="P99" i="464"/>
  <c r="C84" i="468"/>
  <c r="M99" i="464"/>
  <c r="J99" i="464"/>
  <c r="C57" i="468"/>
  <c r="H99" i="464"/>
  <c r="C43" i="468"/>
  <c r="E99" i="464"/>
  <c r="CW98" i="464"/>
  <c r="CR98" i="464"/>
  <c r="CH98" i="464"/>
  <c r="BO98" i="464"/>
  <c r="BG98" i="464"/>
  <c r="AZ98" i="464"/>
  <c r="AO98" i="464"/>
  <c r="AA98" i="464"/>
  <c r="S98" i="464"/>
  <c r="M98" i="464"/>
  <c r="E98" i="464"/>
  <c r="CY97" i="464"/>
  <c r="CW97" i="464"/>
  <c r="CR97" i="464"/>
  <c r="CO97" i="464"/>
  <c r="CH97" i="464"/>
  <c r="CC97" i="464"/>
  <c r="BU97" i="464"/>
  <c r="BO97" i="464"/>
  <c r="BL97" i="464"/>
  <c r="BG97" i="464"/>
  <c r="BC97" i="464"/>
  <c r="AZ97" i="464"/>
  <c r="AX97" i="464"/>
  <c r="AQ97" i="464"/>
  <c r="AO97" i="464"/>
  <c r="AH97" i="464"/>
  <c r="AF97" i="464"/>
  <c r="AD97" i="464"/>
  <c r="AA97" i="464"/>
  <c r="V97" i="464"/>
  <c r="S97" i="464"/>
  <c r="P97" i="464"/>
  <c r="M97" i="464"/>
  <c r="J97" i="464"/>
  <c r="H97" i="464"/>
  <c r="E97" i="464"/>
  <c r="CY96" i="464"/>
  <c r="CW96" i="464"/>
  <c r="CR96" i="464"/>
  <c r="CO96" i="464"/>
  <c r="CH96" i="464"/>
  <c r="CC96" i="464"/>
  <c r="BU96" i="464"/>
  <c r="BO96" i="464"/>
  <c r="BL96" i="464"/>
  <c r="BG96" i="464"/>
  <c r="BC96" i="464"/>
  <c r="AZ96" i="464"/>
  <c r="AX96" i="464"/>
  <c r="AQ96" i="464"/>
  <c r="AO96" i="464"/>
  <c r="AH96" i="464"/>
  <c r="AF96" i="464"/>
  <c r="AD96" i="464"/>
  <c r="AA96" i="464"/>
  <c r="V96" i="464"/>
  <c r="S96" i="464"/>
  <c r="P96" i="464"/>
  <c r="M96" i="464"/>
  <c r="J96" i="464"/>
  <c r="H96" i="464"/>
  <c r="E96" i="464"/>
  <c r="BG95" i="464"/>
  <c r="E95" i="464"/>
  <c r="CY94" i="464"/>
  <c r="CW94" i="464"/>
  <c r="CR94" i="464"/>
  <c r="CO94" i="464"/>
  <c r="CH94" i="464"/>
  <c r="CC94" i="464"/>
  <c r="BU94" i="464"/>
  <c r="BO94" i="464"/>
  <c r="BL94" i="464"/>
  <c r="BG94" i="464"/>
  <c r="BC94" i="464"/>
  <c r="AZ94" i="464"/>
  <c r="AX94" i="464"/>
  <c r="AQ94" i="464"/>
  <c r="AO94" i="464"/>
  <c r="AH94" i="464"/>
  <c r="AF94" i="464"/>
  <c r="AD94" i="464"/>
  <c r="AA94" i="464"/>
  <c r="V94" i="464"/>
  <c r="S94" i="464"/>
  <c r="P94" i="464"/>
  <c r="M94" i="464"/>
  <c r="J94" i="464"/>
  <c r="H94" i="464"/>
  <c r="E94" i="464"/>
  <c r="CY93" i="464"/>
  <c r="CW93" i="464"/>
  <c r="CR93" i="464"/>
  <c r="CO93" i="464"/>
  <c r="CH93" i="464"/>
  <c r="CC93" i="464"/>
  <c r="BU93" i="464"/>
  <c r="BO93" i="464"/>
  <c r="BL93" i="464"/>
  <c r="BG93" i="464"/>
  <c r="BC93" i="464"/>
  <c r="AZ93" i="464"/>
  <c r="AX93" i="464"/>
  <c r="AQ93" i="464"/>
  <c r="AH93" i="464"/>
  <c r="AF93" i="464"/>
  <c r="AD93" i="464"/>
  <c r="V93" i="464"/>
  <c r="S93" i="464"/>
  <c r="P93" i="464"/>
  <c r="M93" i="464"/>
  <c r="J93" i="464"/>
  <c r="H93" i="464"/>
  <c r="E93" i="464"/>
  <c r="CY92" i="464"/>
  <c r="CW92" i="464"/>
  <c r="CR92" i="464"/>
  <c r="CO92" i="464"/>
  <c r="C109" i="470"/>
  <c r="CH92" i="464"/>
  <c r="CC92" i="464"/>
  <c r="BU92" i="464"/>
  <c r="BO92" i="464"/>
  <c r="C42" i="470"/>
  <c r="BL92" i="464"/>
  <c r="BG92" i="464"/>
  <c r="BC92" i="464"/>
  <c r="AZ92" i="464"/>
  <c r="AX92" i="464"/>
  <c r="AQ92" i="464"/>
  <c r="AH92" i="464"/>
  <c r="AF92" i="464"/>
  <c r="AD92" i="464"/>
  <c r="V92" i="464"/>
  <c r="S92" i="464"/>
  <c r="P92" i="464"/>
  <c r="M92" i="464"/>
  <c r="J92" i="464"/>
  <c r="H92" i="464"/>
  <c r="E92" i="464"/>
  <c r="CY91" i="464"/>
  <c r="CW91" i="464"/>
  <c r="CR91" i="464"/>
  <c r="CO91" i="464"/>
  <c r="CH91" i="464"/>
  <c r="CC91" i="464"/>
  <c r="BU91" i="464"/>
  <c r="BO91" i="464"/>
  <c r="BL91" i="464"/>
  <c r="BG91" i="464"/>
  <c r="BC91" i="464"/>
  <c r="AZ91" i="464"/>
  <c r="AX91" i="464"/>
  <c r="AQ91" i="464"/>
  <c r="AO91" i="464"/>
  <c r="AH91" i="464"/>
  <c r="AF91" i="464"/>
  <c r="AD91" i="464"/>
  <c r="V91" i="464"/>
  <c r="S91" i="464"/>
  <c r="P91" i="464"/>
  <c r="M91" i="464"/>
  <c r="J91" i="464"/>
  <c r="H91" i="464"/>
  <c r="E91" i="464"/>
  <c r="CY90" i="464"/>
  <c r="CW90" i="464"/>
  <c r="CR90" i="464"/>
  <c r="CO90" i="464"/>
  <c r="CH90" i="464"/>
  <c r="CC90" i="464"/>
  <c r="BU90" i="464"/>
  <c r="BO90" i="464"/>
  <c r="BL90" i="464"/>
  <c r="BG90" i="464"/>
  <c r="BC90" i="464"/>
  <c r="AZ90" i="464"/>
  <c r="AX90" i="464"/>
  <c r="AQ90" i="464"/>
  <c r="AH90" i="464"/>
  <c r="AF90" i="464"/>
  <c r="AD90" i="464"/>
  <c r="V90" i="464"/>
  <c r="S90" i="464"/>
  <c r="P90" i="464"/>
  <c r="M90" i="464"/>
  <c r="J90" i="464"/>
  <c r="H90" i="464"/>
  <c r="E90" i="464"/>
  <c r="CY89" i="464"/>
  <c r="CW89" i="464"/>
  <c r="CR89" i="464"/>
  <c r="CO89" i="464"/>
  <c r="CH89" i="464"/>
  <c r="CC89" i="464"/>
  <c r="BU89" i="464"/>
  <c r="BO89" i="464"/>
  <c r="BL89" i="464"/>
  <c r="BG89" i="464"/>
  <c r="BC89" i="464"/>
  <c r="AZ89" i="464"/>
  <c r="AX89" i="464"/>
  <c r="AQ89" i="464"/>
  <c r="AO89" i="464"/>
  <c r="AH89" i="464"/>
  <c r="AF89" i="464"/>
  <c r="AD89" i="464"/>
  <c r="V89" i="464"/>
  <c r="S89" i="464"/>
  <c r="P89" i="464"/>
  <c r="M89" i="464"/>
  <c r="J89" i="464"/>
  <c r="H89" i="464"/>
  <c r="E89" i="464"/>
  <c r="CY88" i="464"/>
  <c r="CW88" i="464"/>
  <c r="CR88" i="464"/>
  <c r="CO88" i="464"/>
  <c r="CH88" i="464"/>
  <c r="CC88" i="464"/>
  <c r="BU88" i="464"/>
  <c r="BO88" i="464"/>
  <c r="BL88" i="464"/>
  <c r="BG88" i="464"/>
  <c r="BC88" i="464"/>
  <c r="AZ88" i="464"/>
  <c r="AX88" i="464"/>
  <c r="AQ88" i="464"/>
  <c r="AH88" i="464"/>
  <c r="AF88" i="464"/>
  <c r="AD88" i="464"/>
  <c r="V88" i="464"/>
  <c r="S88" i="464"/>
  <c r="P88" i="464"/>
  <c r="M88" i="464"/>
  <c r="J88" i="464"/>
  <c r="H88" i="464"/>
  <c r="E88" i="464"/>
  <c r="CY87" i="464"/>
  <c r="CW87" i="464"/>
  <c r="CR87" i="464"/>
  <c r="CO87" i="464"/>
  <c r="CH87" i="464"/>
  <c r="CC87" i="464"/>
  <c r="BU87" i="464"/>
  <c r="BO87" i="464"/>
  <c r="BL87" i="464"/>
  <c r="BG87" i="464"/>
  <c r="BC87" i="464"/>
  <c r="AZ87" i="464"/>
  <c r="AX87" i="464"/>
  <c r="AQ87" i="464"/>
  <c r="AH87" i="464"/>
  <c r="AF87" i="464"/>
  <c r="AD87" i="464"/>
  <c r="V87" i="464"/>
  <c r="S87" i="464"/>
  <c r="P87" i="464"/>
  <c r="M87" i="464"/>
  <c r="J87" i="464"/>
  <c r="H87" i="464"/>
  <c r="E87" i="464"/>
  <c r="BG86" i="464"/>
  <c r="E86" i="464"/>
  <c r="CY85" i="464"/>
  <c r="CW85" i="464"/>
  <c r="CR85" i="464"/>
  <c r="CO85" i="464"/>
  <c r="CH85" i="464"/>
  <c r="CC85" i="464"/>
  <c r="BU85" i="464"/>
  <c r="BO85" i="464"/>
  <c r="BL85" i="464"/>
  <c r="BG85" i="464"/>
  <c r="BC85" i="464"/>
  <c r="AZ85" i="464"/>
  <c r="AX85" i="464"/>
  <c r="AQ85" i="464"/>
  <c r="AH85" i="464"/>
  <c r="AF85" i="464"/>
  <c r="AD85" i="464"/>
  <c r="V85" i="464"/>
  <c r="S85" i="464"/>
  <c r="P85" i="464"/>
  <c r="M85" i="464"/>
  <c r="J85" i="464"/>
  <c r="H85" i="464"/>
  <c r="E85" i="464"/>
  <c r="CY84" i="464"/>
  <c r="CW84" i="464"/>
  <c r="CR84" i="464"/>
  <c r="CO84" i="464"/>
  <c r="CH84" i="464"/>
  <c r="CC84" i="464"/>
  <c r="BU84" i="464"/>
  <c r="BO84" i="464"/>
  <c r="BL84" i="464"/>
  <c r="BG84" i="464"/>
  <c r="BC84" i="464"/>
  <c r="AZ84" i="464"/>
  <c r="AX84" i="464"/>
  <c r="AQ84" i="464"/>
  <c r="AH84" i="464"/>
  <c r="AF84" i="464"/>
  <c r="AD84" i="464"/>
  <c r="V84" i="464"/>
  <c r="S84" i="464"/>
  <c r="P84" i="464"/>
  <c r="M84" i="464"/>
  <c r="J84" i="464"/>
  <c r="H84" i="464"/>
  <c r="E84" i="464"/>
  <c r="CY83" i="464"/>
  <c r="CW83" i="464"/>
  <c r="C122" i="470"/>
  <c r="CR83" i="464"/>
  <c r="CO83" i="464"/>
  <c r="CH83" i="464"/>
  <c r="CC83" i="464"/>
  <c r="C81" i="470"/>
  <c r="BU83" i="464"/>
  <c r="BO83" i="464"/>
  <c r="BL83" i="464"/>
  <c r="BG83" i="464"/>
  <c r="BC83" i="464"/>
  <c r="AZ83" i="464"/>
  <c r="AX83" i="464"/>
  <c r="AQ83" i="464"/>
  <c r="AH83" i="464"/>
  <c r="AF83" i="464"/>
  <c r="AD83" i="464"/>
  <c r="V83" i="464"/>
  <c r="S83" i="464"/>
  <c r="P83" i="464"/>
  <c r="M83" i="464"/>
  <c r="J83" i="464"/>
  <c r="H83" i="464"/>
  <c r="E83" i="464"/>
  <c r="CY80" i="464"/>
  <c r="CW80" i="464"/>
  <c r="CR80" i="464"/>
  <c r="CO80" i="464"/>
  <c r="CH80" i="464"/>
  <c r="CC80" i="464"/>
  <c r="BU80" i="464"/>
  <c r="BO80" i="464"/>
  <c r="BL80" i="464"/>
  <c r="BG80" i="464"/>
  <c r="BC80" i="464"/>
  <c r="AZ80" i="464"/>
  <c r="AX80" i="464"/>
  <c r="AQ80" i="464"/>
  <c r="AO80" i="464"/>
  <c r="AH80" i="464"/>
  <c r="AF80" i="464"/>
  <c r="AD80" i="464"/>
  <c r="AA80" i="464"/>
  <c r="V80" i="464"/>
  <c r="S80" i="464"/>
  <c r="P80" i="464"/>
  <c r="M80" i="464"/>
  <c r="J80" i="464"/>
  <c r="H80" i="464"/>
  <c r="E80" i="464"/>
  <c r="CY79" i="464"/>
  <c r="CW79" i="464"/>
  <c r="CR79" i="464"/>
  <c r="CO79" i="464"/>
  <c r="CH79" i="464"/>
  <c r="CC79" i="464"/>
  <c r="BU79" i="464"/>
  <c r="BO79" i="464"/>
  <c r="BL79" i="464"/>
  <c r="BG79" i="464"/>
  <c r="BC79" i="464"/>
  <c r="AZ79" i="464"/>
  <c r="AX79" i="464"/>
  <c r="AQ79" i="464"/>
  <c r="AO79" i="464"/>
  <c r="AH79" i="464"/>
  <c r="AF79" i="464"/>
  <c r="AD79" i="464"/>
  <c r="AA79" i="464"/>
  <c r="V79" i="464"/>
  <c r="S79" i="464"/>
  <c r="P79" i="464"/>
  <c r="M79" i="464"/>
  <c r="J79" i="464"/>
  <c r="H79" i="464"/>
  <c r="E79" i="464"/>
  <c r="CY78" i="464"/>
  <c r="CW78" i="464"/>
  <c r="CR78" i="464"/>
  <c r="CO78" i="464"/>
  <c r="CH78" i="464"/>
  <c r="CC78" i="464"/>
  <c r="BU78" i="464"/>
  <c r="BO78" i="464"/>
  <c r="BL78" i="464"/>
  <c r="BG78" i="464"/>
  <c r="BC78" i="464"/>
  <c r="AZ78" i="464"/>
  <c r="AX78" i="464"/>
  <c r="AQ78" i="464"/>
  <c r="AO78" i="464"/>
  <c r="AH78" i="464"/>
  <c r="AF78" i="464"/>
  <c r="AD78" i="464"/>
  <c r="AA78" i="464"/>
  <c r="V78" i="464"/>
  <c r="S78" i="464"/>
  <c r="P78" i="464"/>
  <c r="M78" i="464"/>
  <c r="J78" i="464"/>
  <c r="H78" i="464"/>
  <c r="E78" i="464"/>
  <c r="CY77" i="464"/>
  <c r="CW77" i="464"/>
  <c r="CR77" i="464"/>
  <c r="CO77" i="464"/>
  <c r="CH77" i="464"/>
  <c r="CC77" i="464"/>
  <c r="BU77" i="464"/>
  <c r="BO77" i="464"/>
  <c r="BL77" i="464"/>
  <c r="BG77" i="464"/>
  <c r="BC77" i="464"/>
  <c r="AZ77" i="464"/>
  <c r="AX77" i="464"/>
  <c r="AQ77" i="464"/>
  <c r="AO77" i="464"/>
  <c r="AH77" i="464"/>
  <c r="AF77" i="464"/>
  <c r="AD77" i="464"/>
  <c r="AA77" i="464"/>
  <c r="V77" i="464"/>
  <c r="S77" i="464"/>
  <c r="P77" i="464"/>
  <c r="M77" i="464"/>
  <c r="J77" i="464"/>
  <c r="H77" i="464"/>
  <c r="E77" i="464"/>
  <c r="CY76" i="464"/>
  <c r="CW76" i="464"/>
  <c r="CR76" i="464"/>
  <c r="CO76" i="464"/>
  <c r="CH76" i="464"/>
  <c r="CC76" i="464"/>
  <c r="BU76" i="464"/>
  <c r="BO76" i="464"/>
  <c r="BL76" i="464"/>
  <c r="BG76" i="464"/>
  <c r="BC76" i="464"/>
  <c r="AZ76" i="464"/>
  <c r="AX76" i="464"/>
  <c r="AQ76" i="464"/>
  <c r="AO76" i="464"/>
  <c r="AH76" i="464"/>
  <c r="AF76" i="464"/>
  <c r="AD76" i="464"/>
  <c r="AA76" i="464"/>
  <c r="V76" i="464"/>
  <c r="S76" i="464"/>
  <c r="P76" i="464"/>
  <c r="M76" i="464"/>
  <c r="J76" i="464"/>
  <c r="H76" i="464"/>
  <c r="E76" i="464"/>
  <c r="CY75" i="464"/>
  <c r="CW75" i="464"/>
  <c r="CR75" i="464"/>
  <c r="CO75" i="464"/>
  <c r="CH75" i="464"/>
  <c r="CC75" i="464"/>
  <c r="BU75" i="464"/>
  <c r="BO75" i="464"/>
  <c r="BL75" i="464"/>
  <c r="BG75" i="464"/>
  <c r="BC75" i="464"/>
  <c r="AZ75" i="464"/>
  <c r="AX75" i="464"/>
  <c r="AQ75" i="464"/>
  <c r="AO75" i="464"/>
  <c r="AH75" i="464"/>
  <c r="AF75" i="464"/>
  <c r="AD75" i="464"/>
  <c r="AA75" i="464"/>
  <c r="V75" i="464"/>
  <c r="S75" i="464"/>
  <c r="P75" i="464"/>
  <c r="M75" i="464"/>
  <c r="J75" i="464"/>
  <c r="H75" i="464"/>
  <c r="E75" i="464"/>
  <c r="CY74" i="464"/>
  <c r="CW74" i="464"/>
  <c r="CR74" i="464"/>
  <c r="CO74" i="464"/>
  <c r="CH74" i="464"/>
  <c r="CC74" i="464"/>
  <c r="BU74" i="464"/>
  <c r="BO74" i="464"/>
  <c r="BL74" i="464"/>
  <c r="BG74" i="464"/>
  <c r="BC74" i="464"/>
  <c r="AZ74" i="464"/>
  <c r="AX74" i="464"/>
  <c r="AQ74" i="464"/>
  <c r="AH74" i="464"/>
  <c r="AF74" i="464"/>
  <c r="AD74" i="464"/>
  <c r="V74" i="464"/>
  <c r="S74" i="464"/>
  <c r="P74" i="464"/>
  <c r="M74" i="464"/>
  <c r="J74" i="464"/>
  <c r="H74" i="464"/>
  <c r="E74" i="464"/>
  <c r="BG73" i="464"/>
  <c r="E73" i="464"/>
  <c r="CY72" i="464"/>
  <c r="C134" i="470"/>
  <c r="CW72" i="464"/>
  <c r="C121" i="470"/>
  <c r="CR72" i="464"/>
  <c r="C94" i="470"/>
  <c r="CO72" i="464"/>
  <c r="C107" i="470"/>
  <c r="CH72" i="464"/>
  <c r="C67" i="470"/>
  <c r="CC72" i="464"/>
  <c r="C80" i="470"/>
  <c r="BU72" i="464"/>
  <c r="C53" i="470"/>
  <c r="BO72" i="464"/>
  <c r="C40" i="470"/>
  <c r="BL72" i="464"/>
  <c r="C26" i="470"/>
  <c r="BG72" i="464"/>
  <c r="BC72" i="464"/>
  <c r="AZ72" i="464"/>
  <c r="AX72" i="464"/>
  <c r="AQ72" i="464"/>
  <c r="AH72" i="464"/>
  <c r="AF72" i="464"/>
  <c r="AD72" i="464"/>
  <c r="V72" i="464"/>
  <c r="C108" i="468"/>
  <c r="S72" i="464"/>
  <c r="C95" i="468"/>
  <c r="P72" i="464"/>
  <c r="C81" i="468"/>
  <c r="M72" i="464"/>
  <c r="C68" i="468"/>
  <c r="J72" i="464"/>
  <c r="C54" i="468"/>
  <c r="H72" i="464"/>
  <c r="C40" i="468"/>
  <c r="E72" i="464"/>
  <c r="CY71" i="464"/>
  <c r="CW71" i="464"/>
  <c r="CR71" i="464"/>
  <c r="CO71" i="464"/>
  <c r="CH71" i="464"/>
  <c r="CC71" i="464"/>
  <c r="BU71" i="464"/>
  <c r="BO71" i="464"/>
  <c r="BL71" i="464"/>
  <c r="BG71" i="464"/>
  <c r="BC71" i="464"/>
  <c r="AZ71" i="464"/>
  <c r="AX71" i="464"/>
  <c r="AQ71" i="464"/>
  <c r="AH71" i="464"/>
  <c r="AF71" i="464"/>
  <c r="AD71" i="464"/>
  <c r="V71" i="464"/>
  <c r="S71" i="464"/>
  <c r="P71" i="464"/>
  <c r="M71" i="464"/>
  <c r="J71" i="464"/>
  <c r="H71" i="464"/>
  <c r="E71" i="464"/>
  <c r="CY70" i="464"/>
  <c r="CW70" i="464"/>
  <c r="CR70" i="464"/>
  <c r="CO70" i="464"/>
  <c r="CH70" i="464"/>
  <c r="CC70" i="464"/>
  <c r="BU70" i="464"/>
  <c r="BO70" i="464"/>
  <c r="BL70" i="464"/>
  <c r="BG70" i="464"/>
  <c r="BC70" i="464"/>
  <c r="AZ70" i="464"/>
  <c r="AX70" i="464"/>
  <c r="AQ70" i="464"/>
  <c r="AO70" i="464"/>
  <c r="AH70" i="464"/>
  <c r="AF70" i="464"/>
  <c r="AD70" i="464"/>
  <c r="AA70" i="464"/>
  <c r="V70" i="464"/>
  <c r="S70" i="464"/>
  <c r="P70" i="464"/>
  <c r="M70" i="464"/>
  <c r="J70" i="464"/>
  <c r="H70" i="464"/>
  <c r="E70" i="464"/>
  <c r="CY69" i="464"/>
  <c r="CW69" i="464"/>
  <c r="CR69" i="464"/>
  <c r="CO69" i="464"/>
  <c r="CH69" i="464"/>
  <c r="CC69" i="464"/>
  <c r="BU69" i="464"/>
  <c r="BO69" i="464"/>
  <c r="BL69" i="464"/>
  <c r="BG69" i="464"/>
  <c r="BC69" i="464"/>
  <c r="AZ69" i="464"/>
  <c r="AX69" i="464"/>
  <c r="AQ69" i="464"/>
  <c r="AO69" i="464"/>
  <c r="AH69" i="464"/>
  <c r="AF69" i="464"/>
  <c r="AD69" i="464"/>
  <c r="AA69" i="464"/>
  <c r="V69" i="464"/>
  <c r="S69" i="464"/>
  <c r="P69" i="464"/>
  <c r="M69" i="464"/>
  <c r="J69" i="464"/>
  <c r="H69" i="464"/>
  <c r="E69" i="464"/>
  <c r="CO68" i="464"/>
  <c r="CY67" i="464"/>
  <c r="CW67" i="464"/>
  <c r="CR67" i="464"/>
  <c r="CO67" i="464"/>
  <c r="CH67" i="464"/>
  <c r="CC67" i="464"/>
  <c r="BU67" i="464"/>
  <c r="BO67" i="464"/>
  <c r="BL67" i="464"/>
  <c r="BG67" i="464"/>
  <c r="BC67" i="464"/>
  <c r="AZ67" i="464"/>
  <c r="AX67" i="464"/>
  <c r="AQ67" i="464"/>
  <c r="AO67" i="464"/>
  <c r="AH67" i="464"/>
  <c r="AF67" i="464"/>
  <c r="AD67" i="464"/>
  <c r="AA67" i="464"/>
  <c r="V67" i="464"/>
  <c r="S67" i="464"/>
  <c r="P67" i="464"/>
  <c r="M67" i="464"/>
  <c r="J67" i="464"/>
  <c r="H67" i="464"/>
  <c r="E67" i="464"/>
  <c r="CY66" i="464"/>
  <c r="CW66" i="464"/>
  <c r="CR66" i="464"/>
  <c r="CO66" i="464"/>
  <c r="CH66" i="464"/>
  <c r="CC66" i="464"/>
  <c r="BU66" i="464"/>
  <c r="BO66" i="464"/>
  <c r="BL66" i="464"/>
  <c r="BG66" i="464"/>
  <c r="BC66" i="464"/>
  <c r="AZ66" i="464"/>
  <c r="AX66" i="464"/>
  <c r="AQ66" i="464"/>
  <c r="AO66" i="464"/>
  <c r="AH66" i="464"/>
  <c r="AF66" i="464"/>
  <c r="AD66" i="464"/>
  <c r="AA66" i="464"/>
  <c r="V66" i="464"/>
  <c r="S66" i="464"/>
  <c r="P66" i="464"/>
  <c r="M66" i="464"/>
  <c r="J66" i="464"/>
  <c r="H66" i="464"/>
  <c r="E66" i="464"/>
  <c r="CY65" i="464"/>
  <c r="CW65" i="464"/>
  <c r="CR65" i="464"/>
  <c r="CO65" i="464"/>
  <c r="CH65" i="464"/>
  <c r="CC65" i="464"/>
  <c r="BU65" i="464"/>
  <c r="BO65" i="464"/>
  <c r="BL65" i="464"/>
  <c r="BG65" i="464"/>
  <c r="BC65" i="464"/>
  <c r="AZ65" i="464"/>
  <c r="AX65" i="464"/>
  <c r="AQ65" i="464"/>
  <c r="AH65" i="464"/>
  <c r="AF65" i="464"/>
  <c r="AD65" i="464"/>
  <c r="V65" i="464"/>
  <c r="S65" i="464"/>
  <c r="P65" i="464"/>
  <c r="M65" i="464"/>
  <c r="J65" i="464"/>
  <c r="H65" i="464"/>
  <c r="E65" i="464"/>
  <c r="CY64" i="464"/>
  <c r="CW64" i="464"/>
  <c r="CR64" i="464"/>
  <c r="CO64" i="464"/>
  <c r="CH64" i="464"/>
  <c r="CC64" i="464"/>
  <c r="BU64" i="464"/>
  <c r="BO64" i="464"/>
  <c r="BL64" i="464"/>
  <c r="BG64" i="464"/>
  <c r="BC64" i="464"/>
  <c r="AZ64" i="464"/>
  <c r="AX64" i="464"/>
  <c r="AQ64" i="464"/>
  <c r="AO64" i="464"/>
  <c r="AH64" i="464"/>
  <c r="AF64" i="464"/>
  <c r="AD64" i="464"/>
  <c r="V64" i="464"/>
  <c r="S64" i="464"/>
  <c r="P64" i="464"/>
  <c r="M64" i="464"/>
  <c r="J64" i="464"/>
  <c r="H64" i="464"/>
  <c r="E64" i="464"/>
  <c r="CY63" i="464"/>
  <c r="CW63" i="464"/>
  <c r="CR63" i="464"/>
  <c r="CO63" i="464"/>
  <c r="CH63" i="464"/>
  <c r="CC63" i="464"/>
  <c r="BU63" i="464"/>
  <c r="BO63" i="464"/>
  <c r="BL63" i="464"/>
  <c r="BG63" i="464"/>
  <c r="BC63" i="464"/>
  <c r="AZ63" i="464"/>
  <c r="AX63" i="464"/>
  <c r="AQ63" i="464"/>
  <c r="AO63" i="464"/>
  <c r="AH63" i="464"/>
  <c r="AF63" i="464"/>
  <c r="AD63" i="464"/>
  <c r="AA63" i="464"/>
  <c r="V63" i="464"/>
  <c r="S63" i="464"/>
  <c r="P63" i="464"/>
  <c r="M63" i="464"/>
  <c r="J63" i="464"/>
  <c r="H63" i="464"/>
  <c r="E63" i="464"/>
  <c r="CY62" i="464"/>
  <c r="CW62" i="464"/>
  <c r="CR62" i="464"/>
  <c r="CO62" i="464"/>
  <c r="CH62" i="464"/>
  <c r="CC62" i="464"/>
  <c r="BU62" i="464"/>
  <c r="BO62" i="464"/>
  <c r="BL62" i="464"/>
  <c r="BG62" i="464"/>
  <c r="BC62" i="464"/>
  <c r="AZ62" i="464"/>
  <c r="AX62" i="464"/>
  <c r="AQ62" i="464"/>
  <c r="AO62" i="464"/>
  <c r="AH62" i="464"/>
  <c r="AF62" i="464"/>
  <c r="AD62" i="464"/>
  <c r="AA62" i="464"/>
  <c r="V62" i="464"/>
  <c r="S62" i="464"/>
  <c r="P62" i="464"/>
  <c r="M62" i="464"/>
  <c r="J62" i="464"/>
  <c r="H62" i="464"/>
  <c r="E62" i="464"/>
  <c r="BL61" i="464"/>
  <c r="CY60" i="464"/>
  <c r="CW60" i="464"/>
  <c r="CR60" i="464"/>
  <c r="CO60" i="464"/>
  <c r="CH60" i="464"/>
  <c r="CC60" i="464"/>
  <c r="BU60" i="464"/>
  <c r="BO60" i="464"/>
  <c r="BL60" i="464"/>
  <c r="BG60" i="464"/>
  <c r="BC60" i="464"/>
  <c r="AZ60" i="464"/>
  <c r="AX60" i="464"/>
  <c r="AQ60" i="464"/>
  <c r="AO60" i="464"/>
  <c r="AH60" i="464"/>
  <c r="AF60" i="464"/>
  <c r="AD60" i="464"/>
  <c r="AA60" i="464"/>
  <c r="V60" i="464"/>
  <c r="S60" i="464"/>
  <c r="P60" i="464"/>
  <c r="M60" i="464"/>
  <c r="J60" i="464"/>
  <c r="H60" i="464"/>
  <c r="E60" i="464"/>
  <c r="CY59" i="464"/>
  <c r="CW59" i="464"/>
  <c r="CR59" i="464"/>
  <c r="CO59" i="464"/>
  <c r="CH59" i="464"/>
  <c r="CC59" i="464"/>
  <c r="BU59" i="464"/>
  <c r="BO59" i="464"/>
  <c r="BL59" i="464"/>
  <c r="BG59" i="464"/>
  <c r="BC59" i="464"/>
  <c r="AZ59" i="464"/>
  <c r="AX59" i="464"/>
  <c r="AQ59" i="464"/>
  <c r="AH59" i="464"/>
  <c r="AF59" i="464"/>
  <c r="AD59" i="464"/>
  <c r="V59" i="464"/>
  <c r="S59" i="464"/>
  <c r="P59" i="464"/>
  <c r="M59" i="464"/>
  <c r="J59" i="464"/>
  <c r="H59" i="464"/>
  <c r="E59" i="464"/>
  <c r="CY58" i="464"/>
  <c r="CW58" i="464"/>
  <c r="CR58" i="464"/>
  <c r="CO58" i="464"/>
  <c r="CH58" i="464"/>
  <c r="CC58" i="464"/>
  <c r="BU58" i="464"/>
  <c r="BO58" i="464"/>
  <c r="BL58" i="464"/>
  <c r="BG58" i="464"/>
  <c r="BC58" i="464"/>
  <c r="AZ58" i="464"/>
  <c r="AX58" i="464"/>
  <c r="AQ58" i="464"/>
  <c r="AH58" i="464"/>
  <c r="AF58" i="464"/>
  <c r="AD58" i="464"/>
  <c r="V58" i="464"/>
  <c r="S58" i="464"/>
  <c r="P58" i="464"/>
  <c r="M58" i="464"/>
  <c r="J58" i="464"/>
  <c r="H58" i="464"/>
  <c r="E58" i="464"/>
  <c r="CY57" i="464"/>
  <c r="CW57" i="464"/>
  <c r="CR57" i="464"/>
  <c r="CO57" i="464"/>
  <c r="CH57" i="464"/>
  <c r="CC57" i="464"/>
  <c r="BU57" i="464"/>
  <c r="BO57" i="464"/>
  <c r="BL57" i="464"/>
  <c r="BG57" i="464"/>
  <c r="BC57" i="464"/>
  <c r="AZ57" i="464"/>
  <c r="AX57" i="464"/>
  <c r="AQ57" i="464"/>
  <c r="AO57" i="464"/>
  <c r="AH57" i="464"/>
  <c r="AF57" i="464"/>
  <c r="AD57" i="464"/>
  <c r="V57" i="464"/>
  <c r="S57" i="464"/>
  <c r="P57" i="464"/>
  <c r="M57" i="464"/>
  <c r="J57" i="464"/>
  <c r="H57" i="464"/>
  <c r="E57" i="464"/>
  <c r="CY56" i="464"/>
  <c r="CW56" i="464"/>
  <c r="CR56" i="464"/>
  <c r="CO56" i="464"/>
  <c r="CH56" i="464"/>
  <c r="CC56" i="464"/>
  <c r="BU56" i="464"/>
  <c r="BO56" i="464"/>
  <c r="BL56" i="464"/>
  <c r="BG56" i="464"/>
  <c r="BC56" i="464"/>
  <c r="AZ56" i="464"/>
  <c r="AX56" i="464"/>
  <c r="AQ56" i="464"/>
  <c r="AH56" i="464"/>
  <c r="AF56" i="464"/>
  <c r="AD56" i="464"/>
  <c r="V56" i="464"/>
  <c r="S56" i="464"/>
  <c r="P56" i="464"/>
  <c r="M56" i="464"/>
  <c r="J56" i="464"/>
  <c r="H56" i="464"/>
  <c r="E56" i="464"/>
  <c r="CY55" i="464"/>
  <c r="CW55" i="464"/>
  <c r="CR55" i="464"/>
  <c r="CO55" i="464"/>
  <c r="CH55" i="464"/>
  <c r="CC55" i="464"/>
  <c r="BU55" i="464"/>
  <c r="BO55" i="464"/>
  <c r="BL55" i="464"/>
  <c r="BG55" i="464"/>
  <c r="BC55" i="464"/>
  <c r="AZ55" i="464"/>
  <c r="AX55" i="464"/>
  <c r="AU55" i="464"/>
  <c r="AQ55" i="464"/>
  <c r="AO55" i="464"/>
  <c r="AH55" i="464"/>
  <c r="AF55" i="464"/>
  <c r="AD55" i="464"/>
  <c r="V55" i="464"/>
  <c r="S55" i="464"/>
  <c r="P55" i="464"/>
  <c r="M55" i="464"/>
  <c r="J55" i="464"/>
  <c r="H55" i="464"/>
  <c r="E55" i="464"/>
  <c r="CY54" i="464"/>
  <c r="CW54" i="464"/>
  <c r="CR54" i="464"/>
  <c r="CO54" i="464"/>
  <c r="CH54" i="464"/>
  <c r="CC54" i="464"/>
  <c r="BU54" i="464"/>
  <c r="BO54" i="464"/>
  <c r="BL54" i="464"/>
  <c r="BG54" i="464"/>
  <c r="BC54" i="464"/>
  <c r="AZ54" i="464"/>
  <c r="AX54" i="464"/>
  <c r="AU54" i="464"/>
  <c r="AQ54" i="464"/>
  <c r="AO54" i="464"/>
  <c r="AH54" i="464"/>
  <c r="AF54" i="464"/>
  <c r="AD54" i="464"/>
  <c r="V54" i="464"/>
  <c r="S54" i="464"/>
  <c r="P54" i="464"/>
  <c r="M54" i="464"/>
  <c r="J54" i="464"/>
  <c r="H54" i="464"/>
  <c r="E54" i="464"/>
  <c r="CY52" i="464"/>
  <c r="CW52" i="464"/>
  <c r="CR52" i="464"/>
  <c r="CO52" i="464"/>
  <c r="CH52" i="464"/>
  <c r="CC52" i="464"/>
  <c r="BU52" i="464"/>
  <c r="BO52" i="464"/>
  <c r="BL52" i="464"/>
  <c r="BG52" i="464"/>
  <c r="BC52" i="464"/>
  <c r="AZ52" i="464"/>
  <c r="AX52" i="464"/>
  <c r="AQ52" i="464"/>
  <c r="AO52" i="464"/>
  <c r="AH52" i="464"/>
  <c r="AF52" i="464"/>
  <c r="AD52" i="464"/>
  <c r="V52" i="464"/>
  <c r="S52" i="464"/>
  <c r="P52" i="464"/>
  <c r="M52" i="464"/>
  <c r="J52" i="464"/>
  <c r="H52" i="464"/>
  <c r="E52" i="464"/>
  <c r="CY51" i="464"/>
  <c r="CW51" i="464"/>
  <c r="CR51" i="464"/>
  <c r="CO51" i="464"/>
  <c r="CH51" i="464"/>
  <c r="CC51" i="464"/>
  <c r="BU51" i="464"/>
  <c r="BO51" i="464"/>
  <c r="BL51" i="464"/>
  <c r="BG51" i="464"/>
  <c r="BC51" i="464"/>
  <c r="AZ51" i="464"/>
  <c r="AX51" i="464"/>
  <c r="AQ51" i="464"/>
  <c r="AH51" i="464"/>
  <c r="AF51" i="464"/>
  <c r="AD51" i="464"/>
  <c r="V51" i="464"/>
  <c r="S51" i="464"/>
  <c r="P51" i="464"/>
  <c r="M51" i="464"/>
  <c r="J51" i="464"/>
  <c r="H51" i="464"/>
  <c r="E51" i="464"/>
  <c r="CY50" i="464"/>
  <c r="CW50" i="464"/>
  <c r="CR50" i="464"/>
  <c r="CO50" i="464"/>
  <c r="CH50" i="464"/>
  <c r="CC50" i="464"/>
  <c r="BU50" i="464"/>
  <c r="BO50" i="464"/>
  <c r="BL50" i="464"/>
  <c r="BG50" i="464"/>
  <c r="BC50" i="464"/>
  <c r="AZ50" i="464"/>
  <c r="AX50" i="464"/>
  <c r="AQ50" i="464"/>
  <c r="AH50" i="464"/>
  <c r="AF50" i="464"/>
  <c r="AD50" i="464"/>
  <c r="V50" i="464"/>
  <c r="S50" i="464"/>
  <c r="P50" i="464"/>
  <c r="M50" i="464"/>
  <c r="J50" i="464"/>
  <c r="H50" i="464"/>
  <c r="E50" i="464"/>
  <c r="CY49" i="464"/>
  <c r="CW49" i="464"/>
  <c r="CR49" i="464"/>
  <c r="CO49" i="464"/>
  <c r="CH49" i="464"/>
  <c r="CC49" i="464"/>
  <c r="BU49" i="464"/>
  <c r="BO49" i="464"/>
  <c r="BL49" i="464"/>
  <c r="BG49" i="464"/>
  <c r="BC49" i="464"/>
  <c r="AZ49" i="464"/>
  <c r="AX49" i="464"/>
  <c r="AQ49" i="464"/>
  <c r="AO49" i="464"/>
  <c r="AH49" i="464"/>
  <c r="AF49" i="464"/>
  <c r="AD49" i="464"/>
  <c r="V49" i="464"/>
  <c r="S49" i="464"/>
  <c r="P49" i="464"/>
  <c r="M49" i="464"/>
  <c r="J49" i="464"/>
  <c r="H49" i="464"/>
  <c r="E49" i="464"/>
  <c r="CY48" i="464"/>
  <c r="CW48" i="464"/>
  <c r="CR48" i="464"/>
  <c r="CO48" i="464"/>
  <c r="CH48" i="464"/>
  <c r="CC48" i="464"/>
  <c r="BU48" i="464"/>
  <c r="BO48" i="464"/>
  <c r="BL48" i="464"/>
  <c r="BG48" i="464"/>
  <c r="BC48" i="464"/>
  <c r="AZ48" i="464"/>
  <c r="AX48" i="464"/>
  <c r="AQ48" i="464"/>
  <c r="AO48" i="464"/>
  <c r="AH48" i="464"/>
  <c r="AF48" i="464"/>
  <c r="AD48" i="464"/>
  <c r="V48" i="464"/>
  <c r="S48" i="464"/>
  <c r="P48" i="464"/>
  <c r="M48" i="464"/>
  <c r="J48" i="464"/>
  <c r="H48" i="464"/>
  <c r="E48" i="464"/>
  <c r="CY47" i="464"/>
  <c r="CW47" i="464"/>
  <c r="CR47" i="464"/>
  <c r="CO47" i="464"/>
  <c r="CH47" i="464"/>
  <c r="CC47" i="464"/>
  <c r="BU47" i="464"/>
  <c r="BO47" i="464"/>
  <c r="BL47" i="464"/>
  <c r="BG47" i="464"/>
  <c r="BC47" i="464"/>
  <c r="AZ47" i="464"/>
  <c r="AX47" i="464"/>
  <c r="AQ47" i="464"/>
  <c r="AO47" i="464"/>
  <c r="AH47" i="464"/>
  <c r="AF47" i="464"/>
  <c r="AD47" i="464"/>
  <c r="V47" i="464"/>
  <c r="S47" i="464"/>
  <c r="P47" i="464"/>
  <c r="M47" i="464"/>
  <c r="J47" i="464"/>
  <c r="H47" i="464"/>
  <c r="E47" i="464"/>
  <c r="CY46" i="464"/>
  <c r="CW46" i="464"/>
  <c r="CR46" i="464"/>
  <c r="CO46" i="464"/>
  <c r="CH46" i="464"/>
  <c r="CC46" i="464"/>
  <c r="BU46" i="464"/>
  <c r="BO46" i="464"/>
  <c r="BL46" i="464"/>
  <c r="BG46" i="464"/>
  <c r="BC46" i="464"/>
  <c r="AZ46" i="464"/>
  <c r="AX46" i="464"/>
  <c r="AQ46" i="464"/>
  <c r="AO46" i="464"/>
  <c r="AH46" i="464"/>
  <c r="AF46" i="464"/>
  <c r="AD46" i="464"/>
  <c r="V46" i="464"/>
  <c r="S46" i="464"/>
  <c r="P46" i="464"/>
  <c r="M46" i="464"/>
  <c r="J46" i="464"/>
  <c r="H46" i="464"/>
  <c r="E46" i="464"/>
  <c r="CY45" i="464"/>
  <c r="CW45" i="464"/>
  <c r="CR45" i="464"/>
  <c r="CO45" i="464"/>
  <c r="CH45" i="464"/>
  <c r="CC45" i="464"/>
  <c r="BU45" i="464"/>
  <c r="BO45" i="464"/>
  <c r="BL45" i="464"/>
  <c r="BG45" i="464"/>
  <c r="BC45" i="464"/>
  <c r="AZ45" i="464"/>
  <c r="AX45" i="464"/>
  <c r="AQ45" i="464"/>
  <c r="AO45" i="464"/>
  <c r="AH45" i="464"/>
  <c r="AF45" i="464"/>
  <c r="AD45" i="464"/>
  <c r="V45" i="464"/>
  <c r="S45" i="464"/>
  <c r="P45" i="464"/>
  <c r="M45" i="464"/>
  <c r="J45" i="464"/>
  <c r="H45" i="464"/>
  <c r="E45" i="464"/>
  <c r="CY44" i="464"/>
  <c r="CW44" i="464"/>
  <c r="CR44" i="464"/>
  <c r="CO44" i="464"/>
  <c r="CH44" i="464"/>
  <c r="CC44" i="464"/>
  <c r="BU44" i="464"/>
  <c r="BO44" i="464"/>
  <c r="BL44" i="464"/>
  <c r="BG44" i="464"/>
  <c r="BC44" i="464"/>
  <c r="AZ44" i="464"/>
  <c r="AX44" i="464"/>
  <c r="AQ44" i="464"/>
  <c r="AO44" i="464"/>
  <c r="AH44" i="464"/>
  <c r="AF44" i="464"/>
  <c r="AD44" i="464"/>
  <c r="V44" i="464"/>
  <c r="S44" i="464"/>
  <c r="P44" i="464"/>
  <c r="M44" i="464"/>
  <c r="J44" i="464"/>
  <c r="H44" i="464"/>
  <c r="E44" i="464"/>
  <c r="CY43" i="464"/>
  <c r="CW43" i="464"/>
  <c r="CR43" i="464"/>
  <c r="CO43" i="464"/>
  <c r="CH43" i="464"/>
  <c r="CC43" i="464"/>
  <c r="BU43" i="464"/>
  <c r="BO43" i="464"/>
  <c r="BL43" i="464"/>
  <c r="BG43" i="464"/>
  <c r="BC43" i="464"/>
  <c r="AZ43" i="464"/>
  <c r="AX43" i="464"/>
  <c r="AQ43" i="464"/>
  <c r="AO43" i="464"/>
  <c r="AH43" i="464"/>
  <c r="AF43" i="464"/>
  <c r="AD43" i="464"/>
  <c r="V43" i="464"/>
  <c r="S43" i="464"/>
  <c r="P43" i="464"/>
  <c r="M43" i="464"/>
  <c r="J43" i="464"/>
  <c r="H43" i="464"/>
  <c r="E43" i="464"/>
  <c r="CY42" i="464"/>
  <c r="CW42" i="464"/>
  <c r="CR42" i="464"/>
  <c r="CO42" i="464"/>
  <c r="CH42" i="464"/>
  <c r="CC42" i="464"/>
  <c r="BU42" i="464"/>
  <c r="BO42" i="464"/>
  <c r="BL42" i="464"/>
  <c r="BG42" i="464"/>
  <c r="BC42" i="464"/>
  <c r="AZ42" i="464"/>
  <c r="AX42" i="464"/>
  <c r="AQ42" i="464"/>
  <c r="AO42" i="464"/>
  <c r="AH42" i="464"/>
  <c r="AF42" i="464"/>
  <c r="AD42" i="464"/>
  <c r="V42" i="464"/>
  <c r="S42" i="464"/>
  <c r="P42" i="464"/>
  <c r="M42" i="464"/>
  <c r="J42" i="464"/>
  <c r="H42" i="464"/>
  <c r="E42" i="464"/>
  <c r="CY41" i="464"/>
  <c r="CW41" i="464"/>
  <c r="CR41" i="464"/>
  <c r="CO41" i="464"/>
  <c r="CH41" i="464"/>
  <c r="CC41" i="464"/>
  <c r="BU41" i="464"/>
  <c r="BO41" i="464"/>
  <c r="BL41" i="464"/>
  <c r="BG41" i="464"/>
  <c r="BC41" i="464"/>
  <c r="AZ41" i="464"/>
  <c r="AX41" i="464"/>
  <c r="AQ41" i="464"/>
  <c r="AO41" i="464"/>
  <c r="AH41" i="464"/>
  <c r="AF41" i="464"/>
  <c r="AD41" i="464"/>
  <c r="V41" i="464"/>
  <c r="S41" i="464"/>
  <c r="P41" i="464"/>
  <c r="M41" i="464"/>
  <c r="J41" i="464"/>
  <c r="H41" i="464"/>
  <c r="E41" i="464"/>
  <c r="CY40" i="464"/>
  <c r="CW40" i="464"/>
  <c r="CR40" i="464"/>
  <c r="CO40" i="464"/>
  <c r="CH40" i="464"/>
  <c r="CC40" i="464"/>
  <c r="BU40" i="464"/>
  <c r="BO40" i="464"/>
  <c r="BL40" i="464"/>
  <c r="BG40" i="464"/>
  <c r="BC40" i="464"/>
  <c r="AZ40" i="464"/>
  <c r="AX40" i="464"/>
  <c r="AQ40" i="464"/>
  <c r="AH40" i="464"/>
  <c r="AF40" i="464"/>
  <c r="AD40" i="464"/>
  <c r="V40" i="464"/>
  <c r="S40" i="464"/>
  <c r="P40" i="464"/>
  <c r="M40" i="464"/>
  <c r="J40" i="464"/>
  <c r="H40" i="464"/>
  <c r="E40" i="464"/>
  <c r="CY39" i="464"/>
  <c r="CW39" i="464"/>
  <c r="CR39" i="464"/>
  <c r="CO39" i="464"/>
  <c r="CH39" i="464"/>
  <c r="CC39" i="464"/>
  <c r="BU39" i="464"/>
  <c r="BO39" i="464"/>
  <c r="BL39" i="464"/>
  <c r="BG39" i="464"/>
  <c r="BC39" i="464"/>
  <c r="AZ39" i="464"/>
  <c r="AX39" i="464"/>
  <c r="AQ39" i="464"/>
  <c r="AO39" i="464"/>
  <c r="AH39" i="464"/>
  <c r="AF39" i="464"/>
  <c r="AD39" i="464"/>
  <c r="V39" i="464"/>
  <c r="S39" i="464"/>
  <c r="P39" i="464"/>
  <c r="M39" i="464"/>
  <c r="J39" i="464"/>
  <c r="H39" i="464"/>
  <c r="E39" i="464"/>
  <c r="CY38" i="464"/>
  <c r="CW38" i="464"/>
  <c r="CR38" i="464"/>
  <c r="CO38" i="464"/>
  <c r="CH38" i="464"/>
  <c r="CC38" i="464"/>
  <c r="BU38" i="464"/>
  <c r="BO38" i="464"/>
  <c r="BL38" i="464"/>
  <c r="BG38" i="464"/>
  <c r="BC38" i="464"/>
  <c r="AZ38" i="464"/>
  <c r="AX38" i="464"/>
  <c r="AQ38" i="464"/>
  <c r="AO38" i="464"/>
  <c r="AH38" i="464"/>
  <c r="AF38" i="464"/>
  <c r="AD38" i="464"/>
  <c r="V38" i="464"/>
  <c r="S38" i="464"/>
  <c r="P38" i="464"/>
  <c r="M38" i="464"/>
  <c r="J38" i="464"/>
  <c r="H38" i="464"/>
  <c r="E38" i="464"/>
  <c r="CY37" i="464"/>
  <c r="CW37" i="464"/>
  <c r="CR37" i="464"/>
  <c r="CO37" i="464"/>
  <c r="CH37" i="464"/>
  <c r="CC37" i="464"/>
  <c r="BU37" i="464"/>
  <c r="BO37" i="464"/>
  <c r="BL37" i="464"/>
  <c r="BG37" i="464"/>
  <c r="BC37" i="464"/>
  <c r="AZ37" i="464"/>
  <c r="AX37" i="464"/>
  <c r="AQ37" i="464"/>
  <c r="AH37" i="464"/>
  <c r="AF37" i="464"/>
  <c r="AD37" i="464"/>
  <c r="V37" i="464"/>
  <c r="S37" i="464"/>
  <c r="P37" i="464"/>
  <c r="M37" i="464"/>
  <c r="J37" i="464"/>
  <c r="H37" i="464"/>
  <c r="E37" i="464"/>
  <c r="CY36" i="464"/>
  <c r="CW36" i="464"/>
  <c r="CR36" i="464"/>
  <c r="CO36" i="464"/>
  <c r="CH36" i="464"/>
  <c r="CC36" i="464"/>
  <c r="BU36" i="464"/>
  <c r="BO36" i="464"/>
  <c r="BL36" i="464"/>
  <c r="BG36" i="464"/>
  <c r="BC36" i="464"/>
  <c r="AZ36" i="464"/>
  <c r="AX36" i="464"/>
  <c r="AU36" i="464"/>
  <c r="AQ36" i="464"/>
  <c r="AO36" i="464"/>
  <c r="AH36" i="464"/>
  <c r="AF36" i="464"/>
  <c r="AD36" i="464"/>
  <c r="AA36" i="464"/>
  <c r="V36" i="464"/>
  <c r="S36" i="464"/>
  <c r="P36" i="464"/>
  <c r="M36" i="464"/>
  <c r="J36" i="464"/>
  <c r="H36" i="464"/>
  <c r="E36" i="464"/>
  <c r="CY35" i="464"/>
  <c r="CW35" i="464"/>
  <c r="CR35" i="464"/>
  <c r="CO35" i="464"/>
  <c r="CH35" i="464"/>
  <c r="CC35" i="464"/>
  <c r="BU35" i="464"/>
  <c r="BO35" i="464"/>
  <c r="BL35" i="464"/>
  <c r="BG35" i="464"/>
  <c r="BC35" i="464"/>
  <c r="AZ35" i="464"/>
  <c r="AX35" i="464"/>
  <c r="AU35" i="464"/>
  <c r="AQ35" i="464"/>
  <c r="AO35" i="464"/>
  <c r="AH35" i="464"/>
  <c r="AF35" i="464"/>
  <c r="AD35" i="464"/>
  <c r="AA35" i="464"/>
  <c r="V35" i="464"/>
  <c r="S35" i="464"/>
  <c r="P35" i="464"/>
  <c r="M35" i="464"/>
  <c r="J35" i="464"/>
  <c r="H35" i="464"/>
  <c r="E35" i="464"/>
  <c r="BG32" i="464"/>
  <c r="E32" i="464"/>
  <c r="CX31" i="464"/>
  <c r="CY31" i="464"/>
  <c r="CV31" i="464"/>
  <c r="CU31" i="464"/>
  <c r="CT31" i="464"/>
  <c r="CS31" i="464"/>
  <c r="CQ31" i="464"/>
  <c r="CP31" i="464"/>
  <c r="CN31" i="464"/>
  <c r="CM31" i="464"/>
  <c r="CL31" i="464"/>
  <c r="CK31" i="464"/>
  <c r="CJ31" i="464"/>
  <c r="CI31" i="464"/>
  <c r="CG31" i="464"/>
  <c r="CF31" i="464"/>
  <c r="CE31" i="464"/>
  <c r="CD31" i="464"/>
  <c r="CB31" i="464"/>
  <c r="CA31" i="464"/>
  <c r="BZ31" i="464"/>
  <c r="BY31" i="464"/>
  <c r="BX31" i="464"/>
  <c r="BW31" i="464"/>
  <c r="BV31" i="464"/>
  <c r="BT31" i="464"/>
  <c r="BS31" i="464"/>
  <c r="BR31" i="464"/>
  <c r="BQ31" i="464"/>
  <c r="BP31" i="464"/>
  <c r="BN31" i="464"/>
  <c r="BM31" i="464"/>
  <c r="BK31" i="464"/>
  <c r="BJ31" i="464"/>
  <c r="BI31" i="464"/>
  <c r="BH31" i="464"/>
  <c r="BF31" i="464"/>
  <c r="BE31" i="464"/>
  <c r="BB31" i="464"/>
  <c r="BA31" i="464"/>
  <c r="AY31" i="464"/>
  <c r="AZ31" i="464"/>
  <c r="AW31" i="464"/>
  <c r="AV31" i="464"/>
  <c r="AT31" i="464"/>
  <c r="AU31" i="464"/>
  <c r="AS31" i="464"/>
  <c r="AR31" i="464"/>
  <c r="AP31" i="464"/>
  <c r="AQ31" i="464"/>
  <c r="AL31" i="464"/>
  <c r="AK31" i="464"/>
  <c r="AJ31" i="464"/>
  <c r="AI31" i="464"/>
  <c r="AO31" i="464"/>
  <c r="AG31" i="464"/>
  <c r="AH31" i="464"/>
  <c r="AE31" i="464"/>
  <c r="AF31" i="464"/>
  <c r="AC31" i="464"/>
  <c r="AB31" i="464"/>
  <c r="Z31" i="464"/>
  <c r="AA31" i="464"/>
  <c r="Y31" i="464"/>
  <c r="X31" i="464"/>
  <c r="U31" i="464"/>
  <c r="T31" i="464"/>
  <c r="R31" i="464"/>
  <c r="Q31" i="464"/>
  <c r="O31" i="464"/>
  <c r="N31" i="464"/>
  <c r="L31" i="464"/>
  <c r="K31" i="464"/>
  <c r="I31" i="464"/>
  <c r="J31" i="464"/>
  <c r="G31" i="464"/>
  <c r="F31" i="464"/>
  <c r="E31" i="464"/>
  <c r="CY30" i="464"/>
  <c r="CW30" i="464"/>
  <c r="CR30" i="464"/>
  <c r="CO30" i="464"/>
  <c r="CH30" i="464"/>
  <c r="CC30" i="464"/>
  <c r="BU30" i="464"/>
  <c r="BO30" i="464"/>
  <c r="BL30" i="464"/>
  <c r="BG30" i="464"/>
  <c r="BC30" i="464"/>
  <c r="AZ30" i="464"/>
  <c r="AX30" i="464"/>
  <c r="AU30" i="464"/>
  <c r="AQ30" i="464"/>
  <c r="AO30" i="464"/>
  <c r="AH30" i="464"/>
  <c r="AF30" i="464"/>
  <c r="AD30" i="464"/>
  <c r="V30" i="464"/>
  <c r="S30" i="464"/>
  <c r="P30" i="464"/>
  <c r="M30" i="464"/>
  <c r="J30" i="464"/>
  <c r="H30" i="464"/>
  <c r="E30" i="464"/>
  <c r="CY29" i="464"/>
  <c r="CW29" i="464"/>
  <c r="CR29" i="464"/>
  <c r="CO29" i="464"/>
  <c r="CH29" i="464"/>
  <c r="CC29" i="464"/>
  <c r="BU29" i="464"/>
  <c r="BO29" i="464"/>
  <c r="BL29" i="464"/>
  <c r="BG29" i="464"/>
  <c r="BC29" i="464"/>
  <c r="AZ29" i="464"/>
  <c r="AX29" i="464"/>
  <c r="AU29" i="464"/>
  <c r="AQ29" i="464"/>
  <c r="AO29" i="464"/>
  <c r="AH29" i="464"/>
  <c r="AF29" i="464"/>
  <c r="AD29" i="464"/>
  <c r="V29" i="464"/>
  <c r="S29" i="464"/>
  <c r="P29" i="464"/>
  <c r="M29" i="464"/>
  <c r="J29" i="464"/>
  <c r="H29" i="464"/>
  <c r="E29" i="464"/>
  <c r="CY28" i="464"/>
  <c r="CW28" i="464"/>
  <c r="CR28" i="464"/>
  <c r="CO28" i="464"/>
  <c r="CH28" i="464"/>
  <c r="CC28" i="464"/>
  <c r="BU28" i="464"/>
  <c r="BO28" i="464"/>
  <c r="BL28" i="464"/>
  <c r="BG28" i="464"/>
  <c r="BC28" i="464"/>
  <c r="AZ28" i="464"/>
  <c r="AX28" i="464"/>
  <c r="AU28" i="464"/>
  <c r="AQ28" i="464"/>
  <c r="AO28" i="464"/>
  <c r="AH28" i="464"/>
  <c r="AF28" i="464"/>
  <c r="AD28" i="464"/>
  <c r="V28" i="464"/>
  <c r="S28" i="464"/>
  <c r="P28" i="464"/>
  <c r="M28" i="464"/>
  <c r="J28" i="464"/>
  <c r="H28" i="464"/>
  <c r="E28" i="464"/>
  <c r="CY27" i="464"/>
  <c r="CW27" i="464"/>
  <c r="CR27" i="464"/>
  <c r="CO27" i="464"/>
  <c r="CH27" i="464"/>
  <c r="CC27" i="464"/>
  <c r="BU27" i="464"/>
  <c r="BO27" i="464"/>
  <c r="BL27" i="464"/>
  <c r="BG27" i="464"/>
  <c r="BC27" i="464"/>
  <c r="AZ27" i="464"/>
  <c r="AX27" i="464"/>
  <c r="AU27" i="464"/>
  <c r="AQ27" i="464"/>
  <c r="AO27" i="464"/>
  <c r="AH27" i="464"/>
  <c r="AF27" i="464"/>
  <c r="AD27" i="464"/>
  <c r="V27" i="464"/>
  <c r="S27" i="464"/>
  <c r="P27" i="464"/>
  <c r="M27" i="464"/>
  <c r="J27" i="464"/>
  <c r="H27" i="464"/>
  <c r="E27" i="464"/>
  <c r="CY26" i="464"/>
  <c r="CW26" i="464"/>
  <c r="C120" i="470"/>
  <c r="CR26" i="464"/>
  <c r="C93" i="470"/>
  <c r="CO26" i="464"/>
  <c r="C106" i="470"/>
  <c r="CH26" i="464"/>
  <c r="C66" i="470"/>
  <c r="CC26" i="464"/>
  <c r="C79" i="470"/>
  <c r="BU26" i="464"/>
  <c r="C52" i="470"/>
  <c r="BO26" i="464"/>
  <c r="C39" i="470"/>
  <c r="BL26" i="464"/>
  <c r="C25" i="470"/>
  <c r="BG26" i="464"/>
  <c r="BC26" i="464"/>
  <c r="AZ26" i="464"/>
  <c r="AX26" i="464"/>
  <c r="AQ26" i="464"/>
  <c r="AH26" i="464"/>
  <c r="AF26" i="464"/>
  <c r="AD26" i="464"/>
  <c r="V26" i="464"/>
  <c r="C107" i="468"/>
  <c r="S26" i="464"/>
  <c r="C94" i="468"/>
  <c r="P26" i="464"/>
  <c r="C80" i="468"/>
  <c r="Z80" i="468"/>
  <c r="M26" i="464"/>
  <c r="C67" i="468"/>
  <c r="J26" i="464"/>
  <c r="C53" i="468"/>
  <c r="H26" i="464"/>
  <c r="C39" i="468"/>
  <c r="E26" i="464"/>
  <c r="CY25" i="464"/>
  <c r="CW25" i="464"/>
  <c r="CR25" i="464"/>
  <c r="CO25" i="464"/>
  <c r="CH25" i="464"/>
  <c r="CC25" i="464"/>
  <c r="BU25" i="464"/>
  <c r="BO25" i="464"/>
  <c r="BL25" i="464"/>
  <c r="BG25" i="464"/>
  <c r="BC25" i="464"/>
  <c r="AZ25" i="464"/>
  <c r="AX25" i="464"/>
  <c r="AQ25" i="464"/>
  <c r="AH25" i="464"/>
  <c r="AF25" i="464"/>
  <c r="AD25" i="464"/>
  <c r="V25" i="464"/>
  <c r="S25" i="464"/>
  <c r="P25" i="464"/>
  <c r="M25" i="464"/>
  <c r="J25" i="464"/>
  <c r="H25" i="464"/>
  <c r="E25" i="464"/>
  <c r="CY24" i="464"/>
  <c r="CW24" i="464"/>
  <c r="CR24" i="464"/>
  <c r="CO24" i="464"/>
  <c r="CH24" i="464"/>
  <c r="CC24" i="464"/>
  <c r="BU24" i="464"/>
  <c r="BO24" i="464"/>
  <c r="BL24" i="464"/>
  <c r="BG24" i="464"/>
  <c r="BC24" i="464"/>
  <c r="AZ24" i="464"/>
  <c r="AX24" i="464"/>
  <c r="AU24" i="464"/>
  <c r="AQ24" i="464"/>
  <c r="AO24" i="464"/>
  <c r="AH24" i="464"/>
  <c r="AF24" i="464"/>
  <c r="AD24" i="464"/>
  <c r="V24" i="464"/>
  <c r="S24" i="464"/>
  <c r="P24" i="464"/>
  <c r="M24" i="464"/>
  <c r="J24" i="464"/>
  <c r="H24" i="464"/>
  <c r="E24" i="464"/>
  <c r="CY23" i="464"/>
  <c r="CW23" i="464"/>
  <c r="CR23" i="464"/>
  <c r="CO23" i="464"/>
  <c r="CH23" i="464"/>
  <c r="CC23" i="464"/>
  <c r="BU23" i="464"/>
  <c r="BO23" i="464"/>
  <c r="BL23" i="464"/>
  <c r="BG23" i="464"/>
  <c r="BC23" i="464"/>
  <c r="AZ23" i="464"/>
  <c r="AX23" i="464"/>
  <c r="AU23" i="464"/>
  <c r="AQ23" i="464"/>
  <c r="AO23" i="464"/>
  <c r="AH23" i="464"/>
  <c r="AF23" i="464"/>
  <c r="AD23" i="464"/>
  <c r="V23" i="464"/>
  <c r="S23" i="464"/>
  <c r="P23" i="464"/>
  <c r="M23" i="464"/>
  <c r="J23" i="464"/>
  <c r="H23" i="464"/>
  <c r="E23" i="464"/>
  <c r="CY22" i="464"/>
  <c r="CW22" i="464"/>
  <c r="CR22" i="464"/>
  <c r="CO22" i="464"/>
  <c r="CH22" i="464"/>
  <c r="CC22" i="464"/>
  <c r="BU22" i="464"/>
  <c r="BO22" i="464"/>
  <c r="BL22" i="464"/>
  <c r="BG22" i="464"/>
  <c r="BC22" i="464"/>
  <c r="AZ22" i="464"/>
  <c r="AX22" i="464"/>
  <c r="AQ22" i="464"/>
  <c r="AH22" i="464"/>
  <c r="AF22" i="464"/>
  <c r="AD22" i="464"/>
  <c r="V22" i="464"/>
  <c r="S22" i="464"/>
  <c r="P22" i="464"/>
  <c r="M22" i="464"/>
  <c r="J22" i="464"/>
  <c r="H22" i="464"/>
  <c r="E22" i="464"/>
  <c r="CY21" i="464"/>
  <c r="CW21" i="464"/>
  <c r="CR21" i="464"/>
  <c r="CO21" i="464"/>
  <c r="CH21" i="464"/>
  <c r="CC21" i="464"/>
  <c r="BU21" i="464"/>
  <c r="BO21" i="464"/>
  <c r="BL21" i="464"/>
  <c r="BG21" i="464"/>
  <c r="BC21" i="464"/>
  <c r="AZ21" i="464"/>
  <c r="AX21" i="464"/>
  <c r="AQ21" i="464"/>
  <c r="AH21" i="464"/>
  <c r="AF21" i="464"/>
  <c r="AD21" i="464"/>
  <c r="V21" i="464"/>
  <c r="S21" i="464"/>
  <c r="P21" i="464"/>
  <c r="M21" i="464"/>
  <c r="J21" i="464"/>
  <c r="H21" i="464"/>
  <c r="E21" i="464"/>
  <c r="CY19" i="464"/>
  <c r="CW19" i="464"/>
  <c r="CR19" i="464"/>
  <c r="CO19" i="464"/>
  <c r="CH19" i="464"/>
  <c r="CC19" i="464"/>
  <c r="BU19" i="464"/>
  <c r="BO19" i="464"/>
  <c r="BL19" i="464"/>
  <c r="BG19" i="464"/>
  <c r="BC19" i="464"/>
  <c r="AZ19" i="464"/>
  <c r="AX19" i="464"/>
  <c r="AU19" i="464"/>
  <c r="AQ19" i="464"/>
  <c r="AO19" i="464"/>
  <c r="AH19" i="464"/>
  <c r="AF19" i="464"/>
  <c r="AD19" i="464"/>
  <c r="AA19" i="464"/>
  <c r="V19" i="464"/>
  <c r="S19" i="464"/>
  <c r="P19" i="464"/>
  <c r="M19" i="464"/>
  <c r="J19" i="464"/>
  <c r="H19" i="464"/>
  <c r="E19" i="464"/>
  <c r="CY18" i="464"/>
  <c r="CW18" i="464"/>
  <c r="CR18" i="464"/>
  <c r="CO18" i="464"/>
  <c r="CH18" i="464"/>
  <c r="CC18" i="464"/>
  <c r="BU18" i="464"/>
  <c r="BO18" i="464"/>
  <c r="BL18" i="464"/>
  <c r="BG18" i="464"/>
  <c r="BC18" i="464"/>
  <c r="AZ18" i="464"/>
  <c r="AX18" i="464"/>
  <c r="AU18" i="464"/>
  <c r="AQ18" i="464"/>
  <c r="AO18" i="464"/>
  <c r="AH18" i="464"/>
  <c r="AF18" i="464"/>
  <c r="AD18" i="464"/>
  <c r="AA18" i="464"/>
  <c r="V18" i="464"/>
  <c r="S18" i="464"/>
  <c r="P18" i="464"/>
  <c r="M18" i="464"/>
  <c r="J18" i="464"/>
  <c r="H18" i="464"/>
  <c r="E18" i="464"/>
  <c r="CY17" i="464"/>
  <c r="CW17" i="464"/>
  <c r="CR17" i="464"/>
  <c r="CO17" i="464"/>
  <c r="CH17" i="464"/>
  <c r="CC17" i="464"/>
  <c r="BU17" i="464"/>
  <c r="BO17" i="464"/>
  <c r="BL17" i="464"/>
  <c r="BG17" i="464"/>
  <c r="BC17" i="464"/>
  <c r="AZ17" i="464"/>
  <c r="AX17" i="464"/>
  <c r="AU17" i="464"/>
  <c r="AQ17" i="464"/>
  <c r="AO17" i="464"/>
  <c r="AH17" i="464"/>
  <c r="AF17" i="464"/>
  <c r="AD17" i="464"/>
  <c r="AA17" i="464"/>
  <c r="V17" i="464"/>
  <c r="S17" i="464"/>
  <c r="P17" i="464"/>
  <c r="M17" i="464"/>
  <c r="J17" i="464"/>
  <c r="H17" i="464"/>
  <c r="E17" i="464"/>
  <c r="CY16" i="464"/>
  <c r="CW16" i="464"/>
  <c r="CR16" i="464"/>
  <c r="CO16" i="464"/>
  <c r="CH16" i="464"/>
  <c r="CC16" i="464"/>
  <c r="BU16" i="464"/>
  <c r="BO16" i="464"/>
  <c r="BL16" i="464"/>
  <c r="BG16" i="464"/>
  <c r="BC16" i="464"/>
  <c r="AZ16" i="464"/>
  <c r="AX16" i="464"/>
  <c r="AU16" i="464"/>
  <c r="AQ16" i="464"/>
  <c r="AO16" i="464"/>
  <c r="AH16" i="464"/>
  <c r="AF16" i="464"/>
  <c r="AD16" i="464"/>
  <c r="AA16" i="464"/>
  <c r="V16" i="464"/>
  <c r="S16" i="464"/>
  <c r="P16" i="464"/>
  <c r="M16" i="464"/>
  <c r="J16" i="464"/>
  <c r="H16" i="464"/>
  <c r="E16" i="464"/>
  <c r="BC13" i="464"/>
  <c r="AX13" i="464"/>
  <c r="AU13" i="464"/>
  <c r="AO13" i="464"/>
  <c r="AD13" i="464"/>
  <c r="AA13" i="464"/>
  <c r="W13" i="464"/>
  <c r="BC12" i="464"/>
  <c r="AX12" i="464"/>
  <c r="AU12" i="464"/>
  <c r="AO12" i="464"/>
  <c r="AD12" i="464"/>
  <c r="AA12" i="464"/>
  <c r="W12" i="464"/>
  <c r="BC11" i="464"/>
  <c r="AX11" i="464"/>
  <c r="AU11" i="464"/>
  <c r="AO11" i="464"/>
  <c r="AD11" i="464"/>
  <c r="AA11" i="464"/>
  <c r="W11" i="464"/>
  <c r="BC10" i="464"/>
  <c r="AX10" i="464"/>
  <c r="AU10" i="464"/>
  <c r="AO10" i="464"/>
  <c r="AD10" i="464"/>
  <c r="AA10" i="464"/>
  <c r="W10" i="464"/>
  <c r="BC8" i="464"/>
  <c r="AX8" i="464"/>
  <c r="AU8" i="464"/>
  <c r="AD8" i="464"/>
  <c r="AA8" i="464"/>
  <c r="W8" i="464"/>
  <c r="CM4" i="464"/>
  <c r="CL4" i="464"/>
  <c r="CK4" i="464"/>
  <c r="CJ4" i="464"/>
  <c r="C28" i="467"/>
  <c r="C28" i="465"/>
  <c r="C42" i="465"/>
  <c r="X42" i="465"/>
  <c r="C93" i="467"/>
  <c r="C80" i="467"/>
  <c r="C67" i="467"/>
  <c r="C54" i="467"/>
  <c r="C41" i="467"/>
  <c r="C27" i="467"/>
  <c r="C81" i="465"/>
  <c r="C68" i="465"/>
  <c r="X68" i="465"/>
  <c r="C55" i="465"/>
  <c r="C41" i="465"/>
  <c r="C27" i="465"/>
  <c r="C92" i="467"/>
  <c r="C79" i="467"/>
  <c r="C66" i="467"/>
  <c r="C53" i="467"/>
  <c r="C40" i="467"/>
  <c r="C26" i="467"/>
  <c r="C80" i="465"/>
  <c r="C67" i="465"/>
  <c r="C54" i="465"/>
  <c r="C40" i="465"/>
  <c r="C26" i="465"/>
  <c r="C91" i="467"/>
  <c r="C78" i="467"/>
  <c r="C65" i="467"/>
  <c r="C52" i="467"/>
  <c r="C39" i="467"/>
  <c r="C25" i="467"/>
  <c r="C79" i="465"/>
  <c r="W79" i="465"/>
  <c r="C66" i="465"/>
  <c r="C53" i="465"/>
  <c r="X53" i="465"/>
  <c r="C39" i="465"/>
  <c r="C25" i="465"/>
  <c r="C90" i="467"/>
  <c r="C77" i="467"/>
  <c r="C64" i="467"/>
  <c r="C51" i="467"/>
  <c r="C38" i="467"/>
  <c r="C24" i="467"/>
  <c r="C78" i="465"/>
  <c r="C65" i="465"/>
  <c r="C52" i="465"/>
  <c r="C38" i="465"/>
  <c r="C89" i="467"/>
  <c r="C76" i="467"/>
  <c r="C63" i="467"/>
  <c r="C50" i="467"/>
  <c r="C37" i="467"/>
  <c r="C23" i="467"/>
  <c r="C77" i="465"/>
  <c r="C64" i="465"/>
  <c r="C51" i="465"/>
  <c r="C37" i="465"/>
  <c r="N64" i="465"/>
  <c r="Z38" i="465"/>
  <c r="Z23" i="465"/>
  <c r="Z24" i="468"/>
  <c r="U15" i="468"/>
  <c r="Z24" i="465"/>
  <c r="S75" i="465"/>
  <c r="S74" i="465"/>
  <c r="F14" i="465"/>
  <c r="F14" i="468"/>
  <c r="M14" i="467"/>
  <c r="S35" i="465"/>
  <c r="S34" i="465"/>
  <c r="AC76" i="470"/>
  <c r="AC75" i="470"/>
  <c r="Z102" i="470"/>
  <c r="S62" i="465"/>
  <c r="S61" i="465"/>
  <c r="S49" i="465"/>
  <c r="S48" i="465"/>
  <c r="U36" i="468"/>
  <c r="Q14" i="465"/>
  <c r="Q14" i="468"/>
  <c r="AE74" i="467"/>
  <c r="AE73" i="467"/>
  <c r="AH86" i="467"/>
  <c r="J103" i="470"/>
  <c r="J102" i="470"/>
  <c r="Q15" i="470"/>
  <c r="Q13" i="470"/>
  <c r="G36" i="468"/>
  <c r="G35" i="468"/>
  <c r="H64" i="468"/>
  <c r="H77" i="468"/>
  <c r="U15" i="470"/>
  <c r="U13" i="470"/>
  <c r="I36" i="468"/>
  <c r="I35" i="468"/>
  <c r="U50" i="468"/>
  <c r="L64" i="468"/>
  <c r="L63" i="468"/>
  <c r="J14" i="465"/>
  <c r="J14" i="468"/>
  <c r="U14" i="465"/>
  <c r="U14" i="468"/>
  <c r="Q14" i="467"/>
  <c r="Q14" i="470"/>
  <c r="F15" i="468"/>
  <c r="H15" i="470"/>
  <c r="H13" i="470"/>
  <c r="Z15" i="470"/>
  <c r="Z13" i="470"/>
  <c r="C82" i="468"/>
  <c r="W82" i="468"/>
  <c r="BD145" i="464"/>
  <c r="BD170" i="464"/>
  <c r="K14" i="465"/>
  <c r="K14" i="468"/>
  <c r="E14" i="467"/>
  <c r="E14" i="470"/>
  <c r="U14" i="467"/>
  <c r="U13" i="467"/>
  <c r="J15" i="468"/>
  <c r="L15" i="470"/>
  <c r="L13" i="470"/>
  <c r="E14" i="465"/>
  <c r="E14" i="468"/>
  <c r="P14" i="465"/>
  <c r="P14" i="468"/>
  <c r="I14" i="467"/>
  <c r="I14" i="470"/>
  <c r="Z14" i="467"/>
  <c r="Z14" i="470"/>
  <c r="P15" i="468"/>
  <c r="AC15" i="470"/>
  <c r="AC13" i="470"/>
  <c r="CZ16" i="464"/>
  <c r="W17" i="464"/>
  <c r="P31" i="464"/>
  <c r="BG31" i="464"/>
  <c r="CZ37" i="464"/>
  <c r="W38" i="464"/>
  <c r="W57" i="464"/>
  <c r="W66" i="464"/>
  <c r="W125" i="464"/>
  <c r="W129" i="464"/>
  <c r="W133" i="464"/>
  <c r="W137" i="464"/>
  <c r="W141" i="464"/>
  <c r="BD162" i="464"/>
  <c r="G14" i="465"/>
  <c r="G14" i="468"/>
  <c r="M14" i="465"/>
  <c r="M14" i="468"/>
  <c r="S14" i="465"/>
  <c r="S14" i="468"/>
  <c r="E21" i="465"/>
  <c r="E20" i="465"/>
  <c r="Q21" i="465"/>
  <c r="Q20" i="465"/>
  <c r="F14" i="467"/>
  <c r="F14" i="470"/>
  <c r="J14" i="467"/>
  <c r="N14" i="467"/>
  <c r="N14" i="470"/>
  <c r="R14" i="467"/>
  <c r="W14" i="467"/>
  <c r="W14" i="470"/>
  <c r="AA14" i="467"/>
  <c r="AA14" i="470"/>
  <c r="J21" i="467"/>
  <c r="J20" i="467"/>
  <c r="I61" i="467"/>
  <c r="I60" i="467"/>
  <c r="G15" i="468"/>
  <c r="K15" i="468"/>
  <c r="Q15" i="468"/>
  <c r="O36" i="468"/>
  <c r="O35" i="468"/>
  <c r="X64" i="468"/>
  <c r="X63" i="468"/>
  <c r="L77" i="468"/>
  <c r="L76" i="468"/>
  <c r="D15" i="470"/>
  <c r="I15" i="470"/>
  <c r="I13" i="470"/>
  <c r="M15" i="470"/>
  <c r="M13" i="470"/>
  <c r="R15" i="470"/>
  <c r="R13" i="470"/>
  <c r="W15" i="470"/>
  <c r="W13" i="470"/>
  <c r="AA15" i="470"/>
  <c r="AA13" i="470"/>
  <c r="W22" i="470"/>
  <c r="W21" i="470"/>
  <c r="AB130" i="470"/>
  <c r="AB129" i="470"/>
  <c r="BD158" i="464"/>
  <c r="BD166" i="464"/>
  <c r="D14" i="465"/>
  <c r="D14" i="468"/>
  <c r="H14" i="465"/>
  <c r="H14" i="468"/>
  <c r="O14" i="465"/>
  <c r="T14" i="465"/>
  <c r="T14" i="468"/>
  <c r="G21" i="465"/>
  <c r="G20" i="465"/>
  <c r="U21" i="465"/>
  <c r="U20" i="465"/>
  <c r="G14" i="467"/>
  <c r="G14" i="470"/>
  <c r="K14" i="467"/>
  <c r="O14" i="467"/>
  <c r="S14" i="467"/>
  <c r="X14" i="467"/>
  <c r="AB14" i="467"/>
  <c r="R21" i="467"/>
  <c r="R20" i="467"/>
  <c r="O74" i="467"/>
  <c r="O73" i="467"/>
  <c r="D15" i="468"/>
  <c r="H15" i="468"/>
  <c r="N15" i="468"/>
  <c r="S15" i="468"/>
  <c r="E36" i="468"/>
  <c r="E35" i="468"/>
  <c r="Q36" i="468"/>
  <c r="Q35" i="468"/>
  <c r="I50" i="468"/>
  <c r="I49" i="468"/>
  <c r="D64" i="468"/>
  <c r="D63" i="468"/>
  <c r="E15" i="470"/>
  <c r="E13" i="470"/>
  <c r="J15" i="470"/>
  <c r="J13" i="470"/>
  <c r="O15" i="470"/>
  <c r="O13" i="470"/>
  <c r="S15" i="470"/>
  <c r="S13" i="470"/>
  <c r="X15" i="470"/>
  <c r="X13" i="470"/>
  <c r="AB15" i="470"/>
  <c r="AB13" i="470"/>
  <c r="AB49" i="470"/>
  <c r="AB48" i="470"/>
  <c r="AG62" i="470"/>
  <c r="O21" i="465"/>
  <c r="O20" i="465"/>
  <c r="C38" i="468"/>
  <c r="L38" i="468"/>
  <c r="C93" i="468"/>
  <c r="R93" i="468"/>
  <c r="BD149" i="464"/>
  <c r="I21" i="465"/>
  <c r="I20" i="465"/>
  <c r="K34" i="465"/>
  <c r="K48" i="465"/>
  <c r="K61" i="465"/>
  <c r="K74" i="465"/>
  <c r="H14" i="467"/>
  <c r="H14" i="470"/>
  <c r="L14" i="467"/>
  <c r="L14" i="470"/>
  <c r="P14" i="467"/>
  <c r="P14" i="470"/>
  <c r="T14" i="467"/>
  <c r="T14" i="470"/>
  <c r="Y14" i="467"/>
  <c r="AC14" i="467"/>
  <c r="AC13" i="467"/>
  <c r="Z21" i="467"/>
  <c r="Z20" i="467"/>
  <c r="E15" i="468"/>
  <c r="I15" i="468"/>
  <c r="O15" i="468"/>
  <c r="T15" i="468"/>
  <c r="F15" i="470"/>
  <c r="F13" i="470"/>
  <c r="K15" i="470"/>
  <c r="K13" i="470"/>
  <c r="P15" i="470"/>
  <c r="P13" i="470"/>
  <c r="T15" i="470"/>
  <c r="T13" i="470"/>
  <c r="Y15" i="470"/>
  <c r="Y13" i="470"/>
  <c r="I78" i="476"/>
  <c r="X87" i="467"/>
  <c r="X86" i="467"/>
  <c r="E50" i="468"/>
  <c r="E49" i="468"/>
  <c r="O50" i="468"/>
  <c r="O49" i="468"/>
  <c r="T77" i="468"/>
  <c r="T76" i="468"/>
  <c r="R91" i="468"/>
  <c r="R90" i="468"/>
  <c r="I36" i="470"/>
  <c r="I35" i="470"/>
  <c r="Q36" i="470"/>
  <c r="Q35" i="470"/>
  <c r="W36" i="470"/>
  <c r="W35" i="470"/>
  <c r="AD36" i="470"/>
  <c r="AD35" i="470"/>
  <c r="J63" i="470"/>
  <c r="J62" i="470"/>
  <c r="R63" i="470"/>
  <c r="R62" i="470"/>
  <c r="AA63" i="470"/>
  <c r="AA62" i="470"/>
  <c r="V117" i="470"/>
  <c r="V116" i="470"/>
  <c r="I59" i="476"/>
  <c r="C38" i="470"/>
  <c r="AJ38" i="470"/>
  <c r="C105" i="470"/>
  <c r="AJ105" i="470"/>
  <c r="W26" i="464"/>
  <c r="W29" i="464"/>
  <c r="H31" i="464"/>
  <c r="AX31" i="464"/>
  <c r="BL31" i="464"/>
  <c r="CR31" i="464"/>
  <c r="W35" i="464"/>
  <c r="CZ35" i="464"/>
  <c r="W37" i="464"/>
  <c r="W54" i="464"/>
  <c r="CZ64" i="464"/>
  <c r="W70" i="464"/>
  <c r="CZ75" i="464"/>
  <c r="W76" i="464"/>
  <c r="CZ79" i="464"/>
  <c r="W80" i="464"/>
  <c r="W91" i="464"/>
  <c r="W105" i="464"/>
  <c r="CZ105" i="464"/>
  <c r="W106" i="464"/>
  <c r="CZ111" i="464"/>
  <c r="DI111" i="464"/>
  <c r="CZ113" i="464"/>
  <c r="DI113" i="464"/>
  <c r="W114" i="464"/>
  <c r="CZ115" i="464"/>
  <c r="CZ119" i="464"/>
  <c r="DA119" i="464"/>
  <c r="CZ121" i="464"/>
  <c r="DA121" i="464"/>
  <c r="CZ123" i="464"/>
  <c r="DA123" i="464"/>
  <c r="CZ127" i="464"/>
  <c r="CZ131" i="464"/>
  <c r="CZ135" i="464"/>
  <c r="CZ139" i="464"/>
  <c r="CZ150" i="464"/>
  <c r="W151" i="464"/>
  <c r="BD155" i="464"/>
  <c r="CZ189" i="464"/>
  <c r="K48" i="467"/>
  <c r="K47" i="467"/>
  <c r="U61" i="467"/>
  <c r="U60" i="467"/>
  <c r="F74" i="467"/>
  <c r="F73" i="467"/>
  <c r="V74" i="467"/>
  <c r="V73" i="467"/>
  <c r="H87" i="467"/>
  <c r="H86" i="467"/>
  <c r="Z87" i="467"/>
  <c r="Z86" i="467"/>
  <c r="M36" i="468"/>
  <c r="M35" i="468"/>
  <c r="W36" i="468"/>
  <c r="W35" i="468"/>
  <c r="G50" i="468"/>
  <c r="G49" i="468"/>
  <c r="Q50" i="468"/>
  <c r="Q49" i="468"/>
  <c r="T64" i="468"/>
  <c r="T63" i="468"/>
  <c r="D77" i="468"/>
  <c r="D76" i="468"/>
  <c r="X77" i="468"/>
  <c r="X76" i="468"/>
  <c r="W76" i="468"/>
  <c r="K36" i="470"/>
  <c r="K35" i="470"/>
  <c r="R36" i="470"/>
  <c r="R35" i="470"/>
  <c r="Y36" i="470"/>
  <c r="Y35" i="470"/>
  <c r="AG36" i="470"/>
  <c r="AG35" i="470"/>
  <c r="K63" i="470"/>
  <c r="K62" i="470"/>
  <c r="U63" i="470"/>
  <c r="U62" i="470"/>
  <c r="AE63" i="470"/>
  <c r="AE62" i="470"/>
  <c r="F117" i="470"/>
  <c r="F116" i="470"/>
  <c r="Z117" i="470"/>
  <c r="Z116" i="470"/>
  <c r="CZ39" i="464"/>
  <c r="W69" i="464"/>
  <c r="W75" i="464"/>
  <c r="W79" i="464"/>
  <c r="W94" i="464"/>
  <c r="W99" i="464"/>
  <c r="W127" i="464"/>
  <c r="W131" i="464"/>
  <c r="W135" i="464"/>
  <c r="W139" i="464"/>
  <c r="W144" i="464"/>
  <c r="BD172" i="464"/>
  <c r="Y61" i="467"/>
  <c r="Y60" i="467"/>
  <c r="G74" i="467"/>
  <c r="G73" i="467"/>
  <c r="W74" i="467"/>
  <c r="W73" i="467"/>
  <c r="J87" i="467"/>
  <c r="J86" i="467"/>
  <c r="AF87" i="467"/>
  <c r="AF86" i="467"/>
  <c r="G22" i="470"/>
  <c r="G21" i="470"/>
  <c r="F36" i="470"/>
  <c r="F35" i="470"/>
  <c r="M36" i="470"/>
  <c r="M35" i="470"/>
  <c r="S36" i="470"/>
  <c r="S35" i="470"/>
  <c r="AA36" i="470"/>
  <c r="AA35" i="470"/>
  <c r="AF35" i="470"/>
  <c r="H49" i="470"/>
  <c r="H48" i="470"/>
  <c r="E63" i="470"/>
  <c r="E62" i="470"/>
  <c r="M63" i="470"/>
  <c r="M62" i="470"/>
  <c r="W63" i="470"/>
  <c r="W62" i="470"/>
  <c r="AH63" i="470"/>
  <c r="AH62" i="470"/>
  <c r="J117" i="470"/>
  <c r="J116" i="470"/>
  <c r="AF117" i="470"/>
  <c r="AF116" i="470"/>
  <c r="V31" i="464"/>
  <c r="W43" i="464"/>
  <c r="W47" i="464"/>
  <c r="W67" i="464"/>
  <c r="CZ88" i="464"/>
  <c r="BD147" i="464"/>
  <c r="CZ152" i="464"/>
  <c r="M21" i="465"/>
  <c r="M20" i="465"/>
  <c r="W21" i="465"/>
  <c r="W20" i="465"/>
  <c r="AG20" i="467"/>
  <c r="AH21" i="467"/>
  <c r="AH20" i="467"/>
  <c r="E61" i="467"/>
  <c r="E60" i="467"/>
  <c r="N74" i="467"/>
  <c r="N73" i="467"/>
  <c r="AD74" i="467"/>
  <c r="AD73" i="467"/>
  <c r="P87" i="467"/>
  <c r="P86" i="467"/>
  <c r="M50" i="468"/>
  <c r="M49" i="468"/>
  <c r="W50" i="468"/>
  <c r="W49" i="468"/>
  <c r="O22" i="470"/>
  <c r="O21" i="470"/>
  <c r="G36" i="470"/>
  <c r="G35" i="470"/>
  <c r="N36" i="470"/>
  <c r="N35" i="470"/>
  <c r="V36" i="470"/>
  <c r="V35" i="470"/>
  <c r="AC36" i="470"/>
  <c r="AC35" i="470"/>
  <c r="P49" i="470"/>
  <c r="P48" i="470"/>
  <c r="F63" i="470"/>
  <c r="F62" i="470"/>
  <c r="Q63" i="470"/>
  <c r="Q62" i="470"/>
  <c r="Z63" i="470"/>
  <c r="Z62" i="470"/>
  <c r="P117" i="470"/>
  <c r="P116" i="470"/>
  <c r="H130" i="470"/>
  <c r="H129" i="470"/>
  <c r="BD160" i="464"/>
  <c r="I68" i="476"/>
  <c r="CZ46" i="464"/>
  <c r="BD62" i="464"/>
  <c r="CZ65" i="464"/>
  <c r="DI65" i="464"/>
  <c r="BD89" i="464"/>
  <c r="CZ91" i="464"/>
  <c r="CZ100" i="464"/>
  <c r="DA100" i="464"/>
  <c r="BD109" i="464"/>
  <c r="BD110" i="464"/>
  <c r="BD114" i="464"/>
  <c r="AF35" i="467"/>
  <c r="AF34" i="467"/>
  <c r="AC35" i="467"/>
  <c r="AC34" i="467"/>
  <c r="M35" i="467"/>
  <c r="M34" i="467"/>
  <c r="Y35" i="467"/>
  <c r="Y34" i="467"/>
  <c r="I35" i="467"/>
  <c r="I34" i="467"/>
  <c r="U35" i="467"/>
  <c r="U34" i="467"/>
  <c r="E35" i="467"/>
  <c r="E34" i="467"/>
  <c r="BD174" i="464"/>
  <c r="BD176" i="464"/>
  <c r="BD178" i="464"/>
  <c r="BD180" i="464"/>
  <c r="BD182" i="464"/>
  <c r="BD184" i="464"/>
  <c r="BD186" i="464"/>
  <c r="BD190" i="464"/>
  <c r="X22" i="468"/>
  <c r="X21" i="468"/>
  <c r="Q22" i="468"/>
  <c r="Q21" i="468"/>
  <c r="I22" i="468"/>
  <c r="I21" i="468"/>
  <c r="W22" i="468"/>
  <c r="W21" i="468"/>
  <c r="O22" i="468"/>
  <c r="O21" i="468"/>
  <c r="G22" i="468"/>
  <c r="G21" i="468"/>
  <c r="U22" i="468"/>
  <c r="U21" i="468"/>
  <c r="M22" i="468"/>
  <c r="M21" i="468"/>
  <c r="E22" i="468"/>
  <c r="E21" i="468"/>
  <c r="BD164" i="464"/>
  <c r="BD168" i="464"/>
  <c r="X35" i="465"/>
  <c r="X34" i="465"/>
  <c r="Q35" i="465"/>
  <c r="Q34" i="465"/>
  <c r="I35" i="465"/>
  <c r="I34" i="465"/>
  <c r="W35" i="465"/>
  <c r="W34" i="465"/>
  <c r="O35" i="465"/>
  <c r="O34" i="465"/>
  <c r="G35" i="465"/>
  <c r="G34" i="465"/>
  <c r="U35" i="465"/>
  <c r="U34" i="465"/>
  <c r="M35" i="465"/>
  <c r="M34" i="465"/>
  <c r="E35" i="465"/>
  <c r="E34" i="465"/>
  <c r="X49" i="465"/>
  <c r="X48" i="465"/>
  <c r="Q49" i="465"/>
  <c r="Q48" i="465"/>
  <c r="I49" i="465"/>
  <c r="I48" i="465"/>
  <c r="W49" i="465"/>
  <c r="W48" i="465"/>
  <c r="O49" i="465"/>
  <c r="O48" i="465"/>
  <c r="G49" i="465"/>
  <c r="G48" i="465"/>
  <c r="U49" i="465"/>
  <c r="U48" i="465"/>
  <c r="M49" i="465"/>
  <c r="M48" i="465"/>
  <c r="E49" i="465"/>
  <c r="E48" i="465"/>
  <c r="X62" i="465"/>
  <c r="X61" i="465"/>
  <c r="Q62" i="465"/>
  <c r="I62" i="465"/>
  <c r="I61" i="465"/>
  <c r="W62" i="465"/>
  <c r="W61" i="465"/>
  <c r="O62" i="465"/>
  <c r="O61" i="465"/>
  <c r="G62" i="465"/>
  <c r="G61" i="465"/>
  <c r="U62" i="465"/>
  <c r="U61" i="465"/>
  <c r="M62" i="465"/>
  <c r="M61" i="465"/>
  <c r="E62" i="465"/>
  <c r="E61" i="465"/>
  <c r="Q61" i="465"/>
  <c r="X75" i="465"/>
  <c r="X74" i="465"/>
  <c r="Q75" i="465"/>
  <c r="I75" i="465"/>
  <c r="I74" i="465"/>
  <c r="W75" i="465"/>
  <c r="W74" i="465"/>
  <c r="O75" i="465"/>
  <c r="O74" i="465"/>
  <c r="G75" i="465"/>
  <c r="G74" i="465"/>
  <c r="U75" i="465"/>
  <c r="U74" i="465"/>
  <c r="M75" i="465"/>
  <c r="M74" i="465"/>
  <c r="E75" i="465"/>
  <c r="E74" i="465"/>
  <c r="Q74" i="465"/>
  <c r="AG35" i="467"/>
  <c r="AG34" i="467"/>
  <c r="AG48" i="467"/>
  <c r="AG47" i="467"/>
  <c r="AH48" i="467"/>
  <c r="AH47" i="467"/>
  <c r="Z48" i="467"/>
  <c r="Z47" i="467"/>
  <c r="R48" i="467"/>
  <c r="R47" i="467"/>
  <c r="J48" i="467"/>
  <c r="J47" i="467"/>
  <c r="AE48" i="467"/>
  <c r="AE47" i="467"/>
  <c r="W48" i="467"/>
  <c r="W47" i="467"/>
  <c r="O48" i="467"/>
  <c r="O47" i="467"/>
  <c r="G48" i="467"/>
  <c r="G47" i="467"/>
  <c r="AD48" i="467"/>
  <c r="AD47" i="467"/>
  <c r="V48" i="467"/>
  <c r="V47" i="467"/>
  <c r="N48" i="467"/>
  <c r="N47" i="467"/>
  <c r="F48" i="467"/>
  <c r="F47" i="467"/>
  <c r="S48" i="467"/>
  <c r="S47" i="467"/>
  <c r="K22" i="468"/>
  <c r="K21" i="468"/>
  <c r="AE22" i="470"/>
  <c r="AE21" i="470"/>
  <c r="E36" i="470"/>
  <c r="E35" i="470"/>
  <c r="J36" i="470"/>
  <c r="J35" i="470"/>
  <c r="O36" i="470"/>
  <c r="O35" i="470"/>
  <c r="U36" i="470"/>
  <c r="U35" i="470"/>
  <c r="Z36" i="470"/>
  <c r="Z35" i="470"/>
  <c r="AE36" i="470"/>
  <c r="AE35" i="470"/>
  <c r="L49" i="470"/>
  <c r="L48" i="470"/>
  <c r="AF49" i="470"/>
  <c r="AF48" i="470"/>
  <c r="G63" i="470"/>
  <c r="G62" i="470"/>
  <c r="O63" i="470"/>
  <c r="O62" i="470"/>
  <c r="V63" i="470"/>
  <c r="V62" i="470"/>
  <c r="AC63" i="470"/>
  <c r="AC62" i="470"/>
  <c r="H90" i="470"/>
  <c r="H89" i="470"/>
  <c r="P90" i="470"/>
  <c r="P89" i="470"/>
  <c r="V90" i="470"/>
  <c r="V89" i="470"/>
  <c r="AC90" i="470"/>
  <c r="AC89" i="470"/>
  <c r="D103" i="470"/>
  <c r="D102" i="470"/>
  <c r="AE103" i="470"/>
  <c r="AE102" i="470"/>
  <c r="N117" i="470"/>
  <c r="N116" i="470"/>
  <c r="X117" i="470"/>
  <c r="X116" i="470"/>
  <c r="AH117" i="470"/>
  <c r="AH116" i="470"/>
  <c r="X130" i="470"/>
  <c r="X129" i="470"/>
  <c r="I70" i="476"/>
  <c r="CZ23" i="464"/>
  <c r="BD24" i="464"/>
  <c r="DI24" i="464"/>
  <c r="CZ27" i="464"/>
  <c r="BD28" i="464"/>
  <c r="DI28" i="464"/>
  <c r="CZ29" i="464"/>
  <c r="W30" i="464"/>
  <c r="BC31" i="464"/>
  <c r="BO31" i="464"/>
  <c r="BD36" i="464"/>
  <c r="W39" i="464"/>
  <c r="BD42" i="464"/>
  <c r="W52" i="464"/>
  <c r="CZ54" i="464"/>
  <c r="W55" i="464"/>
  <c r="BD55" i="464"/>
  <c r="BD66" i="464"/>
  <c r="BD71" i="464"/>
  <c r="BD79" i="464"/>
  <c r="BD84" i="464"/>
  <c r="BD85" i="464"/>
  <c r="W90" i="464"/>
  <c r="W92" i="464"/>
  <c r="C83" i="468"/>
  <c r="Z83" i="468"/>
  <c r="CZ96" i="464"/>
  <c r="CZ97" i="464"/>
  <c r="BD105" i="464"/>
  <c r="W111" i="464"/>
  <c r="W115" i="464"/>
  <c r="W118" i="464"/>
  <c r="BD126" i="464"/>
  <c r="BD128" i="464"/>
  <c r="BD130" i="464"/>
  <c r="BD132" i="464"/>
  <c r="BD134" i="464"/>
  <c r="BD136" i="464"/>
  <c r="BD138" i="464"/>
  <c r="BD140" i="464"/>
  <c r="BD142" i="464"/>
  <c r="CZ148" i="464"/>
  <c r="W152" i="464"/>
  <c r="CZ159" i="464"/>
  <c r="W160" i="464"/>
  <c r="CZ163" i="464"/>
  <c r="W164" i="464"/>
  <c r="CZ167" i="464"/>
  <c r="W168" i="464"/>
  <c r="CZ171" i="464"/>
  <c r="W172" i="464"/>
  <c r="CZ175" i="464"/>
  <c r="W176" i="464"/>
  <c r="CZ179" i="464"/>
  <c r="W180" i="464"/>
  <c r="CZ183" i="464"/>
  <c r="W184" i="464"/>
  <c r="CZ187" i="464"/>
  <c r="W188" i="464"/>
  <c r="W189" i="464"/>
  <c r="K21" i="467"/>
  <c r="K20" i="467"/>
  <c r="S21" i="467"/>
  <c r="S20" i="467"/>
  <c r="AA21" i="467"/>
  <c r="AA20" i="467"/>
  <c r="H63" i="468"/>
  <c r="J90" i="470"/>
  <c r="J89" i="470"/>
  <c r="Q90" i="470"/>
  <c r="Q89" i="470"/>
  <c r="X90" i="470"/>
  <c r="X89" i="470"/>
  <c r="AF90" i="470"/>
  <c r="AF89" i="470"/>
  <c r="I56" i="476"/>
  <c r="W16" i="464"/>
  <c r="W18" i="464"/>
  <c r="CZ18" i="464"/>
  <c r="W21" i="464"/>
  <c r="CZ21" i="464"/>
  <c r="W22" i="464"/>
  <c r="W23" i="464"/>
  <c r="C66" i="468"/>
  <c r="M66" i="468"/>
  <c r="C78" i="470"/>
  <c r="AJ78" i="470"/>
  <c r="C119" i="470"/>
  <c r="AJ119" i="470"/>
  <c r="W27" i="464"/>
  <c r="M31" i="464"/>
  <c r="S31" i="464"/>
  <c r="AD31" i="464"/>
  <c r="BU31" i="464"/>
  <c r="CH31" i="464"/>
  <c r="BD38" i="464"/>
  <c r="W41" i="464"/>
  <c r="W45" i="464"/>
  <c r="W49" i="464"/>
  <c r="BD50" i="464"/>
  <c r="CZ55" i="464"/>
  <c r="W56" i="464"/>
  <c r="BD59" i="464"/>
  <c r="CZ70" i="464"/>
  <c r="CZ71" i="464"/>
  <c r="C41" i="470"/>
  <c r="AD41" i="470"/>
  <c r="C108" i="470"/>
  <c r="AG108" i="470"/>
  <c r="CZ84" i="464"/>
  <c r="W85" i="464"/>
  <c r="CZ87" i="464"/>
  <c r="DI87" i="464"/>
  <c r="BD96" i="464"/>
  <c r="BD97" i="464"/>
  <c r="BD108" i="464"/>
  <c r="BD118" i="464"/>
  <c r="CZ125" i="464"/>
  <c r="W126" i="464"/>
  <c r="CZ129" i="464"/>
  <c r="W130" i="464"/>
  <c r="CZ133" i="464"/>
  <c r="W134" i="464"/>
  <c r="CZ137" i="464"/>
  <c r="W138" i="464"/>
  <c r="CZ141" i="464"/>
  <c r="W142" i="464"/>
  <c r="BD151" i="464"/>
  <c r="W154" i="464"/>
  <c r="CZ154" i="464"/>
  <c r="W155" i="464"/>
  <c r="BD188" i="464"/>
  <c r="K21" i="465"/>
  <c r="K20" i="465"/>
  <c r="S21" i="465"/>
  <c r="S20" i="465"/>
  <c r="F21" i="467"/>
  <c r="F20" i="467"/>
  <c r="N21" i="467"/>
  <c r="N20" i="467"/>
  <c r="V21" i="467"/>
  <c r="V20" i="467"/>
  <c r="AD21" i="467"/>
  <c r="AD20" i="467"/>
  <c r="M61" i="467"/>
  <c r="M60" i="467"/>
  <c r="AC61" i="467"/>
  <c r="AC60" i="467"/>
  <c r="J74" i="467"/>
  <c r="J73" i="467"/>
  <c r="R74" i="467"/>
  <c r="R73" i="467"/>
  <c r="Z74" i="467"/>
  <c r="Z73" i="467"/>
  <c r="AH74" i="467"/>
  <c r="AH73" i="467"/>
  <c r="R87" i="467"/>
  <c r="R86" i="467"/>
  <c r="K36" i="468"/>
  <c r="K35" i="468"/>
  <c r="S36" i="468"/>
  <c r="S35" i="468"/>
  <c r="K50" i="468"/>
  <c r="K49" i="468"/>
  <c r="S50" i="468"/>
  <c r="S49" i="468"/>
  <c r="P64" i="468"/>
  <c r="P63" i="468"/>
  <c r="P77" i="468"/>
  <c r="P76" i="468"/>
  <c r="J90" i="468"/>
  <c r="AH36" i="470"/>
  <c r="AH35" i="470"/>
  <c r="E90" i="470"/>
  <c r="E89" i="470"/>
  <c r="L90" i="470"/>
  <c r="L89" i="470"/>
  <c r="R90" i="470"/>
  <c r="R89" i="470"/>
  <c r="Z90" i="470"/>
  <c r="Z89" i="470"/>
  <c r="AG90" i="470"/>
  <c r="AG89" i="470"/>
  <c r="AH89" i="470"/>
  <c r="T103" i="470"/>
  <c r="T102" i="470"/>
  <c r="H117" i="470"/>
  <c r="H116" i="470"/>
  <c r="R117" i="470"/>
  <c r="R116" i="470"/>
  <c r="L130" i="470"/>
  <c r="L129" i="470"/>
  <c r="AF130" i="470"/>
  <c r="AF129" i="470"/>
  <c r="I54" i="476"/>
  <c r="BD17" i="464"/>
  <c r="DI17" i="464"/>
  <c r="BD19" i="464"/>
  <c r="DI19" i="464"/>
  <c r="BD22" i="464"/>
  <c r="DI22" i="464"/>
  <c r="BD30" i="464"/>
  <c r="DI30" i="464"/>
  <c r="BD40" i="464"/>
  <c r="CZ41" i="464"/>
  <c r="W42" i="464"/>
  <c r="W44" i="464"/>
  <c r="CZ45" i="464"/>
  <c r="W46" i="464"/>
  <c r="BD46" i="464"/>
  <c r="W48" i="464"/>
  <c r="CZ49" i="464"/>
  <c r="W50" i="464"/>
  <c r="CZ50" i="464"/>
  <c r="W51" i="464"/>
  <c r="W58" i="464"/>
  <c r="CZ58" i="464"/>
  <c r="DI58" i="464"/>
  <c r="W59" i="464"/>
  <c r="CZ59" i="464"/>
  <c r="DI59" i="464"/>
  <c r="W60" i="464"/>
  <c r="W62" i="464"/>
  <c r="W63" i="464"/>
  <c r="W64" i="464"/>
  <c r="BD65" i="464"/>
  <c r="BD74" i="464"/>
  <c r="W77" i="464"/>
  <c r="BD78" i="464"/>
  <c r="W83" i="464"/>
  <c r="W87" i="464"/>
  <c r="W88" i="464"/>
  <c r="C28" i="470"/>
  <c r="AJ28" i="470"/>
  <c r="C69" i="470"/>
  <c r="AJ69" i="470"/>
  <c r="C136" i="470"/>
  <c r="AD136" i="470"/>
  <c r="BD93" i="464"/>
  <c r="W97" i="464"/>
  <c r="CZ99" i="464"/>
  <c r="DI99" i="464"/>
  <c r="BD104" i="464"/>
  <c r="W107" i="464"/>
  <c r="CZ108" i="464"/>
  <c r="W109" i="464"/>
  <c r="W110" i="464"/>
  <c r="W113" i="464"/>
  <c r="W117" i="464"/>
  <c r="CZ144" i="464"/>
  <c r="W146" i="464"/>
  <c r="CZ146" i="464"/>
  <c r="DI146" i="464"/>
  <c r="W147" i="464"/>
  <c r="W148" i="464"/>
  <c r="W150" i="464"/>
  <c r="BD153" i="464"/>
  <c r="W156" i="464"/>
  <c r="CZ156" i="464"/>
  <c r="W159" i="464"/>
  <c r="W161" i="464"/>
  <c r="CZ161" i="464"/>
  <c r="W163" i="464"/>
  <c r="W165" i="464"/>
  <c r="CZ165" i="464"/>
  <c r="W167" i="464"/>
  <c r="W169" i="464"/>
  <c r="CZ169" i="464"/>
  <c r="W171" i="464"/>
  <c r="W173" i="464"/>
  <c r="CZ173" i="464"/>
  <c r="W175" i="464"/>
  <c r="W177" i="464"/>
  <c r="CZ177" i="464"/>
  <c r="W179" i="464"/>
  <c r="W181" i="464"/>
  <c r="CZ181" i="464"/>
  <c r="W183" i="464"/>
  <c r="W185" i="464"/>
  <c r="CZ185" i="464"/>
  <c r="DI185" i="464"/>
  <c r="W187" i="464"/>
  <c r="G21" i="467"/>
  <c r="G20" i="467"/>
  <c r="O21" i="467"/>
  <c r="O20" i="467"/>
  <c r="W21" i="467"/>
  <c r="W20" i="467"/>
  <c r="AE21" i="467"/>
  <c r="AE20" i="467"/>
  <c r="AF60" i="467"/>
  <c r="Q61" i="467"/>
  <c r="Q60" i="467"/>
  <c r="AG61" i="467"/>
  <c r="AG60" i="467"/>
  <c r="AG73" i="467"/>
  <c r="K74" i="467"/>
  <c r="K73" i="467"/>
  <c r="S74" i="467"/>
  <c r="S73" i="467"/>
  <c r="AA74" i="467"/>
  <c r="AA73" i="467"/>
  <c r="F90" i="470"/>
  <c r="F89" i="470"/>
  <c r="M90" i="470"/>
  <c r="M89" i="470"/>
  <c r="U90" i="470"/>
  <c r="U89" i="470"/>
  <c r="AB90" i="470"/>
  <c r="AB89" i="470"/>
  <c r="AD116" i="470"/>
  <c r="C95" i="467"/>
  <c r="AJ23" i="467"/>
  <c r="D23" i="467"/>
  <c r="AJ52" i="467"/>
  <c r="AG52" i="467"/>
  <c r="X54" i="465"/>
  <c r="Z54" i="465"/>
  <c r="AJ53" i="467"/>
  <c r="AG53" i="467"/>
  <c r="X55" i="465"/>
  <c r="Z55" i="465"/>
  <c r="AJ54" i="467"/>
  <c r="AD54" i="467"/>
  <c r="C88" i="465"/>
  <c r="X28" i="465"/>
  <c r="Z28" i="465"/>
  <c r="C100" i="467"/>
  <c r="AJ28" i="467"/>
  <c r="AD28" i="467"/>
  <c r="CZ17" i="464"/>
  <c r="CZ22" i="464"/>
  <c r="CZ25" i="464"/>
  <c r="C140" i="470"/>
  <c r="AJ25" i="470"/>
  <c r="G25" i="470"/>
  <c r="AJ66" i="470"/>
  <c r="N66" i="470"/>
  <c r="C133" i="470"/>
  <c r="CZ26" i="464"/>
  <c r="CZ30" i="464"/>
  <c r="CZ38" i="464"/>
  <c r="CZ42" i="464"/>
  <c r="CZ44" i="464"/>
  <c r="CZ48" i="464"/>
  <c r="CZ52" i="464"/>
  <c r="CZ57" i="464"/>
  <c r="BD76" i="464"/>
  <c r="AG81" i="470"/>
  <c r="AJ81" i="470"/>
  <c r="AJ122" i="470"/>
  <c r="AG122" i="470"/>
  <c r="AJ42" i="470"/>
  <c r="AD42" i="470"/>
  <c r="AD109" i="470"/>
  <c r="AJ109" i="470"/>
  <c r="CZ92" i="464"/>
  <c r="DI92" i="464"/>
  <c r="BD116" i="464"/>
  <c r="BD129" i="464"/>
  <c r="BD137" i="464"/>
  <c r="BD146" i="464"/>
  <c r="BD154" i="464"/>
  <c r="BD163" i="464"/>
  <c r="BD171" i="464"/>
  <c r="BD179" i="464"/>
  <c r="BD187" i="464"/>
  <c r="W66" i="465"/>
  <c r="Z66" i="465"/>
  <c r="I57" i="476"/>
  <c r="AG65" i="467"/>
  <c r="AJ65" i="467"/>
  <c r="W67" i="465"/>
  <c r="Z67" i="465"/>
  <c r="AG66" i="467"/>
  <c r="AJ66" i="467"/>
  <c r="AD67" i="467"/>
  <c r="AJ67" i="467"/>
  <c r="BD16" i="464"/>
  <c r="DI16" i="464"/>
  <c r="BD21" i="464"/>
  <c r="DI21" i="464"/>
  <c r="BD25" i="464"/>
  <c r="DI25" i="464"/>
  <c r="BD29" i="464"/>
  <c r="BD37" i="464"/>
  <c r="BD41" i="464"/>
  <c r="BD44" i="464"/>
  <c r="BD45" i="464"/>
  <c r="BD48" i="464"/>
  <c r="BD49" i="464"/>
  <c r="BD52" i="464"/>
  <c r="BD54" i="464"/>
  <c r="BD57" i="464"/>
  <c r="BD58" i="464"/>
  <c r="CZ63" i="464"/>
  <c r="CZ67" i="464"/>
  <c r="CZ69" i="464"/>
  <c r="DI69" i="464"/>
  <c r="AG80" i="470"/>
  <c r="AJ80" i="470"/>
  <c r="AJ121" i="470"/>
  <c r="AG121" i="470"/>
  <c r="BD88" i="464"/>
  <c r="BD90" i="464"/>
  <c r="BD92" i="464"/>
  <c r="BD94" i="464"/>
  <c r="CZ112" i="464"/>
  <c r="Z42" i="465"/>
  <c r="Z79" i="465"/>
  <c r="R77" i="465"/>
  <c r="Z77" i="465"/>
  <c r="AJ76" i="467"/>
  <c r="V76" i="467"/>
  <c r="C96" i="467"/>
  <c r="AJ24" i="467"/>
  <c r="D24" i="467"/>
  <c r="I37" i="465"/>
  <c r="C83" i="465"/>
  <c r="Z37" i="465"/>
  <c r="D37" i="467"/>
  <c r="AJ37" i="467"/>
  <c r="V89" i="467"/>
  <c r="AJ89" i="467"/>
  <c r="C84" i="465"/>
  <c r="I38" i="465"/>
  <c r="D38" i="467"/>
  <c r="AJ38" i="467"/>
  <c r="V90" i="467"/>
  <c r="AJ90" i="467"/>
  <c r="L51" i="465"/>
  <c r="Z51" i="465"/>
  <c r="AJ50" i="467"/>
  <c r="V50" i="467"/>
  <c r="L52" i="465"/>
  <c r="Z52" i="465"/>
  <c r="AJ51" i="467"/>
  <c r="V51" i="467"/>
  <c r="C85" i="465"/>
  <c r="X25" i="465"/>
  <c r="Z25" i="465"/>
  <c r="C97" i="467"/>
  <c r="AJ25" i="467"/>
  <c r="AD25" i="467"/>
  <c r="AJ78" i="467"/>
  <c r="AG78" i="467"/>
  <c r="X26" i="465"/>
  <c r="C86" i="465"/>
  <c r="Z26" i="465"/>
  <c r="W80" i="465"/>
  <c r="Z80" i="465"/>
  <c r="C98" i="467"/>
  <c r="AJ26" i="467"/>
  <c r="AJ79" i="467"/>
  <c r="AG79" i="467"/>
  <c r="X27" i="465"/>
  <c r="C87" i="465"/>
  <c r="X81" i="465"/>
  <c r="Z81" i="465"/>
  <c r="AJ27" i="467"/>
  <c r="C99" i="467"/>
  <c r="AD27" i="467"/>
  <c r="AJ80" i="467"/>
  <c r="AD80" i="467"/>
  <c r="CZ19" i="464"/>
  <c r="CZ24" i="464"/>
  <c r="Z94" i="468"/>
  <c r="R94" i="468"/>
  <c r="BD26" i="464"/>
  <c r="DI26" i="464"/>
  <c r="G52" i="470"/>
  <c r="AJ52" i="470"/>
  <c r="G93" i="470"/>
  <c r="AJ93" i="470"/>
  <c r="CZ28" i="464"/>
  <c r="CC31" i="464"/>
  <c r="CO31" i="464"/>
  <c r="CZ36" i="464"/>
  <c r="CZ40" i="464"/>
  <c r="CZ43" i="464"/>
  <c r="CZ47" i="464"/>
  <c r="CZ51" i="464"/>
  <c r="CZ56" i="464"/>
  <c r="CZ60" i="464"/>
  <c r="BD63" i="464"/>
  <c r="BD64" i="464"/>
  <c r="W65" i="464"/>
  <c r="BD67" i="464"/>
  <c r="BD69" i="464"/>
  <c r="BD70" i="464"/>
  <c r="W71" i="464"/>
  <c r="W68" i="468"/>
  <c r="Z68" i="468"/>
  <c r="W72" i="464"/>
  <c r="BD75" i="464"/>
  <c r="CZ78" i="464"/>
  <c r="CZ80" i="464"/>
  <c r="BD87" i="464"/>
  <c r="W89" i="464"/>
  <c r="CZ89" i="464"/>
  <c r="BD91" i="464"/>
  <c r="W93" i="464"/>
  <c r="CZ93" i="464"/>
  <c r="DI93" i="464"/>
  <c r="AD110" i="470"/>
  <c r="AJ110" i="470"/>
  <c r="CZ104" i="464"/>
  <c r="CZ106" i="464"/>
  <c r="CZ107" i="464"/>
  <c r="BD112" i="464"/>
  <c r="BD125" i="464"/>
  <c r="BD133" i="464"/>
  <c r="BD141" i="464"/>
  <c r="BD150" i="464"/>
  <c r="BD159" i="464"/>
  <c r="BD167" i="464"/>
  <c r="BD175" i="464"/>
  <c r="BD183" i="464"/>
  <c r="Z27" i="465"/>
  <c r="Z64" i="465"/>
  <c r="R78" i="465"/>
  <c r="Z78" i="465"/>
  <c r="AJ77" i="467"/>
  <c r="V77" i="467"/>
  <c r="V63" i="467"/>
  <c r="AJ63" i="467"/>
  <c r="N65" i="465"/>
  <c r="N14" i="465"/>
  <c r="Z65" i="465"/>
  <c r="V64" i="467"/>
  <c r="AJ64" i="467"/>
  <c r="X39" i="465"/>
  <c r="Z39" i="465"/>
  <c r="AD39" i="467"/>
  <c r="AJ39" i="467"/>
  <c r="AG91" i="467"/>
  <c r="AJ91" i="467"/>
  <c r="X40" i="465"/>
  <c r="Z40" i="465"/>
  <c r="AD40" i="467"/>
  <c r="AJ40" i="467"/>
  <c r="AG92" i="467"/>
  <c r="AJ92" i="467"/>
  <c r="X41" i="465"/>
  <c r="Z41" i="465"/>
  <c r="AD41" i="467"/>
  <c r="AJ41" i="467"/>
  <c r="AD93" i="467"/>
  <c r="AJ93" i="467"/>
  <c r="BD18" i="464"/>
  <c r="W19" i="464"/>
  <c r="BD23" i="464"/>
  <c r="W24" i="464"/>
  <c r="W25" i="464"/>
  <c r="L53" i="468"/>
  <c r="Z53" i="468"/>
  <c r="Z107" i="468"/>
  <c r="R107" i="468"/>
  <c r="BD27" i="464"/>
  <c r="W28" i="464"/>
  <c r="CW31" i="464"/>
  <c r="BD35" i="464"/>
  <c r="W36" i="464"/>
  <c r="BD39" i="464"/>
  <c r="W40" i="464"/>
  <c r="BD43" i="464"/>
  <c r="BD47" i="464"/>
  <c r="BD51" i="464"/>
  <c r="BD56" i="464"/>
  <c r="BD60" i="464"/>
  <c r="CZ62" i="464"/>
  <c r="CZ66" i="464"/>
  <c r="CZ74" i="464"/>
  <c r="DI74" i="464"/>
  <c r="CZ76" i="464"/>
  <c r="CZ77" i="464"/>
  <c r="BD80" i="464"/>
  <c r="CZ85" i="464"/>
  <c r="DI85" i="464"/>
  <c r="Z84" i="468"/>
  <c r="X84" i="468"/>
  <c r="CZ101" i="464"/>
  <c r="DA101" i="464"/>
  <c r="BD106" i="464"/>
  <c r="CZ109" i="464"/>
  <c r="CZ116" i="464"/>
  <c r="CZ117" i="464"/>
  <c r="Z53" i="465"/>
  <c r="Z68" i="465"/>
  <c r="AD26" i="467"/>
  <c r="C79" i="468"/>
  <c r="Z79" i="468"/>
  <c r="C24" i="470"/>
  <c r="C65" i="470"/>
  <c r="C132" i="470"/>
  <c r="L39" i="468"/>
  <c r="C114" i="468"/>
  <c r="Z39" i="468"/>
  <c r="AJ39" i="470"/>
  <c r="G39" i="470"/>
  <c r="V106" i="470"/>
  <c r="AJ106" i="470"/>
  <c r="Z81" i="468"/>
  <c r="W81" i="468"/>
  <c r="C141" i="470"/>
  <c r="AJ26" i="470"/>
  <c r="H26" i="470"/>
  <c r="AJ67" i="470"/>
  <c r="H67" i="470"/>
  <c r="AG134" i="470"/>
  <c r="AJ134" i="470"/>
  <c r="C69" i="468"/>
  <c r="C27" i="470"/>
  <c r="C68" i="470"/>
  <c r="C135" i="470"/>
  <c r="CZ90" i="464"/>
  <c r="C42" i="468"/>
  <c r="C97" i="468"/>
  <c r="C55" i="470"/>
  <c r="C96" i="470"/>
  <c r="CZ94" i="464"/>
  <c r="X43" i="468"/>
  <c r="C118" i="468"/>
  <c r="Z43" i="468"/>
  <c r="BD99" i="464"/>
  <c r="BD111" i="464"/>
  <c r="W112" i="464"/>
  <c r="BD115" i="464"/>
  <c r="W116" i="464"/>
  <c r="CZ122" i="464"/>
  <c r="DA122" i="464"/>
  <c r="CZ128" i="464"/>
  <c r="CZ132" i="464"/>
  <c r="CZ136" i="464"/>
  <c r="CZ140" i="464"/>
  <c r="CZ145" i="464"/>
  <c r="CZ149" i="464"/>
  <c r="DI149" i="464"/>
  <c r="CZ153" i="464"/>
  <c r="CZ158" i="464"/>
  <c r="CZ162" i="464"/>
  <c r="CZ166" i="464"/>
  <c r="CZ170" i="464"/>
  <c r="CZ174" i="464"/>
  <c r="CZ178" i="464"/>
  <c r="CZ182" i="464"/>
  <c r="CZ186" i="464"/>
  <c r="CZ190" i="464"/>
  <c r="C115" i="468"/>
  <c r="X40" i="468"/>
  <c r="Z40" i="468"/>
  <c r="Z95" i="468"/>
  <c r="W95" i="468"/>
  <c r="AJ40" i="470"/>
  <c r="H40" i="470"/>
  <c r="AG107" i="470"/>
  <c r="AJ107" i="470"/>
  <c r="CZ72" i="464"/>
  <c r="DI72" i="464"/>
  <c r="CZ83" i="464"/>
  <c r="C56" i="468"/>
  <c r="C110" i="468"/>
  <c r="W96" i="464"/>
  <c r="AD83" i="470"/>
  <c r="AJ83" i="470"/>
  <c r="CZ110" i="464"/>
  <c r="CZ114" i="464"/>
  <c r="CZ118" i="464"/>
  <c r="BD127" i="464"/>
  <c r="W128" i="464"/>
  <c r="BD131" i="464"/>
  <c r="W132" i="464"/>
  <c r="BD135" i="464"/>
  <c r="W136" i="464"/>
  <c r="BD139" i="464"/>
  <c r="W140" i="464"/>
  <c r="BD144" i="464"/>
  <c r="W145" i="464"/>
  <c r="BD148" i="464"/>
  <c r="W149" i="464"/>
  <c r="BD152" i="464"/>
  <c r="W153" i="464"/>
  <c r="BD156" i="464"/>
  <c r="W158" i="464"/>
  <c r="BD161" i="464"/>
  <c r="W162" i="464"/>
  <c r="BD165" i="464"/>
  <c r="W166" i="464"/>
  <c r="BD169" i="464"/>
  <c r="W170" i="464"/>
  <c r="BD173" i="464"/>
  <c r="W174" i="464"/>
  <c r="BD177" i="464"/>
  <c r="W178" i="464"/>
  <c r="BD181" i="464"/>
  <c r="W182" i="464"/>
  <c r="BD185" i="464"/>
  <c r="W186" i="464"/>
  <c r="BD189" i="464"/>
  <c r="W190" i="464"/>
  <c r="C52" i="468"/>
  <c r="C106" i="468"/>
  <c r="C51" i="470"/>
  <c r="C92" i="470"/>
  <c r="M67" i="468"/>
  <c r="Z67" i="468"/>
  <c r="G79" i="470"/>
  <c r="AJ79" i="470"/>
  <c r="AJ120" i="470"/>
  <c r="V120" i="470"/>
  <c r="W54" i="468"/>
  <c r="Z54" i="468"/>
  <c r="Z108" i="468"/>
  <c r="W108" i="468"/>
  <c r="BD72" i="464"/>
  <c r="H53" i="470"/>
  <c r="AJ53" i="470"/>
  <c r="AG94" i="470"/>
  <c r="AJ94" i="470"/>
  <c r="W74" i="464"/>
  <c r="BD77" i="464"/>
  <c r="W78" i="464"/>
  <c r="C41" i="468"/>
  <c r="C96" i="468"/>
  <c r="BD83" i="464"/>
  <c r="W84" i="464"/>
  <c r="C144" i="470"/>
  <c r="AJ29" i="470"/>
  <c r="AD29" i="470"/>
  <c r="AD137" i="470"/>
  <c r="AJ137" i="470"/>
  <c r="W104" i="464"/>
  <c r="BD107" i="464"/>
  <c r="W108" i="464"/>
  <c r="BD113" i="464"/>
  <c r="BD117" i="464"/>
  <c r="CZ120" i="464"/>
  <c r="DA120" i="464"/>
  <c r="CZ126" i="464"/>
  <c r="CZ130" i="464"/>
  <c r="CZ134" i="464"/>
  <c r="CZ138" i="464"/>
  <c r="CZ142" i="464"/>
  <c r="CZ147" i="464"/>
  <c r="CZ151" i="464"/>
  <c r="CZ155" i="464"/>
  <c r="CZ160" i="464"/>
  <c r="CZ164" i="464"/>
  <c r="CZ168" i="464"/>
  <c r="CZ172" i="464"/>
  <c r="CZ176" i="464"/>
  <c r="CZ180" i="464"/>
  <c r="CZ184" i="464"/>
  <c r="CZ188" i="464"/>
  <c r="X20" i="465"/>
  <c r="C55" i="468"/>
  <c r="C109" i="468"/>
  <c r="C54" i="470"/>
  <c r="C95" i="470"/>
  <c r="C70" i="468"/>
  <c r="C82" i="470"/>
  <c r="C123" i="470"/>
  <c r="X57" i="468"/>
  <c r="Z57" i="468"/>
  <c r="Z111" i="468"/>
  <c r="X111" i="468"/>
  <c r="AD56" i="470"/>
  <c r="AJ56" i="470"/>
  <c r="F21" i="465"/>
  <c r="F20" i="465"/>
  <c r="J21" i="465"/>
  <c r="J20" i="465"/>
  <c r="N21" i="465"/>
  <c r="N20" i="465"/>
  <c r="R21" i="465"/>
  <c r="R20" i="465"/>
  <c r="V21" i="465"/>
  <c r="V20" i="465"/>
  <c r="F35" i="465"/>
  <c r="F34" i="465"/>
  <c r="J35" i="465"/>
  <c r="J34" i="465"/>
  <c r="N35" i="465"/>
  <c r="N34" i="465"/>
  <c r="R35" i="465"/>
  <c r="R34" i="465"/>
  <c r="V35" i="465"/>
  <c r="V34" i="465"/>
  <c r="F49" i="465"/>
  <c r="F48" i="465"/>
  <c r="J49" i="465"/>
  <c r="J48" i="465"/>
  <c r="N49" i="465"/>
  <c r="N48" i="465"/>
  <c r="R49" i="465"/>
  <c r="R48" i="465"/>
  <c r="V49" i="465"/>
  <c r="V48" i="465"/>
  <c r="F62" i="465"/>
  <c r="F61" i="465"/>
  <c r="J62" i="465"/>
  <c r="J61" i="465"/>
  <c r="N62" i="465"/>
  <c r="N61" i="465"/>
  <c r="R62" i="465"/>
  <c r="R61" i="465"/>
  <c r="V62" i="465"/>
  <c r="V61" i="465"/>
  <c r="F75" i="465"/>
  <c r="F74" i="465"/>
  <c r="J75" i="465"/>
  <c r="J74" i="465"/>
  <c r="N75" i="465"/>
  <c r="N74" i="465"/>
  <c r="R75" i="465"/>
  <c r="R74" i="465"/>
  <c r="V75" i="465"/>
  <c r="V74" i="465"/>
  <c r="Y14" i="470"/>
  <c r="Y13" i="467"/>
  <c r="Q34" i="467"/>
  <c r="U104" i="468"/>
  <c r="U103" i="468"/>
  <c r="Q104" i="468"/>
  <c r="Q103" i="468"/>
  <c r="M104" i="468"/>
  <c r="M103" i="468"/>
  <c r="I104" i="468"/>
  <c r="I103" i="468"/>
  <c r="E104" i="468"/>
  <c r="X104" i="468"/>
  <c r="X103" i="468"/>
  <c r="T104" i="468"/>
  <c r="T103" i="468"/>
  <c r="P104" i="468"/>
  <c r="P103" i="468"/>
  <c r="L104" i="468"/>
  <c r="L103" i="468"/>
  <c r="H104" i="468"/>
  <c r="H103" i="468"/>
  <c r="D104" i="468"/>
  <c r="D103" i="468"/>
  <c r="W104" i="468"/>
  <c r="W103" i="468"/>
  <c r="S104" i="468"/>
  <c r="S103" i="468"/>
  <c r="O104" i="468"/>
  <c r="O103" i="468"/>
  <c r="K104" i="468"/>
  <c r="K103" i="468"/>
  <c r="G104" i="468"/>
  <c r="G103" i="468"/>
  <c r="J104" i="468"/>
  <c r="J103" i="468"/>
  <c r="V104" i="468"/>
  <c r="V103" i="468"/>
  <c r="F104" i="468"/>
  <c r="F103" i="468"/>
  <c r="R104" i="468"/>
  <c r="R103" i="468"/>
  <c r="E103" i="468"/>
  <c r="M14" i="470"/>
  <c r="M13" i="467"/>
  <c r="U14" i="470"/>
  <c r="D21" i="465"/>
  <c r="D20" i="465"/>
  <c r="H21" i="465"/>
  <c r="H20" i="465"/>
  <c r="L21" i="465"/>
  <c r="L20" i="465"/>
  <c r="P21" i="465"/>
  <c r="P20" i="465"/>
  <c r="T21" i="465"/>
  <c r="T20" i="465"/>
  <c r="D35" i="465"/>
  <c r="D34" i="465"/>
  <c r="H35" i="465"/>
  <c r="H34" i="465"/>
  <c r="L35" i="465"/>
  <c r="L34" i="465"/>
  <c r="P35" i="465"/>
  <c r="P34" i="465"/>
  <c r="T35" i="465"/>
  <c r="T34" i="465"/>
  <c r="D49" i="465"/>
  <c r="D48" i="465"/>
  <c r="H49" i="465"/>
  <c r="H48" i="465"/>
  <c r="L49" i="465"/>
  <c r="L48" i="465"/>
  <c r="P49" i="465"/>
  <c r="P48" i="465"/>
  <c r="T49" i="465"/>
  <c r="T48" i="465"/>
  <c r="D62" i="465"/>
  <c r="D61" i="465"/>
  <c r="H62" i="465"/>
  <c r="H61" i="465"/>
  <c r="L62" i="465"/>
  <c r="L61" i="465"/>
  <c r="P62" i="465"/>
  <c r="P61" i="465"/>
  <c r="T62" i="465"/>
  <c r="T61" i="465"/>
  <c r="D75" i="465"/>
  <c r="D74" i="465"/>
  <c r="H75" i="465"/>
  <c r="H74" i="465"/>
  <c r="L75" i="465"/>
  <c r="L74" i="465"/>
  <c r="P75" i="465"/>
  <c r="P74" i="465"/>
  <c r="T75" i="465"/>
  <c r="T74" i="465"/>
  <c r="AA47" i="467"/>
  <c r="X49" i="468"/>
  <c r="N104" i="468"/>
  <c r="N103" i="468"/>
  <c r="H13" i="467"/>
  <c r="D21" i="467"/>
  <c r="D20" i="467"/>
  <c r="H21" i="467"/>
  <c r="H20" i="467"/>
  <c r="L21" i="467"/>
  <c r="L20" i="467"/>
  <c r="P21" i="467"/>
  <c r="P20" i="467"/>
  <c r="T21" i="467"/>
  <c r="T20" i="467"/>
  <c r="X21" i="467"/>
  <c r="X20" i="467"/>
  <c r="AB21" i="467"/>
  <c r="AB20" i="467"/>
  <c r="AF21" i="467"/>
  <c r="AF20" i="467"/>
  <c r="F35" i="467"/>
  <c r="F34" i="467"/>
  <c r="J35" i="467"/>
  <c r="J34" i="467"/>
  <c r="N35" i="467"/>
  <c r="N34" i="467"/>
  <c r="R35" i="467"/>
  <c r="R34" i="467"/>
  <c r="V35" i="467"/>
  <c r="V34" i="467"/>
  <c r="Z35" i="467"/>
  <c r="Z34" i="467"/>
  <c r="AD35" i="467"/>
  <c r="AD34" i="467"/>
  <c r="AH35" i="467"/>
  <c r="AH34" i="467"/>
  <c r="D48" i="467"/>
  <c r="D47" i="467"/>
  <c r="H48" i="467"/>
  <c r="H47" i="467"/>
  <c r="L48" i="467"/>
  <c r="L47" i="467"/>
  <c r="P48" i="467"/>
  <c r="P47" i="467"/>
  <c r="T48" i="467"/>
  <c r="T47" i="467"/>
  <c r="X48" i="467"/>
  <c r="X47" i="467"/>
  <c r="AB48" i="467"/>
  <c r="AB47" i="467"/>
  <c r="AF48" i="467"/>
  <c r="AF47" i="467"/>
  <c r="F61" i="467"/>
  <c r="F60" i="467"/>
  <c r="J61" i="467"/>
  <c r="J60" i="467"/>
  <c r="N61" i="467"/>
  <c r="N60" i="467"/>
  <c r="R61" i="467"/>
  <c r="R60" i="467"/>
  <c r="V61" i="467"/>
  <c r="V60" i="467"/>
  <c r="Z61" i="467"/>
  <c r="Z60" i="467"/>
  <c r="AD61" i="467"/>
  <c r="AD60" i="467"/>
  <c r="AH61" i="467"/>
  <c r="AH60" i="467"/>
  <c r="D74" i="467"/>
  <c r="D73" i="467"/>
  <c r="H74" i="467"/>
  <c r="H73" i="467"/>
  <c r="L74" i="467"/>
  <c r="L73" i="467"/>
  <c r="P74" i="467"/>
  <c r="P73" i="467"/>
  <c r="T74" i="467"/>
  <c r="T73" i="467"/>
  <c r="X74" i="467"/>
  <c r="X73" i="467"/>
  <c r="AB74" i="467"/>
  <c r="AB73" i="467"/>
  <c r="AF74" i="467"/>
  <c r="AF73" i="467"/>
  <c r="AE87" i="467"/>
  <c r="AE86" i="467"/>
  <c r="AA87" i="467"/>
  <c r="AA86" i="467"/>
  <c r="W87" i="467"/>
  <c r="W86" i="467"/>
  <c r="S87" i="467"/>
  <c r="S86" i="467"/>
  <c r="O87" i="467"/>
  <c r="O86" i="467"/>
  <c r="K87" i="467"/>
  <c r="K86" i="467"/>
  <c r="G87" i="467"/>
  <c r="G86" i="467"/>
  <c r="AG87" i="467"/>
  <c r="AG86" i="467"/>
  <c r="AC87" i="467"/>
  <c r="AC86" i="467"/>
  <c r="Y87" i="467"/>
  <c r="Y86" i="467"/>
  <c r="U87" i="467"/>
  <c r="U86" i="467"/>
  <c r="Q87" i="467"/>
  <c r="Q86" i="467"/>
  <c r="M87" i="467"/>
  <c r="M86" i="467"/>
  <c r="I87" i="467"/>
  <c r="I86" i="467"/>
  <c r="E87" i="467"/>
  <c r="E86" i="467"/>
  <c r="D87" i="467"/>
  <c r="D86" i="467"/>
  <c r="L87" i="467"/>
  <c r="L86" i="467"/>
  <c r="T87" i="467"/>
  <c r="T86" i="467"/>
  <c r="AB87" i="467"/>
  <c r="AB86" i="467"/>
  <c r="X35" i="468"/>
  <c r="U49" i="468"/>
  <c r="H76" i="468"/>
  <c r="F91" i="468"/>
  <c r="F90" i="468"/>
  <c r="V91" i="468"/>
  <c r="V90" i="468"/>
  <c r="E21" i="467"/>
  <c r="E20" i="467"/>
  <c r="I21" i="467"/>
  <c r="I20" i="467"/>
  <c r="M21" i="467"/>
  <c r="M20" i="467"/>
  <c r="Q21" i="467"/>
  <c r="Q20" i="467"/>
  <c r="U21" i="467"/>
  <c r="U20" i="467"/>
  <c r="Y21" i="467"/>
  <c r="Y20" i="467"/>
  <c r="AC21" i="467"/>
  <c r="AC20" i="467"/>
  <c r="G35" i="467"/>
  <c r="G34" i="467"/>
  <c r="K35" i="467"/>
  <c r="K34" i="467"/>
  <c r="O35" i="467"/>
  <c r="O34" i="467"/>
  <c r="S35" i="467"/>
  <c r="S34" i="467"/>
  <c r="W35" i="467"/>
  <c r="W34" i="467"/>
  <c r="AA35" i="467"/>
  <c r="AA34" i="467"/>
  <c r="AE35" i="467"/>
  <c r="AE34" i="467"/>
  <c r="E48" i="467"/>
  <c r="E47" i="467"/>
  <c r="I48" i="467"/>
  <c r="I47" i="467"/>
  <c r="M48" i="467"/>
  <c r="M47" i="467"/>
  <c r="Q48" i="467"/>
  <c r="Q47" i="467"/>
  <c r="U48" i="467"/>
  <c r="U47" i="467"/>
  <c r="Y48" i="467"/>
  <c r="Y47" i="467"/>
  <c r="AC48" i="467"/>
  <c r="AC47" i="467"/>
  <c r="G61" i="467"/>
  <c r="G60" i="467"/>
  <c r="K61" i="467"/>
  <c r="K60" i="467"/>
  <c r="O61" i="467"/>
  <c r="O60" i="467"/>
  <c r="S61" i="467"/>
  <c r="S60" i="467"/>
  <c r="W61" i="467"/>
  <c r="W60" i="467"/>
  <c r="AA61" i="467"/>
  <c r="AA60" i="467"/>
  <c r="AE61" i="467"/>
  <c r="AE60" i="467"/>
  <c r="E74" i="467"/>
  <c r="E73" i="467"/>
  <c r="I74" i="467"/>
  <c r="I73" i="467"/>
  <c r="M74" i="467"/>
  <c r="M73" i="467"/>
  <c r="Q74" i="467"/>
  <c r="Q73" i="467"/>
  <c r="U74" i="467"/>
  <c r="U73" i="467"/>
  <c r="Y74" i="467"/>
  <c r="Y73" i="467"/>
  <c r="AC74" i="467"/>
  <c r="AC73" i="467"/>
  <c r="F87" i="467"/>
  <c r="F86" i="467"/>
  <c r="N87" i="467"/>
  <c r="N86" i="467"/>
  <c r="V87" i="467"/>
  <c r="V86" i="467"/>
  <c r="AD87" i="467"/>
  <c r="AD86" i="467"/>
  <c r="U35" i="468"/>
  <c r="W63" i="468"/>
  <c r="D35" i="467"/>
  <c r="D34" i="467"/>
  <c r="H35" i="467"/>
  <c r="H34" i="467"/>
  <c r="L35" i="467"/>
  <c r="L34" i="467"/>
  <c r="P35" i="467"/>
  <c r="P34" i="467"/>
  <c r="T35" i="467"/>
  <c r="T34" i="467"/>
  <c r="X35" i="467"/>
  <c r="X34" i="467"/>
  <c r="AB35" i="467"/>
  <c r="AB34" i="467"/>
  <c r="D61" i="467"/>
  <c r="D60" i="467"/>
  <c r="H61" i="467"/>
  <c r="H60" i="467"/>
  <c r="L61" i="467"/>
  <c r="L60" i="467"/>
  <c r="P61" i="467"/>
  <c r="P60" i="467"/>
  <c r="T61" i="467"/>
  <c r="T60" i="467"/>
  <c r="X61" i="467"/>
  <c r="X60" i="467"/>
  <c r="AB61" i="467"/>
  <c r="AB60" i="467"/>
  <c r="U91" i="468"/>
  <c r="U90" i="468"/>
  <c r="Q91" i="468"/>
  <c r="M91" i="468"/>
  <c r="M90" i="468"/>
  <c r="I91" i="468"/>
  <c r="I90" i="468"/>
  <c r="E91" i="468"/>
  <c r="E90" i="468"/>
  <c r="X91" i="468"/>
  <c r="X90" i="468"/>
  <c r="T91" i="468"/>
  <c r="T90" i="468"/>
  <c r="P91" i="468"/>
  <c r="P90" i="468"/>
  <c r="L91" i="468"/>
  <c r="L90" i="468"/>
  <c r="H91" i="468"/>
  <c r="H90" i="468"/>
  <c r="D91" i="468"/>
  <c r="D90" i="468"/>
  <c r="W91" i="468"/>
  <c r="W90" i="468"/>
  <c r="S91" i="468"/>
  <c r="S90" i="468"/>
  <c r="O91" i="468"/>
  <c r="O90" i="468"/>
  <c r="K91" i="468"/>
  <c r="K90" i="468"/>
  <c r="G91" i="468"/>
  <c r="G90" i="468"/>
  <c r="N91" i="468"/>
  <c r="N90" i="468"/>
  <c r="Q90" i="468"/>
  <c r="F22" i="468"/>
  <c r="F21" i="468"/>
  <c r="J22" i="468"/>
  <c r="J21" i="468"/>
  <c r="N22" i="468"/>
  <c r="N21" i="468"/>
  <c r="R22" i="468"/>
  <c r="R21" i="468"/>
  <c r="V22" i="468"/>
  <c r="V21" i="468"/>
  <c r="F36" i="468"/>
  <c r="F35" i="468"/>
  <c r="J36" i="468"/>
  <c r="J35" i="468"/>
  <c r="N36" i="468"/>
  <c r="N35" i="468"/>
  <c r="R36" i="468"/>
  <c r="R35" i="468"/>
  <c r="V36" i="468"/>
  <c r="V35" i="468"/>
  <c r="F50" i="468"/>
  <c r="F49" i="468"/>
  <c r="J50" i="468"/>
  <c r="J49" i="468"/>
  <c r="N50" i="468"/>
  <c r="N49" i="468"/>
  <c r="R50" i="468"/>
  <c r="R49" i="468"/>
  <c r="V50" i="468"/>
  <c r="V49" i="468"/>
  <c r="E64" i="468"/>
  <c r="E63" i="468"/>
  <c r="I64" i="468"/>
  <c r="I63" i="468"/>
  <c r="M64" i="468"/>
  <c r="M63" i="468"/>
  <c r="Q64" i="468"/>
  <c r="Q63" i="468"/>
  <c r="U64" i="468"/>
  <c r="U63" i="468"/>
  <c r="E77" i="468"/>
  <c r="E76" i="468"/>
  <c r="I77" i="468"/>
  <c r="I76" i="468"/>
  <c r="M77" i="468"/>
  <c r="M76" i="468"/>
  <c r="Q77" i="468"/>
  <c r="Q76" i="468"/>
  <c r="U77" i="468"/>
  <c r="U76" i="468"/>
  <c r="F64" i="468"/>
  <c r="F63" i="468"/>
  <c r="J64" i="468"/>
  <c r="J63" i="468"/>
  <c r="N64" i="468"/>
  <c r="N63" i="468"/>
  <c r="R64" i="468"/>
  <c r="R63" i="468"/>
  <c r="V64" i="468"/>
  <c r="V63" i="468"/>
  <c r="F77" i="468"/>
  <c r="F76" i="468"/>
  <c r="J77" i="468"/>
  <c r="J76" i="468"/>
  <c r="N77" i="468"/>
  <c r="N76" i="468"/>
  <c r="R77" i="468"/>
  <c r="R76" i="468"/>
  <c r="V77" i="468"/>
  <c r="V76" i="468"/>
  <c r="D22" i="468"/>
  <c r="D21" i="468"/>
  <c r="H22" i="468"/>
  <c r="H21" i="468"/>
  <c r="L22" i="468"/>
  <c r="L21" i="468"/>
  <c r="P22" i="468"/>
  <c r="P21" i="468"/>
  <c r="T22" i="468"/>
  <c r="T21" i="468"/>
  <c r="D36" i="468"/>
  <c r="D35" i="468"/>
  <c r="H36" i="468"/>
  <c r="H35" i="468"/>
  <c r="L36" i="468"/>
  <c r="L35" i="468"/>
  <c r="P36" i="468"/>
  <c r="P35" i="468"/>
  <c r="T36" i="468"/>
  <c r="T35" i="468"/>
  <c r="D50" i="468"/>
  <c r="D49" i="468"/>
  <c r="H50" i="468"/>
  <c r="H49" i="468"/>
  <c r="L50" i="468"/>
  <c r="L49" i="468"/>
  <c r="P50" i="468"/>
  <c r="P49" i="468"/>
  <c r="T50" i="468"/>
  <c r="T49" i="468"/>
  <c r="G64" i="468"/>
  <c r="G63" i="468"/>
  <c r="K64" i="468"/>
  <c r="K63" i="468"/>
  <c r="O64" i="468"/>
  <c r="O63" i="468"/>
  <c r="S64" i="468"/>
  <c r="S63" i="468"/>
  <c r="G77" i="468"/>
  <c r="G76" i="468"/>
  <c r="K77" i="468"/>
  <c r="K76" i="468"/>
  <c r="O77" i="468"/>
  <c r="O76" i="468"/>
  <c r="S77" i="468"/>
  <c r="S76" i="468"/>
  <c r="D22" i="470"/>
  <c r="D21" i="470"/>
  <c r="L22" i="470"/>
  <c r="L21" i="470"/>
  <c r="T22" i="470"/>
  <c r="T21" i="470"/>
  <c r="AB22" i="470"/>
  <c r="AB21" i="470"/>
  <c r="AE76" i="470"/>
  <c r="AE75" i="470"/>
  <c r="AA76" i="470"/>
  <c r="AA75" i="470"/>
  <c r="W76" i="470"/>
  <c r="W75" i="470"/>
  <c r="S76" i="470"/>
  <c r="S75" i="470"/>
  <c r="O76" i="470"/>
  <c r="O75" i="470"/>
  <c r="K76" i="470"/>
  <c r="K75" i="470"/>
  <c r="G76" i="470"/>
  <c r="G75" i="470"/>
  <c r="AH76" i="470"/>
  <c r="AH75" i="470"/>
  <c r="AD76" i="470"/>
  <c r="AD75" i="470"/>
  <c r="Z76" i="470"/>
  <c r="Z75" i="470"/>
  <c r="V76" i="470"/>
  <c r="V75" i="470"/>
  <c r="R76" i="470"/>
  <c r="R75" i="470"/>
  <c r="N76" i="470"/>
  <c r="N75" i="470"/>
  <c r="J76" i="470"/>
  <c r="J75" i="470"/>
  <c r="F76" i="470"/>
  <c r="F75" i="470"/>
  <c r="AG76" i="470"/>
  <c r="AG75" i="470"/>
  <c r="AB76" i="470"/>
  <c r="AB75" i="470"/>
  <c r="T76" i="470"/>
  <c r="T75" i="470"/>
  <c r="L76" i="470"/>
  <c r="L75" i="470"/>
  <c r="D76" i="470"/>
  <c r="D75" i="470"/>
  <c r="Y76" i="470"/>
  <c r="Y75" i="470"/>
  <c r="Q76" i="470"/>
  <c r="Q75" i="470"/>
  <c r="I76" i="470"/>
  <c r="I75" i="470"/>
  <c r="AF76" i="470"/>
  <c r="AF75" i="470"/>
  <c r="X76" i="470"/>
  <c r="X75" i="470"/>
  <c r="P76" i="470"/>
  <c r="P75" i="470"/>
  <c r="H76" i="470"/>
  <c r="H75" i="470"/>
  <c r="U76" i="470"/>
  <c r="U75" i="470"/>
  <c r="H22" i="470"/>
  <c r="H21" i="470"/>
  <c r="P22" i="470"/>
  <c r="P21" i="470"/>
  <c r="X22" i="470"/>
  <c r="X21" i="470"/>
  <c r="AE49" i="470"/>
  <c r="AE48" i="470"/>
  <c r="AA49" i="470"/>
  <c r="AA48" i="470"/>
  <c r="W49" i="470"/>
  <c r="W48" i="470"/>
  <c r="S49" i="470"/>
  <c r="S48" i="470"/>
  <c r="O49" i="470"/>
  <c r="O48" i="470"/>
  <c r="K49" i="470"/>
  <c r="K48" i="470"/>
  <c r="G49" i="470"/>
  <c r="G48" i="470"/>
  <c r="AH49" i="470"/>
  <c r="AH48" i="470"/>
  <c r="AD49" i="470"/>
  <c r="AD48" i="470"/>
  <c r="Z49" i="470"/>
  <c r="Z48" i="470"/>
  <c r="V49" i="470"/>
  <c r="V48" i="470"/>
  <c r="R49" i="470"/>
  <c r="R48" i="470"/>
  <c r="N49" i="470"/>
  <c r="N48" i="470"/>
  <c r="J49" i="470"/>
  <c r="J48" i="470"/>
  <c r="F49" i="470"/>
  <c r="F48" i="470"/>
  <c r="AG49" i="470"/>
  <c r="AG48" i="470"/>
  <c r="AC49" i="470"/>
  <c r="AC48" i="470"/>
  <c r="Y49" i="470"/>
  <c r="Y48" i="470"/>
  <c r="U49" i="470"/>
  <c r="U48" i="470"/>
  <c r="Q49" i="470"/>
  <c r="Q48" i="470"/>
  <c r="M49" i="470"/>
  <c r="M48" i="470"/>
  <c r="I49" i="470"/>
  <c r="I48" i="470"/>
  <c r="E49" i="470"/>
  <c r="E48" i="470"/>
  <c r="D49" i="470"/>
  <c r="D48" i="470"/>
  <c r="T49" i="470"/>
  <c r="T48" i="470"/>
  <c r="X48" i="470"/>
  <c r="E76" i="470"/>
  <c r="E75" i="470"/>
  <c r="AH22" i="470"/>
  <c r="AH21" i="470"/>
  <c r="AD22" i="470"/>
  <c r="AD21" i="470"/>
  <c r="Z22" i="470"/>
  <c r="Z21" i="470"/>
  <c r="V22" i="470"/>
  <c r="V21" i="470"/>
  <c r="R22" i="470"/>
  <c r="R21" i="470"/>
  <c r="N22" i="470"/>
  <c r="N21" i="470"/>
  <c r="J22" i="470"/>
  <c r="J21" i="470"/>
  <c r="F22" i="470"/>
  <c r="F21" i="470"/>
  <c r="AG22" i="470"/>
  <c r="AG21" i="470"/>
  <c r="AC22" i="470"/>
  <c r="AC21" i="470"/>
  <c r="Y22" i="470"/>
  <c r="Y21" i="470"/>
  <c r="U22" i="470"/>
  <c r="U21" i="470"/>
  <c r="Q22" i="470"/>
  <c r="Q21" i="470"/>
  <c r="M22" i="470"/>
  <c r="M21" i="470"/>
  <c r="I22" i="470"/>
  <c r="I21" i="470"/>
  <c r="E22" i="470"/>
  <c r="E21" i="470"/>
  <c r="K22" i="470"/>
  <c r="K21" i="470"/>
  <c r="S22" i="470"/>
  <c r="S21" i="470"/>
  <c r="AA22" i="470"/>
  <c r="AA21" i="470"/>
  <c r="AF21" i="470"/>
  <c r="D36" i="470"/>
  <c r="D35" i="470"/>
  <c r="H36" i="470"/>
  <c r="H35" i="470"/>
  <c r="L36" i="470"/>
  <c r="L35" i="470"/>
  <c r="P36" i="470"/>
  <c r="P35" i="470"/>
  <c r="T36" i="470"/>
  <c r="T35" i="470"/>
  <c r="X36" i="470"/>
  <c r="X35" i="470"/>
  <c r="AB36" i="470"/>
  <c r="AB35" i="470"/>
  <c r="AF63" i="470"/>
  <c r="AF62" i="470"/>
  <c r="AB63" i="470"/>
  <c r="AB62" i="470"/>
  <c r="X63" i="470"/>
  <c r="X62" i="470"/>
  <c r="T63" i="470"/>
  <c r="T62" i="470"/>
  <c r="P63" i="470"/>
  <c r="P62" i="470"/>
  <c r="L63" i="470"/>
  <c r="L62" i="470"/>
  <c r="H63" i="470"/>
  <c r="H62" i="470"/>
  <c r="D63" i="470"/>
  <c r="D62" i="470"/>
  <c r="I63" i="470"/>
  <c r="I62" i="470"/>
  <c r="N63" i="470"/>
  <c r="N62" i="470"/>
  <c r="S63" i="470"/>
  <c r="S62" i="470"/>
  <c r="Y63" i="470"/>
  <c r="Y62" i="470"/>
  <c r="AD63" i="470"/>
  <c r="AD62" i="470"/>
  <c r="AG103" i="470"/>
  <c r="AG102" i="470"/>
  <c r="AC103" i="470"/>
  <c r="AC102" i="470"/>
  <c r="Y103" i="470"/>
  <c r="Y102" i="470"/>
  <c r="U103" i="470"/>
  <c r="U102" i="470"/>
  <c r="Q103" i="470"/>
  <c r="Q102" i="470"/>
  <c r="M103" i="470"/>
  <c r="M102" i="470"/>
  <c r="I103" i="470"/>
  <c r="I102" i="470"/>
  <c r="E103" i="470"/>
  <c r="E102" i="470"/>
  <c r="AD103" i="470"/>
  <c r="AD102" i="470"/>
  <c r="X103" i="470"/>
  <c r="X102" i="470"/>
  <c r="S103" i="470"/>
  <c r="S102" i="470"/>
  <c r="N103" i="470"/>
  <c r="N102" i="470"/>
  <c r="H103" i="470"/>
  <c r="H102" i="470"/>
  <c r="AH103" i="470"/>
  <c r="AH102" i="470"/>
  <c r="AB103" i="470"/>
  <c r="AB102" i="470"/>
  <c r="W103" i="470"/>
  <c r="W102" i="470"/>
  <c r="R103" i="470"/>
  <c r="R102" i="470"/>
  <c r="L103" i="470"/>
  <c r="L102" i="470"/>
  <c r="G103" i="470"/>
  <c r="G102" i="470"/>
  <c r="AF103" i="470"/>
  <c r="AF102" i="470"/>
  <c r="AA103" i="470"/>
  <c r="AA102" i="470"/>
  <c r="V103" i="470"/>
  <c r="V102" i="470"/>
  <c r="P103" i="470"/>
  <c r="P102" i="470"/>
  <c r="K103" i="470"/>
  <c r="K102" i="470"/>
  <c r="F103" i="470"/>
  <c r="F102" i="470"/>
  <c r="O103" i="470"/>
  <c r="O102" i="470"/>
  <c r="M75" i="470"/>
  <c r="AE90" i="470"/>
  <c r="AE89" i="470"/>
  <c r="AA90" i="470"/>
  <c r="AA89" i="470"/>
  <c r="W90" i="470"/>
  <c r="W89" i="470"/>
  <c r="S90" i="470"/>
  <c r="S89" i="470"/>
  <c r="O90" i="470"/>
  <c r="O89" i="470"/>
  <c r="K90" i="470"/>
  <c r="K89" i="470"/>
  <c r="G90" i="470"/>
  <c r="G89" i="470"/>
  <c r="D90" i="470"/>
  <c r="D89" i="470"/>
  <c r="I90" i="470"/>
  <c r="I89" i="470"/>
  <c r="N90" i="470"/>
  <c r="N89" i="470"/>
  <c r="T90" i="470"/>
  <c r="T89" i="470"/>
  <c r="Y90" i="470"/>
  <c r="Y89" i="470"/>
  <c r="AD90" i="470"/>
  <c r="AD89" i="470"/>
  <c r="AG117" i="470"/>
  <c r="AG116" i="470"/>
  <c r="AC117" i="470"/>
  <c r="AC116" i="470"/>
  <c r="Y117" i="470"/>
  <c r="Y116" i="470"/>
  <c r="U117" i="470"/>
  <c r="U116" i="470"/>
  <c r="Q117" i="470"/>
  <c r="Q116" i="470"/>
  <c r="M117" i="470"/>
  <c r="M116" i="470"/>
  <c r="I117" i="470"/>
  <c r="I116" i="470"/>
  <c r="E117" i="470"/>
  <c r="E116" i="470"/>
  <c r="AE117" i="470"/>
  <c r="AE116" i="470"/>
  <c r="AA117" i="470"/>
  <c r="AA116" i="470"/>
  <c r="W117" i="470"/>
  <c r="W116" i="470"/>
  <c r="S117" i="470"/>
  <c r="S116" i="470"/>
  <c r="O117" i="470"/>
  <c r="O116" i="470"/>
  <c r="K117" i="470"/>
  <c r="K116" i="470"/>
  <c r="G117" i="470"/>
  <c r="G116" i="470"/>
  <c r="D117" i="470"/>
  <c r="D116" i="470"/>
  <c r="L117" i="470"/>
  <c r="L116" i="470"/>
  <c r="T117" i="470"/>
  <c r="T116" i="470"/>
  <c r="AB117" i="470"/>
  <c r="AB116" i="470"/>
  <c r="AE130" i="470"/>
  <c r="AE129" i="470"/>
  <c r="AA130" i="470"/>
  <c r="AA129" i="470"/>
  <c r="W130" i="470"/>
  <c r="W129" i="470"/>
  <c r="S130" i="470"/>
  <c r="S129" i="470"/>
  <c r="O130" i="470"/>
  <c r="O129" i="470"/>
  <c r="K130" i="470"/>
  <c r="K129" i="470"/>
  <c r="G130" i="470"/>
  <c r="G129" i="470"/>
  <c r="AH130" i="470"/>
  <c r="AH129" i="470"/>
  <c r="AD130" i="470"/>
  <c r="AD129" i="470"/>
  <c r="Z130" i="470"/>
  <c r="Z129" i="470"/>
  <c r="V130" i="470"/>
  <c r="V129" i="470"/>
  <c r="R130" i="470"/>
  <c r="R129" i="470"/>
  <c r="N130" i="470"/>
  <c r="N129" i="470"/>
  <c r="J130" i="470"/>
  <c r="J129" i="470"/>
  <c r="F130" i="470"/>
  <c r="F129" i="470"/>
  <c r="AG130" i="470"/>
  <c r="AG129" i="470"/>
  <c r="AC130" i="470"/>
  <c r="AC129" i="470"/>
  <c r="Y130" i="470"/>
  <c r="Y129" i="470"/>
  <c r="U130" i="470"/>
  <c r="U129" i="470"/>
  <c r="Q130" i="470"/>
  <c r="Q129" i="470"/>
  <c r="M130" i="470"/>
  <c r="M129" i="470"/>
  <c r="I130" i="470"/>
  <c r="I129" i="470"/>
  <c r="E130" i="470"/>
  <c r="E129" i="470"/>
  <c r="D130" i="470"/>
  <c r="D129" i="470"/>
  <c r="T130" i="470"/>
  <c r="T129" i="470"/>
  <c r="P129" i="470"/>
  <c r="Q13" i="468"/>
  <c r="I52" i="476"/>
  <c r="K13" i="465"/>
  <c r="T13" i="467"/>
  <c r="Q13" i="465"/>
  <c r="AA13" i="467"/>
  <c r="U13" i="468"/>
  <c r="S13" i="465"/>
  <c r="I41" i="476"/>
  <c r="I42" i="476"/>
  <c r="I72" i="476"/>
  <c r="I69" i="476"/>
  <c r="I44" i="476"/>
  <c r="I51" i="476"/>
  <c r="K13" i="468"/>
  <c r="I71" i="476"/>
  <c r="AC14" i="470"/>
  <c r="DA127" i="464"/>
  <c r="Z93" i="468"/>
  <c r="F13" i="465"/>
  <c r="F13" i="468"/>
  <c r="I13" i="467"/>
  <c r="Z82" i="468"/>
  <c r="E13" i="465"/>
  <c r="N13" i="467"/>
  <c r="E13" i="468"/>
  <c r="DA176" i="464"/>
  <c r="D13" i="465"/>
  <c r="AD28" i="470"/>
  <c r="AI28" i="470"/>
  <c r="DA177" i="464"/>
  <c r="DA41" i="464"/>
  <c r="DA144" i="464"/>
  <c r="DA75" i="464"/>
  <c r="H13" i="468"/>
  <c r="J13" i="468"/>
  <c r="AD69" i="470"/>
  <c r="AI69" i="470"/>
  <c r="DA99" i="464"/>
  <c r="G78" i="470"/>
  <c r="DA105" i="464"/>
  <c r="Z13" i="467"/>
  <c r="G13" i="468"/>
  <c r="P13" i="468"/>
  <c r="DA164" i="464"/>
  <c r="DA152" i="464"/>
  <c r="DA135" i="464"/>
  <c r="V119" i="470"/>
  <c r="AI119" i="470"/>
  <c r="DA163" i="464"/>
  <c r="H13" i="465"/>
  <c r="DA160" i="464"/>
  <c r="DA142" i="464"/>
  <c r="DA126" i="464"/>
  <c r="AJ136" i="470"/>
  <c r="J13" i="465"/>
  <c r="AJ108" i="470"/>
  <c r="DA64" i="464"/>
  <c r="G13" i="465"/>
  <c r="W13" i="467"/>
  <c r="Q13" i="467"/>
  <c r="DA66" i="464"/>
  <c r="P13" i="465"/>
  <c r="DA168" i="464"/>
  <c r="DA134" i="464"/>
  <c r="DA91" i="464"/>
  <c r="DA30" i="464"/>
  <c r="U13" i="465"/>
  <c r="Z38" i="468"/>
  <c r="DA137" i="464"/>
  <c r="DA39" i="464"/>
  <c r="DA125" i="464"/>
  <c r="DA70" i="464"/>
  <c r="DA37" i="464"/>
  <c r="DA79" i="464"/>
  <c r="L13" i="467"/>
  <c r="E13" i="467"/>
  <c r="DA172" i="464"/>
  <c r="DA155" i="464"/>
  <c r="DA189" i="464"/>
  <c r="DA181" i="464"/>
  <c r="DA165" i="464"/>
  <c r="DA131" i="464"/>
  <c r="DA114" i="464"/>
  <c r="DA96" i="464"/>
  <c r="DA115" i="464"/>
  <c r="M13" i="465"/>
  <c r="V105" i="470"/>
  <c r="AI105" i="470"/>
  <c r="DA179" i="464"/>
  <c r="BD31" i="464"/>
  <c r="I81" i="476"/>
  <c r="P13" i="467"/>
  <c r="F13" i="467"/>
  <c r="AJ41" i="470"/>
  <c r="DA35" i="464"/>
  <c r="DA141" i="464"/>
  <c r="G38" i="470"/>
  <c r="AI38" i="470"/>
  <c r="T13" i="468"/>
  <c r="S13" i="468"/>
  <c r="DA84" i="464"/>
  <c r="DA173" i="464"/>
  <c r="DA156" i="464"/>
  <c r="DA139" i="464"/>
  <c r="Z66" i="468"/>
  <c r="DA129" i="464"/>
  <c r="DA108" i="464"/>
  <c r="DA110" i="464"/>
  <c r="DA167" i="464"/>
  <c r="DA133" i="464"/>
  <c r="DA71" i="464"/>
  <c r="DA65" i="464"/>
  <c r="DA88" i="464"/>
  <c r="DA58" i="464"/>
  <c r="DA49" i="464"/>
  <c r="DA17" i="464"/>
  <c r="W31" i="464"/>
  <c r="G13" i="467"/>
  <c r="AB14" i="470"/>
  <c r="AB13" i="467"/>
  <c r="K14" i="470"/>
  <c r="K13" i="467"/>
  <c r="D13" i="468"/>
  <c r="X14" i="470"/>
  <c r="X13" i="467"/>
  <c r="J14" i="470"/>
  <c r="J13" i="467"/>
  <c r="C143" i="470"/>
  <c r="DA118" i="464"/>
  <c r="DA94" i="464"/>
  <c r="DA183" i="464"/>
  <c r="X83" i="468"/>
  <c r="Y83" i="468"/>
  <c r="DA54" i="464"/>
  <c r="DA45" i="464"/>
  <c r="DA171" i="464"/>
  <c r="DA38" i="464"/>
  <c r="DA55" i="464"/>
  <c r="T13" i="465"/>
  <c r="S14" i="470"/>
  <c r="S13" i="467"/>
  <c r="O14" i="468"/>
  <c r="O13" i="468"/>
  <c r="O13" i="465"/>
  <c r="DA180" i="464"/>
  <c r="DA113" i="464"/>
  <c r="O14" i="470"/>
  <c r="O13" i="467"/>
  <c r="R14" i="470"/>
  <c r="R13" i="467"/>
  <c r="M77" i="476"/>
  <c r="DA23" i="464"/>
  <c r="DI23" i="464"/>
  <c r="DA40" i="464"/>
  <c r="DA50" i="464"/>
  <c r="DA188" i="464"/>
  <c r="DI188" i="464"/>
  <c r="DA29" i="464"/>
  <c r="DI29" i="464"/>
  <c r="DA59" i="464"/>
  <c r="DA90" i="464"/>
  <c r="DI90" i="464"/>
  <c r="DA62" i="464"/>
  <c r="DI62" i="464"/>
  <c r="DA27" i="464"/>
  <c r="DI27" i="464"/>
  <c r="DA18" i="464"/>
  <c r="DI18" i="464"/>
  <c r="DA24" i="464"/>
  <c r="DA161" i="464"/>
  <c r="DA147" i="464"/>
  <c r="DI147" i="464"/>
  <c r="DA85" i="464"/>
  <c r="DA184" i="464"/>
  <c r="DA151" i="464"/>
  <c r="DA146" i="464"/>
  <c r="DA76" i="464"/>
  <c r="DA57" i="464"/>
  <c r="DA56" i="464"/>
  <c r="DA46" i="464"/>
  <c r="DA22" i="464"/>
  <c r="L14" i="465"/>
  <c r="L13" i="465"/>
  <c r="DA130" i="464"/>
  <c r="C113" i="468"/>
  <c r="DA185" i="464"/>
  <c r="DA169" i="464"/>
  <c r="DA111" i="464"/>
  <c r="DA109" i="464"/>
  <c r="DA159" i="464"/>
  <c r="DA87" i="464"/>
  <c r="DA36" i="464"/>
  <c r="DA21" i="464"/>
  <c r="DA187" i="464"/>
  <c r="DA154" i="464"/>
  <c r="DA74" i="464"/>
  <c r="DA150" i="464"/>
  <c r="CZ31" i="464"/>
  <c r="DA16" i="464"/>
  <c r="DA42" i="464"/>
  <c r="DA97" i="464"/>
  <c r="DA138" i="464"/>
  <c r="DA148" i="464"/>
  <c r="DA175" i="464"/>
  <c r="DA89" i="464"/>
  <c r="DA78" i="464"/>
  <c r="DA60" i="464"/>
  <c r="DA43" i="464"/>
  <c r="I14" i="465"/>
  <c r="I13" i="465"/>
  <c r="DA107" i="464"/>
  <c r="DA83" i="464"/>
  <c r="DA48" i="464"/>
  <c r="AI137" i="470"/>
  <c r="AI136" i="470"/>
  <c r="AI134" i="470"/>
  <c r="AI54" i="467"/>
  <c r="AI53" i="467"/>
  <c r="AI52" i="467"/>
  <c r="AI51" i="467"/>
  <c r="AI50" i="467"/>
  <c r="Y81" i="465"/>
  <c r="Y80" i="465"/>
  <c r="Y79" i="465"/>
  <c r="Y78" i="465"/>
  <c r="Y77" i="465"/>
  <c r="Y55" i="465"/>
  <c r="Y54" i="465"/>
  <c r="Y53" i="465"/>
  <c r="Y52" i="465"/>
  <c r="Y51" i="465"/>
  <c r="Y67" i="468"/>
  <c r="AI53" i="470"/>
  <c r="AI56" i="470"/>
  <c r="AI52" i="470"/>
  <c r="Y42" i="465"/>
  <c r="Y41" i="465"/>
  <c r="Y40" i="465"/>
  <c r="Y39" i="465"/>
  <c r="Y38" i="465"/>
  <c r="Y37" i="465"/>
  <c r="Y43" i="468"/>
  <c r="Y40" i="468"/>
  <c r="Y39" i="468"/>
  <c r="Y38" i="468"/>
  <c r="Y29" i="468"/>
  <c r="Y27" i="468"/>
  <c r="Y25" i="468"/>
  <c r="Y28" i="468"/>
  <c r="Y26" i="468"/>
  <c r="Y24" i="468"/>
  <c r="Y68" i="468"/>
  <c r="Y68" i="465"/>
  <c r="Y67" i="465"/>
  <c r="Y66" i="465"/>
  <c r="Y65" i="465"/>
  <c r="Y64" i="465"/>
  <c r="Y95" i="468"/>
  <c r="Y94" i="468"/>
  <c r="Y93" i="468"/>
  <c r="AI67" i="467"/>
  <c r="AI66" i="467"/>
  <c r="AI65" i="467"/>
  <c r="AI64" i="467"/>
  <c r="AI63" i="467"/>
  <c r="N14" i="468"/>
  <c r="N13" i="468"/>
  <c r="N13" i="465"/>
  <c r="N133" i="470"/>
  <c r="AI133" i="470"/>
  <c r="AJ133" i="470"/>
  <c r="AI26" i="470"/>
  <c r="AI29" i="470"/>
  <c r="AI25" i="470"/>
  <c r="AI92" i="467"/>
  <c r="AI90" i="467"/>
  <c r="AI93" i="467"/>
  <c r="AI91" i="467"/>
  <c r="AI89" i="467"/>
  <c r="DA182" i="464"/>
  <c r="DA166" i="464"/>
  <c r="DA132" i="464"/>
  <c r="AI67" i="470"/>
  <c r="AI66" i="470"/>
  <c r="AJ123" i="470"/>
  <c r="AD123" i="470"/>
  <c r="AI123" i="470"/>
  <c r="X70" i="468"/>
  <c r="Y70" i="468"/>
  <c r="Z70" i="468"/>
  <c r="Y28" i="465"/>
  <c r="Y27" i="465"/>
  <c r="Y26" i="465"/>
  <c r="Y25" i="465"/>
  <c r="Y24" i="465"/>
  <c r="Y23" i="465"/>
  <c r="Z96" i="468"/>
  <c r="W96" i="468"/>
  <c r="Y96" i="468"/>
  <c r="G92" i="470"/>
  <c r="AI92" i="470"/>
  <c r="AJ92" i="470"/>
  <c r="Z106" i="468"/>
  <c r="R106" i="468"/>
  <c r="R15" i="468"/>
  <c r="DA178" i="464"/>
  <c r="DA162" i="464"/>
  <c r="DA145" i="464"/>
  <c r="DA128" i="464"/>
  <c r="AG135" i="470"/>
  <c r="AI135" i="470"/>
  <c r="AJ135" i="470"/>
  <c r="AJ65" i="470"/>
  <c r="N65" i="470"/>
  <c r="Y53" i="468"/>
  <c r="Y66" i="468"/>
  <c r="DA106" i="464"/>
  <c r="DA93" i="464"/>
  <c r="DA19" i="464"/>
  <c r="V14" i="467"/>
  <c r="R14" i="465"/>
  <c r="DA69" i="464"/>
  <c r="DA52" i="464"/>
  <c r="DA25" i="464"/>
  <c r="D14" i="467"/>
  <c r="Y57" i="468"/>
  <c r="DA149" i="464"/>
  <c r="DA77" i="464"/>
  <c r="AI109" i="470"/>
  <c r="AI107" i="470"/>
  <c r="AI110" i="470"/>
  <c r="AI108" i="470"/>
  <c r="AI106" i="470"/>
  <c r="AI28" i="467"/>
  <c r="AI27" i="467"/>
  <c r="AI26" i="467"/>
  <c r="AI25" i="467"/>
  <c r="AI24" i="467"/>
  <c r="AI23" i="467"/>
  <c r="AI79" i="467"/>
  <c r="AI77" i="467"/>
  <c r="AI78" i="467"/>
  <c r="AD82" i="470"/>
  <c r="AI82" i="470"/>
  <c r="AJ82" i="470"/>
  <c r="AG95" i="470"/>
  <c r="AI95" i="470"/>
  <c r="AJ95" i="470"/>
  <c r="Z109" i="468"/>
  <c r="W109" i="468"/>
  <c r="Y109" i="468"/>
  <c r="C116" i="468"/>
  <c r="X41" i="468"/>
  <c r="Y41" i="468"/>
  <c r="Z41" i="468"/>
  <c r="Y54" i="468"/>
  <c r="G51" i="470"/>
  <c r="AI51" i="470"/>
  <c r="AJ51" i="470"/>
  <c r="M52" i="468"/>
  <c r="M15" i="468"/>
  <c r="M13" i="468"/>
  <c r="L52" i="468"/>
  <c r="L15" i="468"/>
  <c r="Z52" i="468"/>
  <c r="Z110" i="468"/>
  <c r="X110" i="468"/>
  <c r="Y110" i="468"/>
  <c r="DA72" i="464"/>
  <c r="DA190" i="464"/>
  <c r="DA174" i="464"/>
  <c r="DA158" i="464"/>
  <c r="DA140" i="464"/>
  <c r="AD96" i="470"/>
  <c r="AI96" i="470"/>
  <c r="AJ96" i="470"/>
  <c r="Z97" i="468"/>
  <c r="X97" i="468"/>
  <c r="Y97" i="468"/>
  <c r="AG68" i="470"/>
  <c r="AI68" i="470"/>
  <c r="AJ68" i="470"/>
  <c r="W69" i="468"/>
  <c r="Y69" i="468"/>
  <c r="Z69" i="468"/>
  <c r="C139" i="470"/>
  <c r="AJ24" i="470"/>
  <c r="G24" i="470"/>
  <c r="DA117" i="464"/>
  <c r="DA104" i="464"/>
  <c r="DA51" i="464"/>
  <c r="AI80" i="467"/>
  <c r="AI76" i="467"/>
  <c r="DA67" i="464"/>
  <c r="AI93" i="470"/>
  <c r="Y79" i="468"/>
  <c r="Y84" i="468"/>
  <c r="Y82" i="468"/>
  <c r="Y81" i="468"/>
  <c r="Y80" i="468"/>
  <c r="Y111" i="468"/>
  <c r="Y108" i="468"/>
  <c r="Y107" i="468"/>
  <c r="N132" i="470"/>
  <c r="AI132" i="470"/>
  <c r="AJ132" i="470"/>
  <c r="BD32" i="464"/>
  <c r="AI80" i="470"/>
  <c r="AI83" i="470"/>
  <c r="AI79" i="470"/>
  <c r="AI78" i="470"/>
  <c r="AI81" i="470"/>
  <c r="AI122" i="470"/>
  <c r="AI121" i="470"/>
  <c r="AI120" i="470"/>
  <c r="AI42" i="470"/>
  <c r="AI41" i="470"/>
  <c r="AI40" i="470"/>
  <c r="AI39" i="470"/>
  <c r="AI41" i="467"/>
  <c r="AI40" i="467"/>
  <c r="AI39" i="467"/>
  <c r="AI38" i="467"/>
  <c r="AI37" i="467"/>
  <c r="AD54" i="470"/>
  <c r="AI54" i="470"/>
  <c r="AJ54" i="470"/>
  <c r="W55" i="468"/>
  <c r="Y55" i="468"/>
  <c r="Z55" i="468"/>
  <c r="AI94" i="470"/>
  <c r="X56" i="468"/>
  <c r="Y56" i="468"/>
  <c r="Z56" i="468"/>
  <c r="DA186" i="464"/>
  <c r="DA170" i="464"/>
  <c r="DA153" i="464"/>
  <c r="DA136" i="464"/>
  <c r="AD55" i="470"/>
  <c r="AI55" i="470"/>
  <c r="AJ55" i="470"/>
  <c r="X42" i="468"/>
  <c r="Y42" i="468"/>
  <c r="C117" i="468"/>
  <c r="Z42" i="468"/>
  <c r="C142" i="470"/>
  <c r="AJ27" i="470"/>
  <c r="AD27" i="470"/>
  <c r="AI27" i="470"/>
  <c r="DA116" i="464"/>
  <c r="DA80" i="464"/>
  <c r="DA47" i="464"/>
  <c r="DA28" i="464"/>
  <c r="DA112" i="464"/>
  <c r="DA63" i="464"/>
  <c r="DA92" i="464"/>
  <c r="DA44" i="464"/>
  <c r="DA26" i="464"/>
  <c r="AX73" i="464"/>
  <c r="AX98" i="464"/>
  <c r="I49" i="476"/>
  <c r="AD73" i="464"/>
  <c r="AD95" i="464"/>
  <c r="L14" i="468"/>
  <c r="L13" i="468"/>
  <c r="AF86" i="464"/>
  <c r="DA31" i="464"/>
  <c r="AF73" i="464"/>
  <c r="AF95" i="464"/>
  <c r="V15" i="470"/>
  <c r="V13" i="470"/>
  <c r="AD86" i="464"/>
  <c r="AO73" i="464"/>
  <c r="BC95" i="464"/>
  <c r="Y106" i="468"/>
  <c r="V32" i="464"/>
  <c r="BL86" i="464"/>
  <c r="AD98" i="464"/>
  <c r="J95" i="464"/>
  <c r="J86" i="464"/>
  <c r="CW95" i="464"/>
  <c r="CC32" i="464"/>
  <c r="CC73" i="464"/>
  <c r="P98" i="464"/>
  <c r="J73" i="464"/>
  <c r="J98" i="464"/>
  <c r="M32" i="464"/>
  <c r="BL95" i="464"/>
  <c r="S73" i="464"/>
  <c r="H98" i="464"/>
  <c r="BU98" i="464"/>
  <c r="CY98" i="464"/>
  <c r="H95" i="464"/>
  <c r="AQ86" i="464"/>
  <c r="BO73" i="464"/>
  <c r="CH86" i="464"/>
  <c r="CR95" i="464"/>
  <c r="V95" i="464"/>
  <c r="CR86" i="464"/>
  <c r="CO73" i="464"/>
  <c r="M95" i="464"/>
  <c r="CH73" i="464"/>
  <c r="H32" i="464"/>
  <c r="BU73" i="464"/>
  <c r="S95" i="464"/>
  <c r="AQ73" i="464"/>
  <c r="CO95" i="464"/>
  <c r="CY86" i="464"/>
  <c r="S86" i="464"/>
  <c r="CH95" i="464"/>
  <c r="BL98" i="464"/>
  <c r="M73" i="464"/>
  <c r="CY73" i="464"/>
  <c r="AO86" i="464"/>
  <c r="CC95" i="464"/>
  <c r="V73" i="464"/>
  <c r="P73" i="464"/>
  <c r="BU86" i="464"/>
  <c r="BO86" i="464"/>
  <c r="CW73" i="464"/>
  <c r="CY32" i="464"/>
  <c r="V86" i="464"/>
  <c r="P86" i="464"/>
  <c r="AF98" i="464"/>
  <c r="H86" i="464"/>
  <c r="CO86" i="464"/>
  <c r="BU95" i="464"/>
  <c r="CR73" i="464"/>
  <c r="BO95" i="464"/>
  <c r="CW86" i="464"/>
  <c r="CC86" i="464"/>
  <c r="CC98" i="464"/>
  <c r="V98" i="464"/>
  <c r="P95" i="464"/>
  <c r="M86" i="464"/>
  <c r="BU32" i="464"/>
  <c r="CO98" i="464"/>
  <c r="I14" i="468"/>
  <c r="I13" i="468"/>
  <c r="BL73" i="464"/>
  <c r="H73" i="464"/>
  <c r="CY95" i="464"/>
  <c r="P32" i="464"/>
  <c r="N15" i="470"/>
  <c r="N13" i="470"/>
  <c r="CR32" i="464"/>
  <c r="CO32" i="464"/>
  <c r="Y52" i="468"/>
  <c r="G15" i="470"/>
  <c r="G13" i="470"/>
  <c r="BO32" i="464"/>
  <c r="D14" i="470"/>
  <c r="D13" i="470"/>
  <c r="D13" i="467"/>
  <c r="R14" i="468"/>
  <c r="R13" i="468"/>
  <c r="R13" i="465"/>
  <c r="AI65" i="470"/>
  <c r="CW32" i="464"/>
  <c r="V14" i="470"/>
  <c r="V13" i="467"/>
  <c r="AI24" i="470"/>
  <c r="S32" i="464"/>
  <c r="BC32" i="464"/>
  <c r="AQ32" i="464"/>
  <c r="AZ32" i="464"/>
  <c r="AD32" i="464"/>
  <c r="AO95" i="464"/>
  <c r="CZ95" i="464"/>
  <c r="CZ98" i="464"/>
  <c r="CZ86" i="464"/>
  <c r="W73" i="464"/>
  <c r="CZ73" i="464"/>
  <c r="W86" i="464"/>
  <c r="W95" i="464"/>
  <c r="W98" i="464"/>
  <c r="J32" i="464"/>
  <c r="W32" i="464"/>
  <c r="AF32" i="464"/>
  <c r="AH86" i="464"/>
  <c r="AH95" i="464"/>
  <c r="AH73" i="464"/>
  <c r="AZ95" i="464"/>
  <c r="AX86" i="464"/>
  <c r="BL32" i="464"/>
  <c r="AH32" i="464"/>
  <c r="AZ86" i="464"/>
  <c r="AA95" i="464"/>
  <c r="AO32" i="464"/>
  <c r="AX32" i="464"/>
  <c r="BC86" i="464"/>
  <c r="AQ95" i="464"/>
  <c r="CH32" i="464"/>
  <c r="AH98" i="464"/>
  <c r="BC73" i="464"/>
  <c r="AX95" i="464"/>
  <c r="BC98" i="464"/>
  <c r="AQ98" i="464"/>
  <c r="AZ73" i="464"/>
  <c r="AU32" i="464"/>
  <c r="AA32" i="464"/>
  <c r="CZ32" i="464"/>
  <c r="DA32" i="464"/>
  <c r="BD95" i="464"/>
  <c r="DA95" i="464"/>
  <c r="BD98" i="464"/>
  <c r="DA98" i="464"/>
  <c r="BD86" i="464"/>
  <c r="DA86" i="464"/>
  <c r="BD73" i="464"/>
  <c r="DA73" i="464"/>
  <c r="AN235" i="450"/>
  <c r="N6" i="450"/>
  <c r="J32" i="450"/>
  <c r="J30" i="450"/>
  <c r="L32" i="450"/>
  <c r="L30" i="450"/>
  <c r="N32" i="450"/>
  <c r="N30" i="450"/>
  <c r="P32" i="450"/>
  <c r="R32" i="450"/>
  <c r="R30" i="450"/>
  <c r="Y32" i="450"/>
  <c r="T19" i="450"/>
  <c r="AE19" i="450"/>
  <c r="T20" i="450"/>
  <c r="AE20" i="450"/>
  <c r="T21" i="450"/>
  <c r="Y21" i="450"/>
  <c r="AB18" i="450"/>
  <c r="AA21" i="450"/>
  <c r="AC21" i="450"/>
  <c r="T22" i="450"/>
  <c r="AE22" i="450"/>
  <c r="T23" i="450"/>
  <c r="AE23" i="450"/>
  <c r="T24" i="450"/>
  <c r="AE24" i="450"/>
  <c r="T25" i="450"/>
  <c r="AE25" i="450"/>
  <c r="T26" i="450"/>
  <c r="AE26" i="450"/>
  <c r="T27" i="450"/>
  <c r="AE27" i="450"/>
  <c r="T28" i="450"/>
  <c r="AE28" i="450"/>
  <c r="T29" i="450"/>
  <c r="AI32" i="450"/>
  <c r="AI30" i="450"/>
  <c r="T31" i="450"/>
  <c r="AE31" i="450"/>
  <c r="T33" i="450"/>
  <c r="AE33" i="450"/>
  <c r="T34" i="450"/>
  <c r="AE34" i="450"/>
  <c r="T35" i="450"/>
  <c r="AE35" i="450"/>
  <c r="T36" i="450"/>
  <c r="Y36" i="450"/>
  <c r="T37" i="450"/>
  <c r="Y37" i="450"/>
  <c r="AA37" i="450"/>
  <c r="AC37" i="450"/>
  <c r="T38" i="450"/>
  <c r="AE38" i="450"/>
  <c r="T39" i="450"/>
  <c r="AE39" i="450"/>
  <c r="T40" i="450"/>
  <c r="AE40" i="450"/>
  <c r="T41" i="450"/>
  <c r="AE41" i="450"/>
  <c r="T42" i="450"/>
  <c r="AE42" i="450"/>
  <c r="T43" i="450"/>
  <c r="AE43" i="450"/>
  <c r="T46" i="450"/>
  <c r="AE46" i="450"/>
  <c r="T47" i="450"/>
  <c r="AE47" i="450"/>
  <c r="T48" i="450"/>
  <c r="AE48" i="450"/>
  <c r="L49" i="450"/>
  <c r="N49" i="450"/>
  <c r="R49" i="450"/>
  <c r="L50" i="450"/>
  <c r="N50" i="450"/>
  <c r="R50" i="450"/>
  <c r="AE50" i="450"/>
  <c r="T51" i="450"/>
  <c r="AE51" i="450"/>
  <c r="T52" i="450"/>
  <c r="AE52" i="450"/>
  <c r="J53" i="450"/>
  <c r="L53" i="450"/>
  <c r="N53" i="450"/>
  <c r="P53" i="450"/>
  <c r="R53" i="450"/>
  <c r="AI53" i="450"/>
  <c r="T54" i="450"/>
  <c r="AE54" i="450"/>
  <c r="T55" i="450"/>
  <c r="AE55" i="450"/>
  <c r="T56" i="450"/>
  <c r="AE56" i="450"/>
  <c r="T59" i="450"/>
  <c r="AE59" i="450"/>
  <c r="J60" i="450"/>
  <c r="L60" i="450"/>
  <c r="N60" i="450"/>
  <c r="P60" i="450"/>
  <c r="R60" i="450"/>
  <c r="AI60" i="450"/>
  <c r="J61" i="450"/>
  <c r="L61" i="450"/>
  <c r="N61" i="450"/>
  <c r="P61" i="450"/>
  <c r="R61" i="450"/>
  <c r="AI61" i="450"/>
  <c r="T62" i="450"/>
  <c r="AE62" i="450"/>
  <c r="T63" i="450"/>
  <c r="AE63" i="450"/>
  <c r="T64" i="450"/>
  <c r="AE64" i="450"/>
  <c r="J65" i="450"/>
  <c r="L65" i="450"/>
  <c r="N65" i="450"/>
  <c r="P65" i="450"/>
  <c r="R65" i="450"/>
  <c r="AI65" i="450"/>
  <c r="T66" i="450"/>
  <c r="W66" i="450"/>
  <c r="T67" i="450"/>
  <c r="AE67" i="450"/>
  <c r="T68" i="450"/>
  <c r="AE68" i="450"/>
  <c r="T69" i="450"/>
  <c r="AE69" i="450"/>
  <c r="T70" i="450"/>
  <c r="W70" i="450"/>
  <c r="T71" i="450"/>
  <c r="AE71" i="450"/>
  <c r="T72" i="450"/>
  <c r="AE72" i="450"/>
  <c r="T73" i="450"/>
  <c r="W73" i="450"/>
  <c r="T74" i="450"/>
  <c r="W74" i="450"/>
  <c r="T75" i="450"/>
  <c r="AE75" i="450"/>
  <c r="T78" i="450"/>
  <c r="AE78" i="450"/>
  <c r="T79" i="450"/>
  <c r="AE79" i="450"/>
  <c r="T80" i="450"/>
  <c r="AE80" i="450"/>
  <c r="T81" i="450"/>
  <c r="AE81" i="450"/>
  <c r="J82" i="450"/>
  <c r="L82" i="450"/>
  <c r="N82" i="450"/>
  <c r="P82" i="450"/>
  <c r="R82" i="450"/>
  <c r="AI82" i="450"/>
  <c r="J85" i="450"/>
  <c r="L85" i="450"/>
  <c r="N85" i="450"/>
  <c r="P85" i="450"/>
  <c r="R85" i="450"/>
  <c r="Y85" i="450"/>
  <c r="AI85" i="450"/>
  <c r="AK85" i="450"/>
  <c r="T86" i="450"/>
  <c r="AE86" i="450"/>
  <c r="T87" i="450"/>
  <c r="AE87" i="450"/>
  <c r="T88" i="450"/>
  <c r="AE88" i="450"/>
  <c r="T89" i="450"/>
  <c r="AE89" i="450"/>
  <c r="T90" i="450"/>
  <c r="AE90" i="450"/>
  <c r="T91" i="450"/>
  <c r="AE91" i="450"/>
  <c r="T92" i="450"/>
  <c r="AE92" i="450"/>
  <c r="T93" i="450"/>
  <c r="AE93" i="450"/>
  <c r="T94" i="450"/>
  <c r="Y94" i="450"/>
  <c r="AE94" i="450"/>
  <c r="T95" i="450"/>
  <c r="AE95" i="450"/>
  <c r="T96" i="450"/>
  <c r="AE96" i="450"/>
  <c r="T97" i="450"/>
  <c r="AE97" i="450"/>
  <c r="T98" i="450"/>
  <c r="AE98" i="450"/>
  <c r="T99" i="450"/>
  <c r="AE99" i="450"/>
  <c r="T100" i="450"/>
  <c r="AE100" i="450"/>
  <c r="T101" i="450"/>
  <c r="AE101" i="450"/>
  <c r="T102" i="450"/>
  <c r="AE102" i="450"/>
  <c r="T103" i="450"/>
  <c r="AE103" i="450"/>
  <c r="T104" i="450"/>
  <c r="AE104" i="450"/>
  <c r="T105" i="450"/>
  <c r="AE105" i="450"/>
  <c r="T106" i="450"/>
  <c r="AE106" i="450"/>
  <c r="T107" i="450"/>
  <c r="AE107" i="450"/>
  <c r="T108" i="450"/>
  <c r="AE108" i="450"/>
  <c r="T109" i="450"/>
  <c r="AE109" i="450"/>
  <c r="T110" i="450"/>
  <c r="AE110" i="450"/>
  <c r="T111" i="450"/>
  <c r="AE111" i="450"/>
  <c r="T112" i="450"/>
  <c r="AE112" i="450"/>
  <c r="T113" i="450"/>
  <c r="AE113" i="450"/>
  <c r="T114" i="450"/>
  <c r="AE114" i="450"/>
  <c r="T115" i="450"/>
  <c r="AE115" i="450"/>
  <c r="T116" i="450"/>
  <c r="AE116" i="450"/>
  <c r="T117" i="450"/>
  <c r="AE117" i="450"/>
  <c r="T118" i="450"/>
  <c r="AE118" i="450"/>
  <c r="T119" i="450"/>
  <c r="AE119" i="450"/>
  <c r="J120" i="450"/>
  <c r="N120" i="450"/>
  <c r="Y120" i="450"/>
  <c r="AC120" i="450"/>
  <c r="AC129" i="450"/>
  <c r="AI120" i="450"/>
  <c r="T121" i="450"/>
  <c r="AE121" i="450"/>
  <c r="T122" i="450"/>
  <c r="AE122" i="450"/>
  <c r="T123" i="450"/>
  <c r="AE123" i="450"/>
  <c r="T124" i="450"/>
  <c r="AE124" i="450"/>
  <c r="T125" i="450"/>
  <c r="AE125" i="450"/>
  <c r="T126" i="450"/>
  <c r="AE126" i="450"/>
  <c r="T127" i="450"/>
  <c r="AE127" i="450"/>
  <c r="T128" i="450"/>
  <c r="AE128" i="450"/>
  <c r="J129" i="450"/>
  <c r="N129" i="450"/>
  <c r="AA129" i="450"/>
  <c r="T130" i="450"/>
  <c r="AE130" i="450"/>
  <c r="T131" i="450"/>
  <c r="AE131" i="450"/>
  <c r="T132" i="450"/>
  <c r="AE132" i="450"/>
  <c r="T133" i="450"/>
  <c r="AE133" i="450"/>
  <c r="T134" i="450"/>
  <c r="AE134" i="450"/>
  <c r="T135" i="450"/>
  <c r="AE135" i="450"/>
  <c r="T136" i="450"/>
  <c r="AE136" i="450"/>
  <c r="T137" i="450"/>
  <c r="AE137" i="450"/>
  <c r="T138" i="450"/>
  <c r="AE138" i="450"/>
  <c r="T139" i="450"/>
  <c r="AE139" i="450"/>
  <c r="T140" i="450"/>
  <c r="AE140" i="450"/>
  <c r="T141" i="450"/>
  <c r="AE141" i="450"/>
  <c r="T142" i="450"/>
  <c r="AE142" i="450"/>
  <c r="T143" i="450"/>
  <c r="AE143" i="450"/>
  <c r="T144" i="450"/>
  <c r="AE144" i="450"/>
  <c r="T145" i="450"/>
  <c r="AE145" i="450"/>
  <c r="T146" i="450"/>
  <c r="AE146" i="450"/>
  <c r="T147" i="450"/>
  <c r="AE147" i="450"/>
  <c r="T148" i="450"/>
  <c r="AE148" i="450"/>
  <c r="T149" i="450"/>
  <c r="AE149" i="450"/>
  <c r="T150" i="450"/>
  <c r="AE150" i="450"/>
  <c r="T151" i="450"/>
  <c r="AE151" i="450"/>
  <c r="T152" i="450"/>
  <c r="AE152" i="450"/>
  <c r="T153" i="450"/>
  <c r="AE153" i="450"/>
  <c r="T154" i="450"/>
  <c r="AE154" i="450"/>
  <c r="T155" i="450"/>
  <c r="AE155" i="450"/>
  <c r="T156" i="450"/>
  <c r="AE156" i="450"/>
  <c r="T157" i="450"/>
  <c r="AE157" i="450"/>
  <c r="T158" i="450"/>
  <c r="AE158" i="450"/>
  <c r="T159" i="450"/>
  <c r="AE159" i="450"/>
  <c r="T160" i="450"/>
  <c r="AE160" i="450"/>
  <c r="T161" i="450"/>
  <c r="AE161" i="450"/>
  <c r="I161" i="450"/>
  <c r="AB161" i="450"/>
  <c r="T162" i="450"/>
  <c r="AE162" i="450"/>
  <c r="T163" i="450"/>
  <c r="AE163" i="450"/>
  <c r="T164" i="450"/>
  <c r="AE164" i="450"/>
  <c r="T165" i="450"/>
  <c r="AE165" i="450"/>
  <c r="T166" i="450"/>
  <c r="Y166" i="450"/>
  <c r="AC166" i="450"/>
  <c r="T167" i="450"/>
  <c r="AE167" i="450"/>
  <c r="T168" i="450"/>
  <c r="AE168" i="450"/>
  <c r="T169" i="450"/>
  <c r="AE169" i="450"/>
  <c r="T170" i="450"/>
  <c r="AE170" i="450"/>
  <c r="T171" i="450"/>
  <c r="AE171" i="450"/>
  <c r="T172" i="450"/>
  <c r="AE172" i="450"/>
  <c r="T173" i="450"/>
  <c r="AE173" i="450"/>
  <c r="T174" i="450"/>
  <c r="Y174" i="450"/>
  <c r="AE174" i="450"/>
  <c r="T175" i="450"/>
  <c r="AE175" i="450"/>
  <c r="T176" i="450"/>
  <c r="AE176" i="450"/>
  <c r="T177" i="450"/>
  <c r="AE177" i="450"/>
  <c r="J178" i="450"/>
  <c r="L178" i="450"/>
  <c r="R178" i="450"/>
  <c r="Y178" i="450"/>
  <c r="AI178" i="450"/>
  <c r="T179" i="450"/>
  <c r="AE179" i="450"/>
  <c r="T180" i="450"/>
  <c r="AE180" i="450"/>
  <c r="T181" i="450"/>
  <c r="AE181" i="450"/>
  <c r="T182" i="450"/>
  <c r="AE182" i="450"/>
  <c r="T183" i="450"/>
  <c r="AE183" i="450"/>
  <c r="T184" i="450"/>
  <c r="AA184" i="450"/>
  <c r="T185" i="450"/>
  <c r="AE185" i="450"/>
  <c r="J186" i="450"/>
  <c r="L186" i="450"/>
  <c r="N186" i="450"/>
  <c r="P186" i="450"/>
  <c r="R186" i="450"/>
  <c r="AA186" i="450"/>
  <c r="AI186" i="450"/>
  <c r="AK186" i="450"/>
  <c r="T187" i="450"/>
  <c r="AE187" i="450"/>
  <c r="J188" i="450"/>
  <c r="L188" i="450"/>
  <c r="N188" i="450"/>
  <c r="P188" i="450"/>
  <c r="R188" i="450"/>
  <c r="AE188" i="450"/>
  <c r="AK188" i="450"/>
  <c r="T189" i="450"/>
  <c r="AE189" i="450"/>
  <c r="T190" i="450"/>
  <c r="AE190" i="450"/>
  <c r="T191" i="450"/>
  <c r="AE191" i="450"/>
  <c r="T192" i="450"/>
  <c r="AE192" i="450"/>
  <c r="J195" i="450"/>
  <c r="L195" i="450"/>
  <c r="N195" i="450"/>
  <c r="P195" i="450"/>
  <c r="R195" i="450"/>
  <c r="AI195" i="450"/>
  <c r="AK195" i="450"/>
  <c r="T196" i="450"/>
  <c r="AE196" i="450"/>
  <c r="T197" i="450"/>
  <c r="AE197" i="450"/>
  <c r="J198" i="450"/>
  <c r="L198" i="450"/>
  <c r="N198" i="450"/>
  <c r="P198" i="450"/>
  <c r="R198" i="450"/>
  <c r="AI198" i="450"/>
  <c r="AK198" i="450"/>
  <c r="L199" i="450"/>
  <c r="N199" i="450"/>
  <c r="P199" i="450"/>
  <c r="R199" i="450"/>
  <c r="AE199" i="450"/>
  <c r="AK199" i="450"/>
  <c r="T200" i="450"/>
  <c r="AE200" i="450"/>
  <c r="J201" i="450"/>
  <c r="L201" i="450"/>
  <c r="N201" i="450"/>
  <c r="P201" i="450"/>
  <c r="R201" i="450"/>
  <c r="AE201" i="450"/>
  <c r="AI201" i="450"/>
  <c r="AK201" i="450"/>
  <c r="J202" i="450"/>
  <c r="L202" i="450"/>
  <c r="N202" i="450"/>
  <c r="R202" i="450"/>
  <c r="AE202" i="450"/>
  <c r="AI202" i="450"/>
  <c r="AK202" i="450"/>
  <c r="T203" i="450"/>
  <c r="AG203" i="450"/>
  <c r="J204" i="450"/>
  <c r="L204" i="450"/>
  <c r="N204" i="450"/>
  <c r="P204" i="450"/>
  <c r="R204" i="450"/>
  <c r="AE204" i="450"/>
  <c r="AI204" i="450"/>
  <c r="AK204" i="450"/>
  <c r="J205" i="450"/>
  <c r="L205" i="450"/>
  <c r="N205" i="450"/>
  <c r="P205" i="450"/>
  <c r="R205" i="450"/>
  <c r="Y205" i="450"/>
  <c r="AE205" i="450"/>
  <c r="T206" i="450"/>
  <c r="AE206" i="450"/>
  <c r="T207" i="450"/>
  <c r="AE207" i="450"/>
  <c r="J208" i="450"/>
  <c r="L208" i="450"/>
  <c r="N208" i="450"/>
  <c r="P208" i="450"/>
  <c r="R208" i="450"/>
  <c r="Y208" i="450"/>
  <c r="AI208" i="450"/>
  <c r="T211" i="450"/>
  <c r="AE211" i="450"/>
  <c r="T212" i="450"/>
  <c r="AE212" i="450"/>
  <c r="T213" i="450"/>
  <c r="AE213" i="450"/>
  <c r="T214" i="450"/>
  <c r="AE214" i="450"/>
  <c r="T215" i="450"/>
  <c r="AE215" i="450"/>
  <c r="T216" i="450"/>
  <c r="AE216" i="450"/>
  <c r="T217" i="450"/>
  <c r="AE217" i="450"/>
  <c r="T218" i="450"/>
  <c r="AE218" i="450"/>
  <c r="T219" i="450"/>
  <c r="AE219" i="450"/>
  <c r="T220" i="450"/>
  <c r="AE220" i="450"/>
  <c r="T221" i="450"/>
  <c r="AE221" i="450"/>
  <c r="T222" i="450"/>
  <c r="AE222" i="450"/>
  <c r="T223" i="450"/>
  <c r="AE223" i="450"/>
  <c r="T224" i="450"/>
  <c r="AE224" i="450"/>
  <c r="T225" i="450"/>
  <c r="AE225" i="450"/>
  <c r="T228" i="450"/>
  <c r="AE228" i="450"/>
  <c r="J229" i="450"/>
  <c r="L229" i="450"/>
  <c r="N229" i="450"/>
  <c r="P229" i="450"/>
  <c r="R229" i="450"/>
  <c r="T230" i="450"/>
  <c r="AE230" i="450"/>
  <c r="AN242" i="450"/>
  <c r="AD18" i="450"/>
  <c r="AD239" i="450"/>
  <c r="X239" i="450"/>
  <c r="X240" i="450"/>
  <c r="X241" i="450"/>
  <c r="Z18" i="450"/>
  <c r="Z239" i="450"/>
  <c r="S18" i="450"/>
  <c r="Q18" i="450"/>
  <c r="Q239" i="450"/>
  <c r="O18" i="450"/>
  <c r="O239" i="450"/>
  <c r="M18" i="450"/>
  <c r="M239" i="450"/>
  <c r="M240" i="450"/>
  <c r="M235" i="450"/>
  <c r="M242" i="450"/>
  <c r="M243" i="450"/>
  <c r="O235" i="450"/>
  <c r="O242" i="450"/>
  <c r="O243" i="450"/>
  <c r="Z235" i="450"/>
  <c r="Z242" i="450"/>
  <c r="Z243" i="450"/>
  <c r="AL235" i="450"/>
  <c r="AL239" i="450"/>
  <c r="AL240" i="450"/>
  <c r="AL241" i="450"/>
  <c r="AL242" i="450"/>
  <c r="AL243" i="450"/>
  <c r="S235" i="450"/>
  <c r="S242" i="450"/>
  <c r="S243" i="450"/>
  <c r="AD235" i="450"/>
  <c r="AD242" i="450"/>
  <c r="AD243" i="450"/>
  <c r="K235" i="450"/>
  <c r="K18" i="450"/>
  <c r="K239" i="450"/>
  <c r="K240" i="450"/>
  <c r="K241" i="450"/>
  <c r="K242" i="450"/>
  <c r="K243" i="450"/>
  <c r="AJ161" i="450"/>
  <c r="AJ235" i="450"/>
  <c r="AJ17" i="450"/>
  <c r="AJ239" i="450"/>
  <c r="AJ242" i="450"/>
  <c r="AJ243" i="450"/>
  <c r="X235" i="450"/>
  <c r="X242" i="450"/>
  <c r="X243" i="450"/>
  <c r="AL17" i="450"/>
  <c r="D19" i="461"/>
  <c r="C19" i="461"/>
  <c r="C18" i="461"/>
  <c r="D15" i="461"/>
  <c r="C15" i="461"/>
  <c r="C14" i="461"/>
  <c r="D11" i="461"/>
  <c r="Z24" i="458"/>
  <c r="C11" i="461"/>
  <c r="C10" i="461"/>
  <c r="D7" i="461"/>
  <c r="C7" i="461"/>
  <c r="C6" i="461"/>
  <c r="AH88" i="460"/>
  <c r="AG88" i="460"/>
  <c r="C85" i="460"/>
  <c r="AG87" i="460"/>
  <c r="AF88" i="460"/>
  <c r="AE88" i="460"/>
  <c r="AD88" i="460"/>
  <c r="AC88" i="460"/>
  <c r="AB88" i="460"/>
  <c r="AA88" i="460"/>
  <c r="Z88" i="460"/>
  <c r="Y88" i="460"/>
  <c r="X88" i="460"/>
  <c r="W88" i="460"/>
  <c r="V88" i="460"/>
  <c r="U88" i="460"/>
  <c r="T88" i="460"/>
  <c r="S88" i="460"/>
  <c r="R88" i="460"/>
  <c r="Q88" i="460"/>
  <c r="P88" i="460"/>
  <c r="O88" i="460"/>
  <c r="N88" i="460"/>
  <c r="M88" i="460"/>
  <c r="L88" i="460"/>
  <c r="K88" i="460"/>
  <c r="J88" i="460"/>
  <c r="I88" i="460"/>
  <c r="H88" i="460"/>
  <c r="G88" i="460"/>
  <c r="F88" i="460"/>
  <c r="E88" i="460"/>
  <c r="D88" i="460"/>
  <c r="AH75" i="460"/>
  <c r="C72" i="460"/>
  <c r="W74" i="460"/>
  <c r="AG75" i="460"/>
  <c r="AF75" i="460"/>
  <c r="AE75" i="460"/>
  <c r="AD75" i="460"/>
  <c r="AC75" i="460"/>
  <c r="AB75" i="460"/>
  <c r="AA75" i="460"/>
  <c r="Z75" i="460"/>
  <c r="Y75" i="460"/>
  <c r="X75" i="460"/>
  <c r="W75" i="460"/>
  <c r="V75" i="460"/>
  <c r="U75" i="460"/>
  <c r="T75" i="460"/>
  <c r="S75" i="460"/>
  <c r="R75" i="460"/>
  <c r="Q75" i="460"/>
  <c r="P75" i="460"/>
  <c r="O75" i="460"/>
  <c r="N75" i="460"/>
  <c r="M75" i="460"/>
  <c r="L75" i="460"/>
  <c r="K75" i="460"/>
  <c r="J75" i="460"/>
  <c r="I75" i="460"/>
  <c r="H75" i="460"/>
  <c r="G75" i="460"/>
  <c r="F75" i="460"/>
  <c r="E75" i="460"/>
  <c r="D75" i="460"/>
  <c r="AH62" i="460"/>
  <c r="AG62" i="460"/>
  <c r="AF62" i="460"/>
  <c r="AE62" i="460"/>
  <c r="AD62" i="460"/>
  <c r="AC62" i="460"/>
  <c r="AB62" i="460"/>
  <c r="AA62" i="460"/>
  <c r="Z62" i="460"/>
  <c r="Y62" i="460"/>
  <c r="X62" i="460"/>
  <c r="W62" i="460"/>
  <c r="V62" i="460"/>
  <c r="U62" i="460"/>
  <c r="T62" i="460"/>
  <c r="S62" i="460"/>
  <c r="R62" i="460"/>
  <c r="Q62" i="460"/>
  <c r="P62" i="460"/>
  <c r="O62" i="460"/>
  <c r="N62" i="460"/>
  <c r="M62" i="460"/>
  <c r="L62" i="460"/>
  <c r="K62" i="460"/>
  <c r="J62" i="460"/>
  <c r="I62" i="460"/>
  <c r="H62" i="460"/>
  <c r="G62" i="460"/>
  <c r="F62" i="460"/>
  <c r="E62" i="460"/>
  <c r="D62" i="460"/>
  <c r="C59" i="460"/>
  <c r="AC61" i="460"/>
  <c r="AH49" i="460"/>
  <c r="AG49" i="460"/>
  <c r="AF49" i="460"/>
  <c r="AE49" i="460"/>
  <c r="C46" i="460"/>
  <c r="F48" i="460"/>
  <c r="AD49" i="460"/>
  <c r="AC49" i="460"/>
  <c r="AB49" i="460"/>
  <c r="AA49" i="460"/>
  <c r="Z49" i="460"/>
  <c r="Y49" i="460"/>
  <c r="X49" i="460"/>
  <c r="W49" i="460"/>
  <c r="V49" i="460"/>
  <c r="U49" i="460"/>
  <c r="T49" i="460"/>
  <c r="S49" i="460"/>
  <c r="R49" i="460"/>
  <c r="Q49" i="460"/>
  <c r="P49" i="460"/>
  <c r="O49" i="460"/>
  <c r="N49" i="460"/>
  <c r="M49" i="460"/>
  <c r="L49" i="460"/>
  <c r="K49" i="460"/>
  <c r="J49" i="460"/>
  <c r="I49" i="460"/>
  <c r="H49" i="460"/>
  <c r="G49" i="460"/>
  <c r="F49" i="460"/>
  <c r="E49" i="460"/>
  <c r="D49" i="460"/>
  <c r="R48" i="460"/>
  <c r="AH36" i="460"/>
  <c r="AG36" i="460"/>
  <c r="AF36" i="460"/>
  <c r="AE36" i="460"/>
  <c r="AD36" i="460"/>
  <c r="AC36" i="460"/>
  <c r="AB36" i="460"/>
  <c r="AA36" i="460"/>
  <c r="Z36" i="460"/>
  <c r="Y36" i="460"/>
  <c r="X36" i="460"/>
  <c r="W36" i="460"/>
  <c r="V36" i="460"/>
  <c r="U36" i="460"/>
  <c r="T36" i="460"/>
  <c r="S36" i="460"/>
  <c r="R36" i="460"/>
  <c r="Q36" i="460"/>
  <c r="P36" i="460"/>
  <c r="O36" i="460"/>
  <c r="N36" i="460"/>
  <c r="M36" i="460"/>
  <c r="L36" i="460"/>
  <c r="K36" i="460"/>
  <c r="J36" i="460"/>
  <c r="I36" i="460"/>
  <c r="H36" i="460"/>
  <c r="G36" i="460"/>
  <c r="F36" i="460"/>
  <c r="E36" i="460"/>
  <c r="D36" i="460"/>
  <c r="C33" i="460"/>
  <c r="AG35" i="460"/>
  <c r="AH22" i="460"/>
  <c r="AG22" i="460"/>
  <c r="AF22" i="460"/>
  <c r="AE22" i="460"/>
  <c r="AD22" i="460"/>
  <c r="AC22" i="460"/>
  <c r="AB22" i="460"/>
  <c r="AA22" i="460"/>
  <c r="Z22" i="460"/>
  <c r="Y22" i="460"/>
  <c r="X22" i="460"/>
  <c r="W22" i="460"/>
  <c r="V22" i="460"/>
  <c r="U22" i="460"/>
  <c r="T22" i="460"/>
  <c r="S22" i="460"/>
  <c r="R22" i="460"/>
  <c r="Q22" i="460"/>
  <c r="P22" i="460"/>
  <c r="O22" i="460"/>
  <c r="N22" i="460"/>
  <c r="M22" i="460"/>
  <c r="L22" i="460"/>
  <c r="K22" i="460"/>
  <c r="J22" i="460"/>
  <c r="I22" i="460"/>
  <c r="H22" i="460"/>
  <c r="G22" i="460"/>
  <c r="F22" i="460"/>
  <c r="E22" i="460"/>
  <c r="D22" i="460"/>
  <c r="C19" i="460"/>
  <c r="K21" i="460"/>
  <c r="K20" i="460"/>
  <c r="X76" i="458"/>
  <c r="W76" i="458"/>
  <c r="V76" i="458"/>
  <c r="U76" i="458"/>
  <c r="T76" i="458"/>
  <c r="S76" i="458"/>
  <c r="R76" i="458"/>
  <c r="Q76" i="458"/>
  <c r="P76" i="458"/>
  <c r="O76" i="458"/>
  <c r="N76" i="458"/>
  <c r="M76" i="458"/>
  <c r="L76" i="458"/>
  <c r="K76" i="458"/>
  <c r="J76" i="458"/>
  <c r="I76" i="458"/>
  <c r="H76" i="458"/>
  <c r="G76" i="458"/>
  <c r="F76" i="458"/>
  <c r="E76" i="458"/>
  <c r="D76" i="458"/>
  <c r="C73" i="458"/>
  <c r="K75" i="458"/>
  <c r="X63" i="458"/>
  <c r="W63" i="458"/>
  <c r="V63" i="458"/>
  <c r="U63" i="458"/>
  <c r="T63" i="458"/>
  <c r="S63" i="458"/>
  <c r="R63" i="458"/>
  <c r="Q63" i="458"/>
  <c r="P63" i="458"/>
  <c r="O63" i="458"/>
  <c r="C60" i="458"/>
  <c r="X62" i="458"/>
  <c r="N63" i="458"/>
  <c r="M63" i="458"/>
  <c r="L63" i="458"/>
  <c r="K63" i="458"/>
  <c r="J63" i="458"/>
  <c r="I63" i="458"/>
  <c r="H63" i="458"/>
  <c r="G63" i="458"/>
  <c r="F63" i="458"/>
  <c r="E63" i="458"/>
  <c r="D63" i="458"/>
  <c r="U62" i="458"/>
  <c r="X50" i="458"/>
  <c r="W50" i="458"/>
  <c r="V50" i="458"/>
  <c r="U50" i="458"/>
  <c r="T50" i="458"/>
  <c r="S50" i="458"/>
  <c r="R50" i="458"/>
  <c r="Q50" i="458"/>
  <c r="P50" i="458"/>
  <c r="O50" i="458"/>
  <c r="N50" i="458"/>
  <c r="M50" i="458"/>
  <c r="L50" i="458"/>
  <c r="K50" i="458"/>
  <c r="J50" i="458"/>
  <c r="I50" i="458"/>
  <c r="H50" i="458"/>
  <c r="G50" i="458"/>
  <c r="F50" i="458"/>
  <c r="E50" i="458"/>
  <c r="D50" i="458"/>
  <c r="C47" i="458"/>
  <c r="S49" i="458"/>
  <c r="S48" i="458"/>
  <c r="X36" i="458"/>
  <c r="W36" i="458"/>
  <c r="V36" i="458"/>
  <c r="U36" i="458"/>
  <c r="C33" i="458"/>
  <c r="W35" i="458"/>
  <c r="T36" i="458"/>
  <c r="S36" i="458"/>
  <c r="R36" i="458"/>
  <c r="Q36" i="458"/>
  <c r="P36" i="458"/>
  <c r="O36" i="458"/>
  <c r="N36" i="458"/>
  <c r="M36" i="458"/>
  <c r="L36" i="458"/>
  <c r="K36" i="458"/>
  <c r="J36" i="458"/>
  <c r="I36" i="458"/>
  <c r="H36" i="458"/>
  <c r="G36" i="458"/>
  <c r="F36" i="458"/>
  <c r="E36" i="458"/>
  <c r="D36" i="458"/>
  <c r="X22" i="458"/>
  <c r="W22" i="458"/>
  <c r="V22" i="458"/>
  <c r="U22" i="458"/>
  <c r="T22" i="458"/>
  <c r="S22" i="458"/>
  <c r="R22" i="458"/>
  <c r="Q22" i="458"/>
  <c r="P22" i="458"/>
  <c r="O22" i="458"/>
  <c r="N22" i="458"/>
  <c r="M22" i="458"/>
  <c r="L22" i="458"/>
  <c r="K22" i="458"/>
  <c r="J22" i="458"/>
  <c r="I22" i="458"/>
  <c r="H22" i="458"/>
  <c r="G22" i="458"/>
  <c r="F22" i="458"/>
  <c r="E22" i="458"/>
  <c r="D22" i="458"/>
  <c r="C19" i="458"/>
  <c r="Q21" i="458"/>
  <c r="P4" i="458"/>
  <c r="I4" i="458"/>
  <c r="Q3" i="458"/>
  <c r="N3" i="458"/>
  <c r="M3" i="458"/>
  <c r="H3" i="458"/>
  <c r="G3" i="458"/>
  <c r="I154" i="457"/>
  <c r="H154" i="457"/>
  <c r="G154" i="457"/>
  <c r="F154" i="457"/>
  <c r="E154" i="457"/>
  <c r="D154" i="457"/>
  <c r="J153" i="457"/>
  <c r="J152" i="457"/>
  <c r="J151" i="457"/>
  <c r="J150" i="457"/>
  <c r="J149" i="457"/>
  <c r="J148" i="457"/>
  <c r="J147" i="457"/>
  <c r="J146" i="457"/>
  <c r="J144" i="457"/>
  <c r="J143" i="457"/>
  <c r="J142" i="457"/>
  <c r="J141" i="457"/>
  <c r="J140" i="457"/>
  <c r="J139" i="457"/>
  <c r="J138" i="457"/>
  <c r="J137" i="457"/>
  <c r="J136" i="457"/>
  <c r="J135" i="457"/>
  <c r="J134" i="457"/>
  <c r="J133" i="457"/>
  <c r="J132" i="457"/>
  <c r="J131" i="457"/>
  <c r="J129" i="457"/>
  <c r="J128" i="457"/>
  <c r="J127" i="457"/>
  <c r="J126" i="457"/>
  <c r="J125" i="457"/>
  <c r="J124" i="457"/>
  <c r="J123" i="457"/>
  <c r="J122" i="457"/>
  <c r="J121" i="457"/>
  <c r="J120" i="457"/>
  <c r="J119" i="457"/>
  <c r="J118" i="457"/>
  <c r="J117" i="457"/>
  <c r="J116" i="457"/>
  <c r="J115" i="457"/>
  <c r="J114" i="457"/>
  <c r="J113" i="457"/>
  <c r="J112" i="457"/>
  <c r="J111" i="457"/>
  <c r="J110" i="457"/>
  <c r="J109" i="457"/>
  <c r="J108" i="457"/>
  <c r="J107" i="457"/>
  <c r="J106" i="457"/>
  <c r="J105" i="457"/>
  <c r="J104" i="457"/>
  <c r="J103" i="457"/>
  <c r="J102" i="457"/>
  <c r="J101" i="457"/>
  <c r="J100" i="457"/>
  <c r="J99" i="457"/>
  <c r="J98" i="457"/>
  <c r="J97" i="457"/>
  <c r="J96" i="457"/>
  <c r="J95" i="457"/>
  <c r="J94" i="457"/>
  <c r="J93" i="457"/>
  <c r="J92" i="457"/>
  <c r="J91" i="457"/>
  <c r="J90" i="457"/>
  <c r="J89" i="457"/>
  <c r="J88" i="457"/>
  <c r="J87" i="457"/>
  <c r="J85" i="457"/>
  <c r="J84" i="457"/>
  <c r="J83" i="457"/>
  <c r="J82" i="457"/>
  <c r="J81" i="457"/>
  <c r="J80" i="457"/>
  <c r="J79" i="457"/>
  <c r="J77" i="457"/>
  <c r="J76" i="457"/>
  <c r="J75" i="457"/>
  <c r="J74" i="457"/>
  <c r="J73" i="457"/>
  <c r="J72" i="457"/>
  <c r="J71" i="457"/>
  <c r="J70" i="457"/>
  <c r="J68" i="457"/>
  <c r="J66" i="457"/>
  <c r="J65" i="457"/>
  <c r="J64" i="457"/>
  <c r="J63" i="457"/>
  <c r="J62" i="457"/>
  <c r="J61" i="457"/>
  <c r="J60" i="457"/>
  <c r="J59" i="457"/>
  <c r="J58" i="457"/>
  <c r="J57" i="457"/>
  <c r="J56" i="457"/>
  <c r="J55" i="457"/>
  <c r="J54" i="457"/>
  <c r="J52" i="457"/>
  <c r="J51" i="457"/>
  <c r="J50" i="457"/>
  <c r="J49" i="457"/>
  <c r="J48" i="457"/>
  <c r="J47" i="457"/>
  <c r="J46" i="457"/>
  <c r="J45" i="457"/>
  <c r="J44" i="457"/>
  <c r="J43" i="457"/>
  <c r="J42" i="457"/>
  <c r="J41" i="457"/>
  <c r="J40" i="457"/>
  <c r="J39" i="457"/>
  <c r="J38" i="457"/>
  <c r="J37" i="457"/>
  <c r="J36" i="457"/>
  <c r="J34" i="457"/>
  <c r="J33" i="457"/>
  <c r="J32" i="457"/>
  <c r="J31" i="457"/>
  <c r="J30" i="457"/>
  <c r="J29" i="457"/>
  <c r="J28" i="457"/>
  <c r="J26" i="457"/>
  <c r="J25" i="457"/>
  <c r="J24" i="457"/>
  <c r="J22" i="457"/>
  <c r="J21" i="457"/>
  <c r="J20" i="457"/>
  <c r="J19" i="457"/>
  <c r="J18" i="457"/>
  <c r="J17" i="457"/>
  <c r="J16" i="457"/>
  <c r="J15" i="457"/>
  <c r="J14" i="457"/>
  <c r="J13" i="457"/>
  <c r="J11" i="457"/>
  <c r="J10" i="457"/>
  <c r="J9" i="457"/>
  <c r="J7" i="457"/>
  <c r="J6" i="457"/>
  <c r="J5" i="457"/>
  <c r="J4" i="457"/>
  <c r="J3" i="457"/>
  <c r="CW183" i="456"/>
  <c r="CS183" i="456"/>
  <c r="CM183" i="456"/>
  <c r="CE183" i="456"/>
  <c r="BU183" i="456"/>
  <c r="BS183" i="456"/>
  <c r="BO183" i="456"/>
  <c r="BI183" i="456"/>
  <c r="BA183" i="456"/>
  <c r="AU183" i="456"/>
  <c r="AQ183" i="456"/>
  <c r="AF183" i="456"/>
  <c r="X183" i="456"/>
  <c r="Q183" i="456"/>
  <c r="N183" i="456"/>
  <c r="I183" i="456"/>
  <c r="CS182" i="456"/>
  <c r="CW182" i="456"/>
  <c r="CM182" i="456"/>
  <c r="CE182" i="456"/>
  <c r="BU182" i="456"/>
  <c r="BS182" i="456"/>
  <c r="BO182" i="456"/>
  <c r="BI182" i="456"/>
  <c r="BA182" i="456"/>
  <c r="AU182" i="456"/>
  <c r="AQ182" i="456"/>
  <c r="AF182" i="456"/>
  <c r="AB182" i="456"/>
  <c r="X182" i="456"/>
  <c r="Q182" i="456"/>
  <c r="N182" i="456"/>
  <c r="I182" i="456"/>
  <c r="CW181" i="456"/>
  <c r="CS181" i="456"/>
  <c r="CO181" i="456"/>
  <c r="CM181" i="456"/>
  <c r="CE181" i="456"/>
  <c r="BU181" i="456"/>
  <c r="BS181" i="456"/>
  <c r="BO181" i="456"/>
  <c r="BI181" i="456"/>
  <c r="BA181" i="456"/>
  <c r="AU181" i="456"/>
  <c r="AQ181" i="456"/>
  <c r="AF181" i="456"/>
  <c r="AB181" i="456"/>
  <c r="X181" i="456"/>
  <c r="Q181" i="456"/>
  <c r="N181" i="456"/>
  <c r="I181" i="456"/>
  <c r="CW180" i="456"/>
  <c r="CS180" i="456"/>
  <c r="CO180" i="456"/>
  <c r="CM180" i="456"/>
  <c r="CE180" i="456"/>
  <c r="BU180" i="456"/>
  <c r="BS180" i="456"/>
  <c r="BO180" i="456"/>
  <c r="BI180" i="456"/>
  <c r="BA180" i="456"/>
  <c r="AU180" i="456"/>
  <c r="AQ180" i="456"/>
  <c r="AF180" i="456"/>
  <c r="AB180" i="456"/>
  <c r="X180" i="456"/>
  <c r="Q180" i="456"/>
  <c r="N180" i="456"/>
  <c r="I180" i="456"/>
  <c r="CW179" i="456"/>
  <c r="CS179" i="456"/>
  <c r="CO179" i="456"/>
  <c r="CM179" i="456"/>
  <c r="CE179" i="456"/>
  <c r="BU179" i="456"/>
  <c r="BS179" i="456"/>
  <c r="BO179" i="456"/>
  <c r="BI179" i="456"/>
  <c r="BA179" i="456"/>
  <c r="AU179" i="456"/>
  <c r="AQ179" i="456"/>
  <c r="AF179" i="456"/>
  <c r="AB179" i="456"/>
  <c r="X179" i="456"/>
  <c r="Q179" i="456"/>
  <c r="N179" i="456"/>
  <c r="I179" i="456"/>
  <c r="CW178" i="456"/>
  <c r="CS178" i="456"/>
  <c r="CO178" i="456"/>
  <c r="CM178" i="456"/>
  <c r="CE178" i="456"/>
  <c r="BU178" i="456"/>
  <c r="BS178" i="456"/>
  <c r="BO178" i="456"/>
  <c r="BI178" i="456"/>
  <c r="BA178" i="456"/>
  <c r="AU178" i="456"/>
  <c r="AQ178" i="456"/>
  <c r="AF178" i="456"/>
  <c r="AB178" i="456"/>
  <c r="X178" i="456"/>
  <c r="Q178" i="456"/>
  <c r="N178" i="456"/>
  <c r="I178" i="456"/>
  <c r="CS177" i="456"/>
  <c r="CW177" i="456"/>
  <c r="CO177" i="456"/>
  <c r="CM177" i="456"/>
  <c r="CE177" i="456"/>
  <c r="BU177" i="456"/>
  <c r="BS177" i="456"/>
  <c r="BO177" i="456"/>
  <c r="BI177" i="456"/>
  <c r="BA177" i="456"/>
  <c r="AU177" i="456"/>
  <c r="AQ177" i="456"/>
  <c r="AF177" i="456"/>
  <c r="AB177" i="456"/>
  <c r="X177" i="456"/>
  <c r="Q177" i="456"/>
  <c r="N177" i="456"/>
  <c r="I177" i="456"/>
  <c r="CW176" i="456"/>
  <c r="CS176" i="456"/>
  <c r="CO176" i="456"/>
  <c r="CM176" i="456"/>
  <c r="CE176" i="456"/>
  <c r="BU176" i="456"/>
  <c r="BS176" i="456"/>
  <c r="BO176" i="456"/>
  <c r="BI176" i="456"/>
  <c r="BA176" i="456"/>
  <c r="AU176" i="456"/>
  <c r="AQ176" i="456"/>
  <c r="AF176" i="456"/>
  <c r="AB176" i="456"/>
  <c r="X176" i="456"/>
  <c r="Q176" i="456"/>
  <c r="N176" i="456"/>
  <c r="I176" i="456"/>
  <c r="CS175" i="456"/>
  <c r="CW175" i="456"/>
  <c r="CO175" i="456"/>
  <c r="CM175" i="456"/>
  <c r="CE175" i="456"/>
  <c r="BU175" i="456"/>
  <c r="BS175" i="456"/>
  <c r="BO175" i="456"/>
  <c r="BI175" i="456"/>
  <c r="BA175" i="456"/>
  <c r="AU175" i="456"/>
  <c r="AQ175" i="456"/>
  <c r="AF175" i="456"/>
  <c r="AB175" i="456"/>
  <c r="X175" i="456"/>
  <c r="Q175" i="456"/>
  <c r="N175" i="456"/>
  <c r="I175" i="456"/>
  <c r="CW174" i="456"/>
  <c r="CS174" i="456"/>
  <c r="CO174" i="456"/>
  <c r="CM174" i="456"/>
  <c r="CE174" i="456"/>
  <c r="BU174" i="456"/>
  <c r="BS174" i="456"/>
  <c r="BO174" i="456"/>
  <c r="BI174" i="456"/>
  <c r="BA174" i="456"/>
  <c r="AU174" i="456"/>
  <c r="AQ174" i="456"/>
  <c r="AF174" i="456"/>
  <c r="AB174" i="456"/>
  <c r="X174" i="456"/>
  <c r="Q174" i="456"/>
  <c r="N174" i="456"/>
  <c r="I174" i="456"/>
  <c r="CW173" i="456"/>
  <c r="CS173" i="456"/>
  <c r="CO173" i="456"/>
  <c r="CM173" i="456"/>
  <c r="CE173" i="456"/>
  <c r="BU173" i="456"/>
  <c r="BS173" i="456"/>
  <c r="BO173" i="456"/>
  <c r="BI173" i="456"/>
  <c r="BA173" i="456"/>
  <c r="AU173" i="456"/>
  <c r="AQ173" i="456"/>
  <c r="AF173" i="456"/>
  <c r="AB173" i="456"/>
  <c r="X173" i="456"/>
  <c r="Q173" i="456"/>
  <c r="N173" i="456"/>
  <c r="I173" i="456"/>
  <c r="CW172" i="456"/>
  <c r="CS172" i="456"/>
  <c r="CO172" i="456"/>
  <c r="CM172" i="456"/>
  <c r="CE172" i="456"/>
  <c r="BU172" i="456"/>
  <c r="BS172" i="456"/>
  <c r="BO172" i="456"/>
  <c r="BI172" i="456"/>
  <c r="BA172" i="456"/>
  <c r="AU172" i="456"/>
  <c r="AQ172" i="456"/>
  <c r="AF172" i="456"/>
  <c r="AB172" i="456"/>
  <c r="X172" i="456"/>
  <c r="Q172" i="456"/>
  <c r="N172" i="456"/>
  <c r="I172" i="456"/>
  <c r="CW171" i="456"/>
  <c r="CS171" i="456"/>
  <c r="CO171" i="456"/>
  <c r="CM171" i="456"/>
  <c r="CE171" i="456"/>
  <c r="BU171" i="456"/>
  <c r="BS171" i="456"/>
  <c r="BO171" i="456"/>
  <c r="BI171" i="456"/>
  <c r="BA171" i="456"/>
  <c r="AU171" i="456"/>
  <c r="AQ171" i="456"/>
  <c r="AF171" i="456"/>
  <c r="AB171" i="456"/>
  <c r="X171" i="456"/>
  <c r="Q171" i="456"/>
  <c r="N171" i="456"/>
  <c r="I171" i="456"/>
  <c r="CW170" i="456"/>
  <c r="CS170" i="456"/>
  <c r="CO170" i="456"/>
  <c r="CM170" i="456"/>
  <c r="CE170" i="456"/>
  <c r="BU170" i="456"/>
  <c r="BS170" i="456"/>
  <c r="BO170" i="456"/>
  <c r="BI170" i="456"/>
  <c r="BA170" i="456"/>
  <c r="AU170" i="456"/>
  <c r="AQ170" i="456"/>
  <c r="AF170" i="456"/>
  <c r="AB170" i="456"/>
  <c r="X170" i="456"/>
  <c r="Q170" i="456"/>
  <c r="N170" i="456"/>
  <c r="I170" i="456"/>
  <c r="CS169" i="456"/>
  <c r="CW169" i="456"/>
  <c r="CO169" i="456"/>
  <c r="CM169" i="456"/>
  <c r="CE169" i="456"/>
  <c r="BU169" i="456"/>
  <c r="BS169" i="456"/>
  <c r="BO169" i="456"/>
  <c r="BI169" i="456"/>
  <c r="BA169" i="456"/>
  <c r="AU169" i="456"/>
  <c r="AQ169" i="456"/>
  <c r="AF169" i="456"/>
  <c r="AB169" i="456"/>
  <c r="X169" i="456"/>
  <c r="Q169" i="456"/>
  <c r="N169" i="456"/>
  <c r="I169" i="456"/>
  <c r="CW168" i="456"/>
  <c r="CS168" i="456"/>
  <c r="CO168" i="456"/>
  <c r="CM168" i="456"/>
  <c r="CE168" i="456"/>
  <c r="BU168" i="456"/>
  <c r="BS168" i="456"/>
  <c r="BO168" i="456"/>
  <c r="BI168" i="456"/>
  <c r="BA168" i="456"/>
  <c r="AU168" i="456"/>
  <c r="AQ168" i="456"/>
  <c r="AF168" i="456"/>
  <c r="AB168" i="456"/>
  <c r="X168" i="456"/>
  <c r="Q168" i="456"/>
  <c r="N168" i="456"/>
  <c r="I168" i="456"/>
  <c r="CS167" i="456"/>
  <c r="CW167" i="456"/>
  <c r="CO167" i="456"/>
  <c r="CM167" i="456"/>
  <c r="CE167" i="456"/>
  <c r="BU167" i="456"/>
  <c r="BS167" i="456"/>
  <c r="BO167" i="456"/>
  <c r="BI167" i="456"/>
  <c r="BA167" i="456"/>
  <c r="AU167" i="456"/>
  <c r="AQ167" i="456"/>
  <c r="AF167" i="456"/>
  <c r="AB167" i="456"/>
  <c r="X167" i="456"/>
  <c r="Q167" i="456"/>
  <c r="N167" i="456"/>
  <c r="I167" i="456"/>
  <c r="CW166" i="456"/>
  <c r="CS166" i="456"/>
  <c r="CO166" i="456"/>
  <c r="CM166" i="456"/>
  <c r="CE166" i="456"/>
  <c r="BU166" i="456"/>
  <c r="BS166" i="456"/>
  <c r="BO166" i="456"/>
  <c r="BI166" i="456"/>
  <c r="BA166" i="456"/>
  <c r="AU166" i="456"/>
  <c r="AQ166" i="456"/>
  <c r="AF166" i="456"/>
  <c r="AB166" i="456"/>
  <c r="X166" i="456"/>
  <c r="Q166" i="456"/>
  <c r="N166" i="456"/>
  <c r="I166" i="456"/>
  <c r="CW165" i="456"/>
  <c r="CS165" i="456"/>
  <c r="CO165" i="456"/>
  <c r="CM165" i="456"/>
  <c r="CE165" i="456"/>
  <c r="BU165" i="456"/>
  <c r="BS165" i="456"/>
  <c r="BO165" i="456"/>
  <c r="BI165" i="456"/>
  <c r="BA165" i="456"/>
  <c r="AU165" i="456"/>
  <c r="AQ165" i="456"/>
  <c r="AF165" i="456"/>
  <c r="AB165" i="456"/>
  <c r="X165" i="456"/>
  <c r="Q165" i="456"/>
  <c r="N165" i="456"/>
  <c r="I165" i="456"/>
  <c r="CW164" i="456"/>
  <c r="CS164" i="456"/>
  <c r="CO164" i="456"/>
  <c r="CM164" i="456"/>
  <c r="CE164" i="456"/>
  <c r="BU164" i="456"/>
  <c r="BS164" i="456"/>
  <c r="BO164" i="456"/>
  <c r="BI164" i="456"/>
  <c r="BA164" i="456"/>
  <c r="AU164" i="456"/>
  <c r="AQ164" i="456"/>
  <c r="AF164" i="456"/>
  <c r="AB164" i="456"/>
  <c r="X164" i="456"/>
  <c r="Q164" i="456"/>
  <c r="N164" i="456"/>
  <c r="I164" i="456"/>
  <c r="CW163" i="456"/>
  <c r="CS163" i="456"/>
  <c r="CO163" i="456"/>
  <c r="CM163" i="456"/>
  <c r="CE163" i="456"/>
  <c r="BU163" i="456"/>
  <c r="BS163" i="456"/>
  <c r="BO163" i="456"/>
  <c r="BI163" i="456"/>
  <c r="BA163" i="456"/>
  <c r="AU163" i="456"/>
  <c r="AQ163" i="456"/>
  <c r="AF163" i="456"/>
  <c r="AB163" i="456"/>
  <c r="X163" i="456"/>
  <c r="Q163" i="456"/>
  <c r="N163" i="456"/>
  <c r="I163" i="456"/>
  <c r="CW162" i="456"/>
  <c r="CS162" i="456"/>
  <c r="CO162" i="456"/>
  <c r="CM162" i="456"/>
  <c r="CE162" i="456"/>
  <c r="BU162" i="456"/>
  <c r="BS162" i="456"/>
  <c r="BO162" i="456"/>
  <c r="BI162" i="456"/>
  <c r="BA162" i="456"/>
  <c r="AU162" i="456"/>
  <c r="AQ162" i="456"/>
  <c r="AF162" i="456"/>
  <c r="AB162" i="456"/>
  <c r="X162" i="456"/>
  <c r="Q162" i="456"/>
  <c r="N162" i="456"/>
  <c r="I162" i="456"/>
  <c r="CS161" i="456"/>
  <c r="CW161" i="456"/>
  <c r="CO161" i="456"/>
  <c r="CM161" i="456"/>
  <c r="CE161" i="456"/>
  <c r="BU161" i="456"/>
  <c r="BS161" i="456"/>
  <c r="BO161" i="456"/>
  <c r="BI161" i="456"/>
  <c r="BA161" i="456"/>
  <c r="AU161" i="456"/>
  <c r="AQ161" i="456"/>
  <c r="AF161" i="456"/>
  <c r="AB161" i="456"/>
  <c r="X161" i="456"/>
  <c r="Q161" i="456"/>
  <c r="N161" i="456"/>
  <c r="I161" i="456"/>
  <c r="CW160" i="456"/>
  <c r="CS160" i="456"/>
  <c r="CO160" i="456"/>
  <c r="CM160" i="456"/>
  <c r="CE160" i="456"/>
  <c r="BU160" i="456"/>
  <c r="BS160" i="456"/>
  <c r="BO160" i="456"/>
  <c r="BI160" i="456"/>
  <c r="BA160" i="456"/>
  <c r="AU160" i="456"/>
  <c r="AQ160" i="456"/>
  <c r="AF160" i="456"/>
  <c r="AB160" i="456"/>
  <c r="X160" i="456"/>
  <c r="Q160" i="456"/>
  <c r="N160" i="456"/>
  <c r="I160" i="456"/>
  <c r="CS159" i="456"/>
  <c r="CW159" i="456"/>
  <c r="CO159" i="456"/>
  <c r="CM159" i="456"/>
  <c r="CE159" i="456"/>
  <c r="BU159" i="456"/>
  <c r="BS159" i="456"/>
  <c r="BO159" i="456"/>
  <c r="BI159" i="456"/>
  <c r="BA159" i="456"/>
  <c r="AU159" i="456"/>
  <c r="AQ159" i="456"/>
  <c r="AF159" i="456"/>
  <c r="AB159" i="456"/>
  <c r="X159" i="456"/>
  <c r="Q159" i="456"/>
  <c r="N159" i="456"/>
  <c r="I159" i="456"/>
  <c r="CW158" i="456"/>
  <c r="CS158" i="456"/>
  <c r="CO158" i="456"/>
  <c r="CM158" i="456"/>
  <c r="CE158" i="456"/>
  <c r="BU158" i="456"/>
  <c r="BS158" i="456"/>
  <c r="BO158" i="456"/>
  <c r="BI158" i="456"/>
  <c r="BA158" i="456"/>
  <c r="AU158" i="456"/>
  <c r="AQ158" i="456"/>
  <c r="AF158" i="456"/>
  <c r="AB158" i="456"/>
  <c r="X158" i="456"/>
  <c r="Q158" i="456"/>
  <c r="N158" i="456"/>
  <c r="I158" i="456"/>
  <c r="CW157" i="456"/>
  <c r="CS157" i="456"/>
  <c r="CO157" i="456"/>
  <c r="CM157" i="456"/>
  <c r="CE157" i="456"/>
  <c r="BU157" i="456"/>
  <c r="BS157" i="456"/>
  <c r="BO157" i="456"/>
  <c r="BI157" i="456"/>
  <c r="BA157" i="456"/>
  <c r="AU157" i="456"/>
  <c r="AQ157" i="456"/>
  <c r="AF157" i="456"/>
  <c r="AB157" i="456"/>
  <c r="X157" i="456"/>
  <c r="Q157" i="456"/>
  <c r="N157" i="456"/>
  <c r="I157" i="456"/>
  <c r="CW156" i="456"/>
  <c r="CS156" i="456"/>
  <c r="CO156" i="456"/>
  <c r="CM156" i="456"/>
  <c r="CE156" i="456"/>
  <c r="BU156" i="456"/>
  <c r="BS156" i="456"/>
  <c r="BO156" i="456"/>
  <c r="BI156" i="456"/>
  <c r="BA156" i="456"/>
  <c r="AU156" i="456"/>
  <c r="AQ156" i="456"/>
  <c r="AF156" i="456"/>
  <c r="AB156" i="456"/>
  <c r="X156" i="456"/>
  <c r="Q156" i="456"/>
  <c r="N156" i="456"/>
  <c r="I156" i="456"/>
  <c r="CW155" i="456"/>
  <c r="CS155" i="456"/>
  <c r="CO155" i="456"/>
  <c r="CM155" i="456"/>
  <c r="CE155" i="456"/>
  <c r="BU155" i="456"/>
  <c r="BS155" i="456"/>
  <c r="BO155" i="456"/>
  <c r="BI155" i="456"/>
  <c r="BA155" i="456"/>
  <c r="AU155" i="456"/>
  <c r="AQ155" i="456"/>
  <c r="AF155" i="456"/>
  <c r="AB155" i="456"/>
  <c r="X155" i="456"/>
  <c r="Q155" i="456"/>
  <c r="N155" i="456"/>
  <c r="I155" i="456"/>
  <c r="CW154" i="456"/>
  <c r="CS154" i="456"/>
  <c r="CO154" i="456"/>
  <c r="CM154" i="456"/>
  <c r="CE154" i="456"/>
  <c r="BU154" i="456"/>
  <c r="BS154" i="456"/>
  <c r="BO154" i="456"/>
  <c r="BI154" i="456"/>
  <c r="BA154" i="456"/>
  <c r="AU154" i="456"/>
  <c r="AQ154" i="456"/>
  <c r="AF154" i="456"/>
  <c r="AB154" i="456"/>
  <c r="X154" i="456"/>
  <c r="Q154" i="456"/>
  <c r="N154" i="456"/>
  <c r="I154" i="456"/>
  <c r="CS153" i="456"/>
  <c r="CW153" i="456"/>
  <c r="CO153" i="456"/>
  <c r="CM153" i="456"/>
  <c r="CE153" i="456"/>
  <c r="BU153" i="456"/>
  <c r="BS153" i="456"/>
  <c r="BO153" i="456"/>
  <c r="BI153" i="456"/>
  <c r="BA153" i="456"/>
  <c r="AU153" i="456"/>
  <c r="AQ153" i="456"/>
  <c r="AF153" i="456"/>
  <c r="AB153" i="456"/>
  <c r="X153" i="456"/>
  <c r="Q153" i="456"/>
  <c r="N153" i="456"/>
  <c r="I153" i="456"/>
  <c r="CW152" i="456"/>
  <c r="CS152" i="456"/>
  <c r="CO152" i="456"/>
  <c r="CM152" i="456"/>
  <c r="CE152" i="456"/>
  <c r="BU152" i="456"/>
  <c r="BS152" i="456"/>
  <c r="BO152" i="456"/>
  <c r="BI152" i="456"/>
  <c r="BA152" i="456"/>
  <c r="AU152" i="456"/>
  <c r="AQ152" i="456"/>
  <c r="AF152" i="456"/>
  <c r="AB152" i="456"/>
  <c r="X152" i="456"/>
  <c r="Q152" i="456"/>
  <c r="N152" i="456"/>
  <c r="I152" i="456"/>
  <c r="CS151" i="456"/>
  <c r="CW151" i="456"/>
  <c r="CO151" i="456"/>
  <c r="CM151" i="456"/>
  <c r="CE151" i="456"/>
  <c r="BU151" i="456"/>
  <c r="BS151" i="456"/>
  <c r="BO151" i="456"/>
  <c r="BI151" i="456"/>
  <c r="BA151" i="456"/>
  <c r="AU151" i="456"/>
  <c r="AQ151" i="456"/>
  <c r="AF151" i="456"/>
  <c r="AB151" i="456"/>
  <c r="X151" i="456"/>
  <c r="Q151" i="456"/>
  <c r="N151" i="456"/>
  <c r="I151" i="456"/>
  <c r="CW149" i="456"/>
  <c r="CS149" i="456"/>
  <c r="CO149" i="456"/>
  <c r="CM149" i="456"/>
  <c r="CE149" i="456"/>
  <c r="BU149" i="456"/>
  <c r="BS149" i="456"/>
  <c r="BO149" i="456"/>
  <c r="BI149" i="456"/>
  <c r="BA149" i="456"/>
  <c r="AU149" i="456"/>
  <c r="AQ149" i="456"/>
  <c r="AF149" i="456"/>
  <c r="AB149" i="456"/>
  <c r="X149" i="456"/>
  <c r="Q149" i="456"/>
  <c r="N149" i="456"/>
  <c r="I149" i="456"/>
  <c r="CW148" i="456"/>
  <c r="CS148" i="456"/>
  <c r="CO148" i="456"/>
  <c r="CM148" i="456"/>
  <c r="CE148" i="456"/>
  <c r="BU148" i="456"/>
  <c r="BS148" i="456"/>
  <c r="BO148" i="456"/>
  <c r="BI148" i="456"/>
  <c r="BA148" i="456"/>
  <c r="AU148" i="456"/>
  <c r="AQ148" i="456"/>
  <c r="AF148" i="456"/>
  <c r="AB148" i="456"/>
  <c r="X148" i="456"/>
  <c r="Q148" i="456"/>
  <c r="N148" i="456"/>
  <c r="I148" i="456"/>
  <c r="CW147" i="456"/>
  <c r="CS147" i="456"/>
  <c r="CO147" i="456"/>
  <c r="CM147" i="456"/>
  <c r="CE147" i="456"/>
  <c r="BU147" i="456"/>
  <c r="BS147" i="456"/>
  <c r="BO147" i="456"/>
  <c r="BI147" i="456"/>
  <c r="BA147" i="456"/>
  <c r="AU147" i="456"/>
  <c r="AQ147" i="456"/>
  <c r="AF147" i="456"/>
  <c r="AB147" i="456"/>
  <c r="X147" i="456"/>
  <c r="Q147" i="456"/>
  <c r="N147" i="456"/>
  <c r="I147" i="456"/>
  <c r="CS146" i="456"/>
  <c r="CW146" i="456"/>
  <c r="CO146" i="456"/>
  <c r="CM146" i="456"/>
  <c r="CE146" i="456"/>
  <c r="BU146" i="456"/>
  <c r="BS146" i="456"/>
  <c r="BO146" i="456"/>
  <c r="BI146" i="456"/>
  <c r="BA146" i="456"/>
  <c r="AU146" i="456"/>
  <c r="AQ146" i="456"/>
  <c r="AF146" i="456"/>
  <c r="AB146" i="456"/>
  <c r="X146" i="456"/>
  <c r="Q146" i="456"/>
  <c r="N146" i="456"/>
  <c r="I146" i="456"/>
  <c r="CW145" i="456"/>
  <c r="CS145" i="456"/>
  <c r="CO145" i="456"/>
  <c r="CM145" i="456"/>
  <c r="CE145" i="456"/>
  <c r="BU145" i="456"/>
  <c r="BS145" i="456"/>
  <c r="BO145" i="456"/>
  <c r="BI145" i="456"/>
  <c r="BA145" i="456"/>
  <c r="AU145" i="456"/>
  <c r="AQ145" i="456"/>
  <c r="AF145" i="456"/>
  <c r="AB145" i="456"/>
  <c r="X145" i="456"/>
  <c r="Q145" i="456"/>
  <c r="N145" i="456"/>
  <c r="I145" i="456"/>
  <c r="CS144" i="456"/>
  <c r="CW144" i="456"/>
  <c r="CO144" i="456"/>
  <c r="CM144" i="456"/>
  <c r="CE144" i="456"/>
  <c r="BU144" i="456"/>
  <c r="BS144" i="456"/>
  <c r="BO144" i="456"/>
  <c r="BI144" i="456"/>
  <c r="BA144" i="456"/>
  <c r="AU144" i="456"/>
  <c r="AQ144" i="456"/>
  <c r="AF144" i="456"/>
  <c r="AB144" i="456"/>
  <c r="X144" i="456"/>
  <c r="Q144" i="456"/>
  <c r="N144" i="456"/>
  <c r="I144" i="456"/>
  <c r="CS143" i="456"/>
  <c r="CW143" i="456"/>
  <c r="CO143" i="456"/>
  <c r="CM143" i="456"/>
  <c r="CE143" i="456"/>
  <c r="BU143" i="456"/>
  <c r="BS143" i="456"/>
  <c r="BO143" i="456"/>
  <c r="BI143" i="456"/>
  <c r="BA143" i="456"/>
  <c r="AU143" i="456"/>
  <c r="AQ143" i="456"/>
  <c r="AF143" i="456"/>
  <c r="AB143" i="456"/>
  <c r="X143" i="456"/>
  <c r="Q143" i="456"/>
  <c r="N143" i="456"/>
  <c r="I143" i="456"/>
  <c r="CW142" i="456"/>
  <c r="CS142" i="456"/>
  <c r="CO142" i="456"/>
  <c r="CM142" i="456"/>
  <c r="CE142" i="456"/>
  <c r="BU142" i="456"/>
  <c r="BS142" i="456"/>
  <c r="BO142" i="456"/>
  <c r="BI142" i="456"/>
  <c r="BA142" i="456"/>
  <c r="AU142" i="456"/>
  <c r="AQ142" i="456"/>
  <c r="AF142" i="456"/>
  <c r="AB142" i="456"/>
  <c r="X142" i="456"/>
  <c r="Q142" i="456"/>
  <c r="N142" i="456"/>
  <c r="I142" i="456"/>
  <c r="CW141" i="456"/>
  <c r="CS141" i="456"/>
  <c r="CO141" i="456"/>
  <c r="CM141" i="456"/>
  <c r="CE141" i="456"/>
  <c r="BU141" i="456"/>
  <c r="BS141" i="456"/>
  <c r="BO141" i="456"/>
  <c r="BI141" i="456"/>
  <c r="BA141" i="456"/>
  <c r="AU141" i="456"/>
  <c r="AQ141" i="456"/>
  <c r="AF141" i="456"/>
  <c r="AB141" i="456"/>
  <c r="X141" i="456"/>
  <c r="Q141" i="456"/>
  <c r="N141" i="456"/>
  <c r="I141" i="456"/>
  <c r="CW140" i="456"/>
  <c r="CS140" i="456"/>
  <c r="CO140" i="456"/>
  <c r="CM140" i="456"/>
  <c r="CE140" i="456"/>
  <c r="BU140" i="456"/>
  <c r="BS140" i="456"/>
  <c r="BO140" i="456"/>
  <c r="BI140" i="456"/>
  <c r="BA140" i="456"/>
  <c r="AU140" i="456"/>
  <c r="AQ140" i="456"/>
  <c r="AF140" i="456"/>
  <c r="AB140" i="456"/>
  <c r="X140" i="456"/>
  <c r="Q140" i="456"/>
  <c r="N140" i="456"/>
  <c r="I140" i="456"/>
  <c r="CW139" i="456"/>
  <c r="CS139" i="456"/>
  <c r="CO139" i="456"/>
  <c r="CM139" i="456"/>
  <c r="CE139" i="456"/>
  <c r="BU139" i="456"/>
  <c r="BS139" i="456"/>
  <c r="BO139" i="456"/>
  <c r="BI139" i="456"/>
  <c r="BA139" i="456"/>
  <c r="AU139" i="456"/>
  <c r="AQ139" i="456"/>
  <c r="AF139" i="456"/>
  <c r="AB139" i="456"/>
  <c r="X139" i="456"/>
  <c r="Q139" i="456"/>
  <c r="N139" i="456"/>
  <c r="I139" i="456"/>
  <c r="CW138" i="456"/>
  <c r="CS138" i="456"/>
  <c r="CO138" i="456"/>
  <c r="CM138" i="456"/>
  <c r="CE138" i="456"/>
  <c r="BU138" i="456"/>
  <c r="BS138" i="456"/>
  <c r="BO138" i="456"/>
  <c r="BI138" i="456"/>
  <c r="BA138" i="456"/>
  <c r="AU138" i="456"/>
  <c r="AQ138" i="456"/>
  <c r="AF138" i="456"/>
  <c r="AB138" i="456"/>
  <c r="X138" i="456"/>
  <c r="Q138" i="456"/>
  <c r="N138" i="456"/>
  <c r="I138" i="456"/>
  <c r="CW137" i="456"/>
  <c r="CS137" i="456"/>
  <c r="CO137" i="456"/>
  <c r="CM137" i="456"/>
  <c r="CE137" i="456"/>
  <c r="BU137" i="456"/>
  <c r="BS137" i="456"/>
  <c r="BO137" i="456"/>
  <c r="BI137" i="456"/>
  <c r="BA137" i="456"/>
  <c r="AU137" i="456"/>
  <c r="AQ137" i="456"/>
  <c r="AF137" i="456"/>
  <c r="AB137" i="456"/>
  <c r="X137" i="456"/>
  <c r="Q137" i="456"/>
  <c r="N137" i="456"/>
  <c r="I137" i="456"/>
  <c r="CW135" i="456"/>
  <c r="CS135" i="456"/>
  <c r="CO135" i="456"/>
  <c r="CM135" i="456"/>
  <c r="CE135" i="456"/>
  <c r="BU135" i="456"/>
  <c r="BS135" i="456"/>
  <c r="BO135" i="456"/>
  <c r="BI135" i="456"/>
  <c r="BA135" i="456"/>
  <c r="AU135" i="456"/>
  <c r="AQ135" i="456"/>
  <c r="AF135" i="456"/>
  <c r="AB135" i="456"/>
  <c r="X135" i="456"/>
  <c r="Q135" i="456"/>
  <c r="N135" i="456"/>
  <c r="I135" i="456"/>
  <c r="CS134" i="456"/>
  <c r="CW134" i="456"/>
  <c r="CO134" i="456"/>
  <c r="CM134" i="456"/>
  <c r="CE134" i="456"/>
  <c r="BU134" i="456"/>
  <c r="BS134" i="456"/>
  <c r="BO134" i="456"/>
  <c r="BI134" i="456"/>
  <c r="BA134" i="456"/>
  <c r="AU134" i="456"/>
  <c r="AQ134" i="456"/>
  <c r="AF134" i="456"/>
  <c r="AB134" i="456"/>
  <c r="X134" i="456"/>
  <c r="Q134" i="456"/>
  <c r="N134" i="456"/>
  <c r="I134" i="456"/>
  <c r="CW133" i="456"/>
  <c r="CS133" i="456"/>
  <c r="CO133" i="456"/>
  <c r="CM133" i="456"/>
  <c r="CE133" i="456"/>
  <c r="BU133" i="456"/>
  <c r="BS133" i="456"/>
  <c r="BO133" i="456"/>
  <c r="BI133" i="456"/>
  <c r="BA133" i="456"/>
  <c r="AU133" i="456"/>
  <c r="AQ133" i="456"/>
  <c r="AF133" i="456"/>
  <c r="AB133" i="456"/>
  <c r="X133" i="456"/>
  <c r="Q133" i="456"/>
  <c r="N133" i="456"/>
  <c r="I133" i="456"/>
  <c r="CW132" i="456"/>
  <c r="CS132" i="456"/>
  <c r="CO132" i="456"/>
  <c r="CM132" i="456"/>
  <c r="CE132" i="456"/>
  <c r="BU132" i="456"/>
  <c r="BS132" i="456"/>
  <c r="BO132" i="456"/>
  <c r="BI132" i="456"/>
  <c r="BA132" i="456"/>
  <c r="AU132" i="456"/>
  <c r="AQ132" i="456"/>
  <c r="AF132" i="456"/>
  <c r="AB132" i="456"/>
  <c r="X132" i="456"/>
  <c r="Q132" i="456"/>
  <c r="N132" i="456"/>
  <c r="I132" i="456"/>
  <c r="CS131" i="456"/>
  <c r="CW131" i="456"/>
  <c r="CO131" i="456"/>
  <c r="CM131" i="456"/>
  <c r="CE131" i="456"/>
  <c r="BU131" i="456"/>
  <c r="BS131" i="456"/>
  <c r="BO131" i="456"/>
  <c r="BI131" i="456"/>
  <c r="BA131" i="456"/>
  <c r="AU131" i="456"/>
  <c r="AQ131" i="456"/>
  <c r="AF131" i="456"/>
  <c r="AB131" i="456"/>
  <c r="X131" i="456"/>
  <c r="Q131" i="456"/>
  <c r="N131" i="456"/>
  <c r="I131" i="456"/>
  <c r="CW130" i="456"/>
  <c r="CS130" i="456"/>
  <c r="CO130" i="456"/>
  <c r="CM130" i="456"/>
  <c r="CE130" i="456"/>
  <c r="BU130" i="456"/>
  <c r="BS130" i="456"/>
  <c r="BO130" i="456"/>
  <c r="BI130" i="456"/>
  <c r="BA130" i="456"/>
  <c r="AU130" i="456"/>
  <c r="AQ130" i="456"/>
  <c r="AF130" i="456"/>
  <c r="AB130" i="456"/>
  <c r="X130" i="456"/>
  <c r="Q130" i="456"/>
  <c r="N130" i="456"/>
  <c r="I130" i="456"/>
  <c r="CS129" i="456"/>
  <c r="CW129" i="456"/>
  <c r="CO129" i="456"/>
  <c r="CM129" i="456"/>
  <c r="CE129" i="456"/>
  <c r="BU129" i="456"/>
  <c r="BS129" i="456"/>
  <c r="BO129" i="456"/>
  <c r="BI129" i="456"/>
  <c r="BA129" i="456"/>
  <c r="AU129" i="456"/>
  <c r="AQ129" i="456"/>
  <c r="AF129" i="456"/>
  <c r="AB129" i="456"/>
  <c r="X129" i="456"/>
  <c r="Q129" i="456"/>
  <c r="N129" i="456"/>
  <c r="I129" i="456"/>
  <c r="CW128" i="456"/>
  <c r="CS128" i="456"/>
  <c r="CO128" i="456"/>
  <c r="CM128" i="456"/>
  <c r="CE128" i="456"/>
  <c r="BU128" i="456"/>
  <c r="BS128" i="456"/>
  <c r="BO128" i="456"/>
  <c r="BI128" i="456"/>
  <c r="BA128" i="456"/>
  <c r="AU128" i="456"/>
  <c r="AQ128" i="456"/>
  <c r="AF128" i="456"/>
  <c r="AB128" i="456"/>
  <c r="X128" i="456"/>
  <c r="Q128" i="456"/>
  <c r="N128" i="456"/>
  <c r="I128" i="456"/>
  <c r="CS127" i="456"/>
  <c r="CW127" i="456"/>
  <c r="CO127" i="456"/>
  <c r="CM127" i="456"/>
  <c r="CE127" i="456"/>
  <c r="BU127" i="456"/>
  <c r="BS127" i="456"/>
  <c r="BO127" i="456"/>
  <c r="BI127" i="456"/>
  <c r="BA127" i="456"/>
  <c r="AU127" i="456"/>
  <c r="AQ127" i="456"/>
  <c r="AF127" i="456"/>
  <c r="AB127" i="456"/>
  <c r="X127" i="456"/>
  <c r="Q127" i="456"/>
  <c r="N127" i="456"/>
  <c r="I127" i="456"/>
  <c r="CS126" i="456"/>
  <c r="CW126" i="456"/>
  <c r="CO126" i="456"/>
  <c r="CM126" i="456"/>
  <c r="CE126" i="456"/>
  <c r="BU126" i="456"/>
  <c r="BS126" i="456"/>
  <c r="BO126" i="456"/>
  <c r="BI126" i="456"/>
  <c r="BA126" i="456"/>
  <c r="AU126" i="456"/>
  <c r="AQ126" i="456"/>
  <c r="AF126" i="456"/>
  <c r="AB126" i="456"/>
  <c r="X126" i="456"/>
  <c r="Q126" i="456"/>
  <c r="N126" i="456"/>
  <c r="I126" i="456"/>
  <c r="CW125" i="456"/>
  <c r="CS125" i="456"/>
  <c r="CO125" i="456"/>
  <c r="CM125" i="456"/>
  <c r="CE125" i="456"/>
  <c r="BU125" i="456"/>
  <c r="BS125" i="456"/>
  <c r="BO125" i="456"/>
  <c r="BI125" i="456"/>
  <c r="BA125" i="456"/>
  <c r="AU125" i="456"/>
  <c r="AQ125" i="456"/>
  <c r="AF125" i="456"/>
  <c r="AB125" i="456"/>
  <c r="X125" i="456"/>
  <c r="Q125" i="456"/>
  <c r="N125" i="456"/>
  <c r="I125" i="456"/>
  <c r="CW124" i="456"/>
  <c r="CS124" i="456"/>
  <c r="CO124" i="456"/>
  <c r="CM124" i="456"/>
  <c r="CE124" i="456"/>
  <c r="BU124" i="456"/>
  <c r="BS124" i="456"/>
  <c r="BO124" i="456"/>
  <c r="BI124" i="456"/>
  <c r="BA124" i="456"/>
  <c r="AU124" i="456"/>
  <c r="AQ124" i="456"/>
  <c r="AF124" i="456"/>
  <c r="AB124" i="456"/>
  <c r="X124" i="456"/>
  <c r="Q124" i="456"/>
  <c r="N124" i="456"/>
  <c r="I124" i="456"/>
  <c r="CS123" i="456"/>
  <c r="CW123" i="456"/>
  <c r="CO123" i="456"/>
  <c r="CM123" i="456"/>
  <c r="CE123" i="456"/>
  <c r="BU123" i="456"/>
  <c r="BS123" i="456"/>
  <c r="BO123" i="456"/>
  <c r="BI123" i="456"/>
  <c r="BA123" i="456"/>
  <c r="AU123" i="456"/>
  <c r="AQ123" i="456"/>
  <c r="AF123" i="456"/>
  <c r="AB123" i="456"/>
  <c r="X123" i="456"/>
  <c r="Q123" i="456"/>
  <c r="N123" i="456"/>
  <c r="I123" i="456"/>
  <c r="CW122" i="456"/>
  <c r="CS122" i="456"/>
  <c r="CO122" i="456"/>
  <c r="CM122" i="456"/>
  <c r="CE122" i="456"/>
  <c r="BU122" i="456"/>
  <c r="BS122" i="456"/>
  <c r="BO122" i="456"/>
  <c r="BI122" i="456"/>
  <c r="BA122" i="456"/>
  <c r="AU122" i="456"/>
  <c r="AQ122" i="456"/>
  <c r="AF122" i="456"/>
  <c r="AB122" i="456"/>
  <c r="X122" i="456"/>
  <c r="Q122" i="456"/>
  <c r="N122" i="456"/>
  <c r="I122" i="456"/>
  <c r="CW121" i="456"/>
  <c r="CS121" i="456"/>
  <c r="CO121" i="456"/>
  <c r="CM121" i="456"/>
  <c r="CE121" i="456"/>
  <c r="BU121" i="456"/>
  <c r="BS121" i="456"/>
  <c r="BO121" i="456"/>
  <c r="BI121" i="456"/>
  <c r="BA121" i="456"/>
  <c r="AU121" i="456"/>
  <c r="AQ121" i="456"/>
  <c r="AF121" i="456"/>
  <c r="AB121" i="456"/>
  <c r="X121" i="456"/>
  <c r="Q121" i="456"/>
  <c r="N121" i="456"/>
  <c r="I121" i="456"/>
  <c r="CW120" i="456"/>
  <c r="CS120" i="456"/>
  <c r="CO120" i="456"/>
  <c r="CM120" i="456"/>
  <c r="CE120" i="456"/>
  <c r="BU120" i="456"/>
  <c r="BS120" i="456"/>
  <c r="BO120" i="456"/>
  <c r="BI120" i="456"/>
  <c r="BA120" i="456"/>
  <c r="AU120" i="456"/>
  <c r="AQ120" i="456"/>
  <c r="AF120" i="456"/>
  <c r="AB120" i="456"/>
  <c r="X120" i="456"/>
  <c r="Q120" i="456"/>
  <c r="N120" i="456"/>
  <c r="I120" i="456"/>
  <c r="CW119" i="456"/>
  <c r="CS119" i="456"/>
  <c r="CO119" i="456"/>
  <c r="CM119" i="456"/>
  <c r="CE119" i="456"/>
  <c r="BU119" i="456"/>
  <c r="BS119" i="456"/>
  <c r="BO119" i="456"/>
  <c r="BI119" i="456"/>
  <c r="BA119" i="456"/>
  <c r="AU119" i="456"/>
  <c r="AQ119" i="456"/>
  <c r="AF119" i="456"/>
  <c r="AB119" i="456"/>
  <c r="X119" i="456"/>
  <c r="Q119" i="456"/>
  <c r="N119" i="456"/>
  <c r="I119" i="456"/>
  <c r="CS118" i="456"/>
  <c r="CW118" i="456"/>
  <c r="CO118" i="456"/>
  <c r="CM118" i="456"/>
  <c r="CE118" i="456"/>
  <c r="BU118" i="456"/>
  <c r="BS118" i="456"/>
  <c r="BO118" i="456"/>
  <c r="BI118" i="456"/>
  <c r="BA118" i="456"/>
  <c r="AU118" i="456"/>
  <c r="AQ118" i="456"/>
  <c r="AF118" i="456"/>
  <c r="AB118" i="456"/>
  <c r="X118" i="456"/>
  <c r="Q118" i="456"/>
  <c r="N118" i="456"/>
  <c r="I118" i="456"/>
  <c r="CW116" i="456"/>
  <c r="CS116" i="456"/>
  <c r="CO116" i="456"/>
  <c r="CM116" i="456"/>
  <c r="CE116" i="456"/>
  <c r="BU116" i="456"/>
  <c r="BS116" i="456"/>
  <c r="BO116" i="456"/>
  <c r="BI116" i="456"/>
  <c r="BA116" i="456"/>
  <c r="AU116" i="456"/>
  <c r="AQ116" i="456"/>
  <c r="AF116" i="456"/>
  <c r="AB116" i="456"/>
  <c r="X116" i="456"/>
  <c r="Q116" i="456"/>
  <c r="N116" i="456"/>
  <c r="I116" i="456"/>
  <c r="CW115" i="456"/>
  <c r="CS115" i="456"/>
  <c r="CO115" i="456"/>
  <c r="CM115" i="456"/>
  <c r="CE115" i="456"/>
  <c r="BU115" i="456"/>
  <c r="BS115" i="456"/>
  <c r="BO115" i="456"/>
  <c r="BI115" i="456"/>
  <c r="BA115" i="456"/>
  <c r="AU115" i="456"/>
  <c r="AQ115" i="456"/>
  <c r="AF115" i="456"/>
  <c r="I115" i="456"/>
  <c r="N115" i="456"/>
  <c r="Q115" i="456"/>
  <c r="X115" i="456"/>
  <c r="AB115" i="456"/>
  <c r="CS114" i="456"/>
  <c r="CW114" i="456"/>
  <c r="CO114" i="456"/>
  <c r="CM114" i="456"/>
  <c r="CE114" i="456"/>
  <c r="BU114" i="456"/>
  <c r="BS114" i="456"/>
  <c r="BO114" i="456"/>
  <c r="BI114" i="456"/>
  <c r="BA114" i="456"/>
  <c r="AU114" i="456"/>
  <c r="AQ114" i="456"/>
  <c r="AF114" i="456"/>
  <c r="AB114" i="456"/>
  <c r="X114" i="456"/>
  <c r="Q114" i="456"/>
  <c r="N114" i="456"/>
  <c r="I114" i="456"/>
  <c r="CW113" i="456"/>
  <c r="CS113" i="456"/>
  <c r="CO113" i="456"/>
  <c r="CM113" i="456"/>
  <c r="CE113" i="456"/>
  <c r="BU113" i="456"/>
  <c r="BS113" i="456"/>
  <c r="BO113" i="456"/>
  <c r="BI113" i="456"/>
  <c r="BA113" i="456"/>
  <c r="AU113" i="456"/>
  <c r="AQ113" i="456"/>
  <c r="AF113" i="456"/>
  <c r="AB113" i="456"/>
  <c r="X113" i="456"/>
  <c r="Q113" i="456"/>
  <c r="N113" i="456"/>
  <c r="I113" i="456"/>
  <c r="CW112" i="456"/>
  <c r="CS112" i="456"/>
  <c r="CO112" i="456"/>
  <c r="CM112" i="456"/>
  <c r="CE112" i="456"/>
  <c r="BU112" i="456"/>
  <c r="BS112" i="456"/>
  <c r="BO112" i="456"/>
  <c r="BI112" i="456"/>
  <c r="BA112" i="456"/>
  <c r="AU112" i="456"/>
  <c r="AQ112" i="456"/>
  <c r="AF112" i="456"/>
  <c r="AB112" i="456"/>
  <c r="X112" i="456"/>
  <c r="Q112" i="456"/>
  <c r="N112" i="456"/>
  <c r="I112" i="456"/>
  <c r="CW111" i="456"/>
  <c r="CS111" i="456"/>
  <c r="CO111" i="456"/>
  <c r="CM111" i="456"/>
  <c r="CE111" i="456"/>
  <c r="BU111" i="456"/>
  <c r="BS111" i="456"/>
  <c r="BO111" i="456"/>
  <c r="BI111" i="456"/>
  <c r="BA111" i="456"/>
  <c r="AU111" i="456"/>
  <c r="AQ111" i="456"/>
  <c r="AF111" i="456"/>
  <c r="AB111" i="456"/>
  <c r="X111" i="456"/>
  <c r="Q111" i="456"/>
  <c r="N111" i="456"/>
  <c r="I111" i="456"/>
  <c r="CS110" i="456"/>
  <c r="CW110" i="456"/>
  <c r="CO110" i="456"/>
  <c r="CM110" i="456"/>
  <c r="CE110" i="456"/>
  <c r="BU110" i="456"/>
  <c r="BS110" i="456"/>
  <c r="BO110" i="456"/>
  <c r="BI110" i="456"/>
  <c r="BA110" i="456"/>
  <c r="AU110" i="456"/>
  <c r="AQ110" i="456"/>
  <c r="AF110" i="456"/>
  <c r="AB110" i="456"/>
  <c r="X110" i="456"/>
  <c r="Q110" i="456"/>
  <c r="N110" i="456"/>
  <c r="I110" i="456"/>
  <c r="CS109" i="456"/>
  <c r="CW109" i="456"/>
  <c r="CO109" i="456"/>
  <c r="CM109" i="456"/>
  <c r="CE109" i="456"/>
  <c r="BU109" i="456"/>
  <c r="BS109" i="456"/>
  <c r="BO109" i="456"/>
  <c r="BI109" i="456"/>
  <c r="BA109" i="456"/>
  <c r="AU109" i="456"/>
  <c r="AQ109" i="456"/>
  <c r="AF109" i="456"/>
  <c r="AB109" i="456"/>
  <c r="X109" i="456"/>
  <c r="Q109" i="456"/>
  <c r="N109" i="456"/>
  <c r="I109" i="456"/>
  <c r="CW108" i="456"/>
  <c r="CS108" i="456"/>
  <c r="CO108" i="456"/>
  <c r="CM108" i="456"/>
  <c r="CE108" i="456"/>
  <c r="BU108" i="456"/>
  <c r="BS108" i="456"/>
  <c r="BO108" i="456"/>
  <c r="BI108" i="456"/>
  <c r="BA108" i="456"/>
  <c r="AU108" i="456"/>
  <c r="AQ108" i="456"/>
  <c r="AF108" i="456"/>
  <c r="AB108" i="456"/>
  <c r="X108" i="456"/>
  <c r="Q108" i="456"/>
  <c r="N108" i="456"/>
  <c r="I108" i="456"/>
  <c r="CW107" i="456"/>
  <c r="CS107" i="456"/>
  <c r="CO107" i="456"/>
  <c r="CM107" i="456"/>
  <c r="CE107" i="456"/>
  <c r="BU107" i="456"/>
  <c r="BS107" i="456"/>
  <c r="BO107" i="456"/>
  <c r="BI107" i="456"/>
  <c r="BA107" i="456"/>
  <c r="AU107" i="456"/>
  <c r="AQ107" i="456"/>
  <c r="AF107" i="456"/>
  <c r="I107" i="456"/>
  <c r="N107" i="456"/>
  <c r="Q107" i="456"/>
  <c r="X107" i="456"/>
  <c r="AB107" i="456"/>
  <c r="CS106" i="456"/>
  <c r="CW106" i="456"/>
  <c r="CO106" i="456"/>
  <c r="CM106" i="456"/>
  <c r="CE106" i="456"/>
  <c r="BU106" i="456"/>
  <c r="BS106" i="456"/>
  <c r="BO106" i="456"/>
  <c r="BI106" i="456"/>
  <c r="BA106" i="456"/>
  <c r="AU106" i="456"/>
  <c r="AQ106" i="456"/>
  <c r="AF106" i="456"/>
  <c r="AB106" i="456"/>
  <c r="X106" i="456"/>
  <c r="Q106" i="456"/>
  <c r="N106" i="456"/>
  <c r="I106" i="456"/>
  <c r="CW105" i="456"/>
  <c r="CS105" i="456"/>
  <c r="CO105" i="456"/>
  <c r="CM105" i="456"/>
  <c r="CE105" i="456"/>
  <c r="BU105" i="456"/>
  <c r="BS105" i="456"/>
  <c r="BO105" i="456"/>
  <c r="BI105" i="456"/>
  <c r="BA105" i="456"/>
  <c r="AU105" i="456"/>
  <c r="AQ105" i="456"/>
  <c r="AF105" i="456"/>
  <c r="AB105" i="456"/>
  <c r="X105" i="456"/>
  <c r="Q105" i="456"/>
  <c r="N105" i="456"/>
  <c r="I105" i="456"/>
  <c r="CW104" i="456"/>
  <c r="CS104" i="456"/>
  <c r="CO104" i="456"/>
  <c r="CM104" i="456"/>
  <c r="CE104" i="456"/>
  <c r="BU104" i="456"/>
  <c r="BS104" i="456"/>
  <c r="BO104" i="456"/>
  <c r="BI104" i="456"/>
  <c r="BA104" i="456"/>
  <c r="AU104" i="456"/>
  <c r="AQ104" i="456"/>
  <c r="AF104" i="456"/>
  <c r="AB104" i="456"/>
  <c r="X104" i="456"/>
  <c r="Q104" i="456"/>
  <c r="N104" i="456"/>
  <c r="I104" i="456"/>
  <c r="CW103" i="456"/>
  <c r="CS103" i="456"/>
  <c r="CO103" i="456"/>
  <c r="CM103" i="456"/>
  <c r="CE103" i="456"/>
  <c r="BU103" i="456"/>
  <c r="BS103" i="456"/>
  <c r="BO103" i="456"/>
  <c r="BI103" i="456"/>
  <c r="BA103" i="456"/>
  <c r="AU103" i="456"/>
  <c r="AQ103" i="456"/>
  <c r="AF103" i="456"/>
  <c r="AB103" i="456"/>
  <c r="X103" i="456"/>
  <c r="Q103" i="456"/>
  <c r="N103" i="456"/>
  <c r="I103" i="456"/>
  <c r="CW102" i="456"/>
  <c r="CS102" i="456"/>
  <c r="CO102" i="456"/>
  <c r="CM102" i="456"/>
  <c r="CE102" i="456"/>
  <c r="BU102" i="456"/>
  <c r="BS102" i="456"/>
  <c r="BO102" i="456"/>
  <c r="I102" i="456"/>
  <c r="N102" i="456"/>
  <c r="Q102" i="456"/>
  <c r="X102" i="456"/>
  <c r="AB102" i="456"/>
  <c r="AF102" i="456"/>
  <c r="AQ102" i="456"/>
  <c r="AU102" i="456"/>
  <c r="BA102" i="456"/>
  <c r="BI102" i="456"/>
  <c r="CS99" i="456"/>
  <c r="CW99" i="456"/>
  <c r="CO99" i="456"/>
  <c r="CM99" i="456"/>
  <c r="CE99" i="456"/>
  <c r="BU99" i="456"/>
  <c r="BS99" i="456"/>
  <c r="BO99" i="456"/>
  <c r="C28" i="460"/>
  <c r="AJ28" i="460"/>
  <c r="BI99" i="456"/>
  <c r="BA99" i="456"/>
  <c r="AU99" i="456"/>
  <c r="AQ99" i="456"/>
  <c r="AF99" i="456"/>
  <c r="AB99" i="456"/>
  <c r="X99" i="456"/>
  <c r="Q99" i="456"/>
  <c r="N99" i="456"/>
  <c r="I99" i="456"/>
  <c r="C28" i="458"/>
  <c r="BJ98" i="456"/>
  <c r="CW97" i="456"/>
  <c r="CS97" i="456"/>
  <c r="CO97" i="456"/>
  <c r="CM97" i="456"/>
  <c r="CE97" i="456"/>
  <c r="BU97" i="456"/>
  <c r="BS97" i="456"/>
  <c r="BO97" i="456"/>
  <c r="BI97" i="456"/>
  <c r="BA97" i="456"/>
  <c r="AU97" i="456"/>
  <c r="AQ97" i="456"/>
  <c r="AF97" i="456"/>
  <c r="AB97" i="456"/>
  <c r="X97" i="456"/>
  <c r="Q97" i="456"/>
  <c r="N97" i="456"/>
  <c r="I97" i="456"/>
  <c r="CW96" i="456"/>
  <c r="CS96" i="456"/>
  <c r="CO96" i="456"/>
  <c r="CM96" i="456"/>
  <c r="CE96" i="456"/>
  <c r="BU96" i="456"/>
  <c r="BS96" i="456"/>
  <c r="BO96" i="456"/>
  <c r="BI96" i="456"/>
  <c r="BA96" i="456"/>
  <c r="AU96" i="456"/>
  <c r="AQ96" i="456"/>
  <c r="AF96" i="456"/>
  <c r="AB96" i="456"/>
  <c r="X96" i="456"/>
  <c r="Q96" i="456"/>
  <c r="N96" i="456"/>
  <c r="C42" i="458"/>
  <c r="X42" i="458"/>
  <c r="I96" i="456"/>
  <c r="CW93" i="456"/>
  <c r="CW92" i="456"/>
  <c r="CS94" i="456"/>
  <c r="CW94" i="456"/>
  <c r="CO94" i="456"/>
  <c r="CM94" i="456"/>
  <c r="CE94" i="456"/>
  <c r="BU94" i="456"/>
  <c r="BS94" i="456"/>
  <c r="BO94" i="456"/>
  <c r="BI94" i="456"/>
  <c r="BA94" i="456"/>
  <c r="AU94" i="456"/>
  <c r="AQ94" i="456"/>
  <c r="AF94" i="456"/>
  <c r="AB94" i="456"/>
  <c r="X94" i="456"/>
  <c r="Q94" i="456"/>
  <c r="N94" i="456"/>
  <c r="I94" i="456"/>
  <c r="CR93" i="456"/>
  <c r="CS93" i="456"/>
  <c r="CX93" i="456"/>
  <c r="CO93" i="456"/>
  <c r="C93" i="460"/>
  <c r="AJ93" i="460"/>
  <c r="CM93" i="456"/>
  <c r="C80" i="460"/>
  <c r="AJ80" i="460"/>
  <c r="CE93" i="456"/>
  <c r="C67" i="460"/>
  <c r="AJ67" i="460"/>
  <c r="BU93" i="456"/>
  <c r="C54" i="460"/>
  <c r="AD54" i="460"/>
  <c r="BS93" i="456"/>
  <c r="C41" i="460"/>
  <c r="AD41" i="460"/>
  <c r="BO93" i="456"/>
  <c r="C27" i="460"/>
  <c r="AD27" i="460"/>
  <c r="BI93" i="456"/>
  <c r="BA93" i="456"/>
  <c r="AU93" i="456"/>
  <c r="AQ93" i="456"/>
  <c r="AF93" i="456"/>
  <c r="AB93" i="456"/>
  <c r="C81" i="458"/>
  <c r="Z81" i="458"/>
  <c r="X93" i="456"/>
  <c r="C68" i="458"/>
  <c r="Z68" i="458"/>
  <c r="Q93" i="456"/>
  <c r="C55" i="458"/>
  <c r="Z55" i="458"/>
  <c r="N93" i="456"/>
  <c r="C41" i="458"/>
  <c r="X41" i="458"/>
  <c r="I93" i="456"/>
  <c r="C27" i="458"/>
  <c r="CR92" i="456"/>
  <c r="CS92" i="456"/>
  <c r="CX92" i="456"/>
  <c r="CO92" i="456"/>
  <c r="CM92" i="456"/>
  <c r="CE92" i="456"/>
  <c r="BU92" i="456"/>
  <c r="BS92" i="456"/>
  <c r="BO92" i="456"/>
  <c r="BI92" i="456"/>
  <c r="BA92" i="456"/>
  <c r="AU92" i="456"/>
  <c r="AQ92" i="456"/>
  <c r="AF92" i="456"/>
  <c r="AB92" i="456"/>
  <c r="X92" i="456"/>
  <c r="Q92" i="456"/>
  <c r="N92" i="456"/>
  <c r="I92" i="456"/>
  <c r="CW91" i="456"/>
  <c r="CS91" i="456"/>
  <c r="CO91" i="456"/>
  <c r="CM91" i="456"/>
  <c r="CE91" i="456"/>
  <c r="BU91" i="456"/>
  <c r="BS91" i="456"/>
  <c r="BO91" i="456"/>
  <c r="BI91" i="456"/>
  <c r="BA91" i="456"/>
  <c r="AU91" i="456"/>
  <c r="AQ91" i="456"/>
  <c r="AF91" i="456"/>
  <c r="AB91" i="456"/>
  <c r="X91" i="456"/>
  <c r="Q91" i="456"/>
  <c r="N91" i="456"/>
  <c r="I91" i="456"/>
  <c r="CS90" i="456"/>
  <c r="CW90" i="456"/>
  <c r="CO90" i="456"/>
  <c r="CM90" i="456"/>
  <c r="CE90" i="456"/>
  <c r="BU90" i="456"/>
  <c r="BS90" i="456"/>
  <c r="BO90" i="456"/>
  <c r="BI90" i="456"/>
  <c r="BA90" i="456"/>
  <c r="AU90" i="456"/>
  <c r="AQ90" i="456"/>
  <c r="AF90" i="456"/>
  <c r="AB90" i="456"/>
  <c r="X90" i="456"/>
  <c r="Q90" i="456"/>
  <c r="N90" i="456"/>
  <c r="I90" i="456"/>
  <c r="CS89" i="456"/>
  <c r="CW89" i="456"/>
  <c r="CO89" i="456"/>
  <c r="CM89" i="456"/>
  <c r="CE89" i="456"/>
  <c r="BU89" i="456"/>
  <c r="BS89" i="456"/>
  <c r="BO89" i="456"/>
  <c r="BI89" i="456"/>
  <c r="BA89" i="456"/>
  <c r="AU89" i="456"/>
  <c r="AQ89" i="456"/>
  <c r="AF89" i="456"/>
  <c r="AB89" i="456"/>
  <c r="X89" i="456"/>
  <c r="Q89" i="456"/>
  <c r="N89" i="456"/>
  <c r="I89" i="456"/>
  <c r="CW88" i="456"/>
  <c r="CS88" i="456"/>
  <c r="CO88" i="456"/>
  <c r="CM88" i="456"/>
  <c r="CE88" i="456"/>
  <c r="BU88" i="456"/>
  <c r="BS88" i="456"/>
  <c r="BO88" i="456"/>
  <c r="BI88" i="456"/>
  <c r="BA88" i="456"/>
  <c r="AU88" i="456"/>
  <c r="AQ88" i="456"/>
  <c r="AF88" i="456"/>
  <c r="AB88" i="456"/>
  <c r="X88" i="456"/>
  <c r="Q88" i="456"/>
  <c r="N88" i="456"/>
  <c r="I88" i="456"/>
  <c r="CW87" i="456"/>
  <c r="CS87" i="456"/>
  <c r="CO87" i="456"/>
  <c r="CM87" i="456"/>
  <c r="CE87" i="456"/>
  <c r="BU87" i="456"/>
  <c r="BS87" i="456"/>
  <c r="BO87" i="456"/>
  <c r="BI87" i="456"/>
  <c r="BA87" i="456"/>
  <c r="AU87" i="456"/>
  <c r="AQ87" i="456"/>
  <c r="AF87" i="456"/>
  <c r="I87" i="456"/>
  <c r="N87" i="456"/>
  <c r="Q87" i="456"/>
  <c r="X87" i="456"/>
  <c r="AB87" i="456"/>
  <c r="CW86" i="456"/>
  <c r="CS86" i="456"/>
  <c r="CS85" i="456"/>
  <c r="CW85" i="456"/>
  <c r="CO85" i="456"/>
  <c r="C92" i="460"/>
  <c r="CM85" i="456"/>
  <c r="C79" i="460"/>
  <c r="CE85" i="456"/>
  <c r="C66" i="460"/>
  <c r="BU85" i="456"/>
  <c r="C53" i="460"/>
  <c r="BS85" i="456"/>
  <c r="C40" i="460"/>
  <c r="BO85" i="456"/>
  <c r="C26" i="460"/>
  <c r="BI85" i="456"/>
  <c r="BA85" i="456"/>
  <c r="AU85" i="456"/>
  <c r="AQ85" i="456"/>
  <c r="AF85" i="456"/>
  <c r="AB85" i="456"/>
  <c r="C80" i="458"/>
  <c r="X85" i="456"/>
  <c r="C67" i="458"/>
  <c r="Q85" i="456"/>
  <c r="C54" i="458"/>
  <c r="N85" i="456"/>
  <c r="C40" i="458"/>
  <c r="I85" i="456"/>
  <c r="CW84" i="456"/>
  <c r="CS84" i="456"/>
  <c r="CO84" i="456"/>
  <c r="CM84" i="456"/>
  <c r="CE84" i="456"/>
  <c r="BU84" i="456"/>
  <c r="BS84" i="456"/>
  <c r="BO84" i="456"/>
  <c r="BI84" i="456"/>
  <c r="BA84" i="456"/>
  <c r="AU84" i="456"/>
  <c r="AQ84" i="456"/>
  <c r="AF84" i="456"/>
  <c r="AB84" i="456"/>
  <c r="X84" i="456"/>
  <c r="Q84" i="456"/>
  <c r="N84" i="456"/>
  <c r="I84" i="456"/>
  <c r="CW83" i="456"/>
  <c r="CS83" i="456"/>
  <c r="CO83" i="456"/>
  <c r="CM83" i="456"/>
  <c r="CE83" i="456"/>
  <c r="BU83" i="456"/>
  <c r="BS83" i="456"/>
  <c r="BO83" i="456"/>
  <c r="BI83" i="456"/>
  <c r="BA83" i="456"/>
  <c r="AU83" i="456"/>
  <c r="AQ83" i="456"/>
  <c r="AF83" i="456"/>
  <c r="AB83" i="456"/>
  <c r="X83" i="456"/>
  <c r="Q83" i="456"/>
  <c r="N83" i="456"/>
  <c r="I83" i="456"/>
  <c r="CW80" i="456"/>
  <c r="CS80" i="456"/>
  <c r="CO80" i="456"/>
  <c r="CM80" i="456"/>
  <c r="CE80" i="456"/>
  <c r="BU80" i="456"/>
  <c r="BS80" i="456"/>
  <c r="BO80" i="456"/>
  <c r="BI80" i="456"/>
  <c r="BA80" i="456"/>
  <c r="AU80" i="456"/>
  <c r="AQ80" i="456"/>
  <c r="AF80" i="456"/>
  <c r="AB80" i="456"/>
  <c r="X80" i="456"/>
  <c r="Q80" i="456"/>
  <c r="N80" i="456"/>
  <c r="I80" i="456"/>
  <c r="CW79" i="456"/>
  <c r="CS79" i="456"/>
  <c r="CO79" i="456"/>
  <c r="CM79" i="456"/>
  <c r="CE79" i="456"/>
  <c r="BU79" i="456"/>
  <c r="BS79" i="456"/>
  <c r="BO79" i="456"/>
  <c r="BI79" i="456"/>
  <c r="BA79" i="456"/>
  <c r="AU79" i="456"/>
  <c r="AQ79" i="456"/>
  <c r="AF79" i="456"/>
  <c r="AB79" i="456"/>
  <c r="X79" i="456"/>
  <c r="Q79" i="456"/>
  <c r="N79" i="456"/>
  <c r="I79" i="456"/>
  <c r="CS78" i="456"/>
  <c r="CW78" i="456"/>
  <c r="CO78" i="456"/>
  <c r="CM78" i="456"/>
  <c r="CE78" i="456"/>
  <c r="BU78" i="456"/>
  <c r="BS78" i="456"/>
  <c r="BO78" i="456"/>
  <c r="BI78" i="456"/>
  <c r="BA78" i="456"/>
  <c r="AU78" i="456"/>
  <c r="AQ78" i="456"/>
  <c r="AF78" i="456"/>
  <c r="AB78" i="456"/>
  <c r="X78" i="456"/>
  <c r="Q78" i="456"/>
  <c r="N78" i="456"/>
  <c r="I78" i="456"/>
  <c r="CW77" i="456"/>
  <c r="CS77" i="456"/>
  <c r="CO77" i="456"/>
  <c r="CM77" i="456"/>
  <c r="CE77" i="456"/>
  <c r="BU77" i="456"/>
  <c r="BS77" i="456"/>
  <c r="BO77" i="456"/>
  <c r="BI77" i="456"/>
  <c r="BA77" i="456"/>
  <c r="AU77" i="456"/>
  <c r="AQ77" i="456"/>
  <c r="AF77" i="456"/>
  <c r="AB77" i="456"/>
  <c r="X77" i="456"/>
  <c r="Q77" i="456"/>
  <c r="N77" i="456"/>
  <c r="I77" i="456"/>
  <c r="CS76" i="456"/>
  <c r="CW76" i="456"/>
  <c r="CO76" i="456"/>
  <c r="CM76" i="456"/>
  <c r="CE76" i="456"/>
  <c r="BU76" i="456"/>
  <c r="BS76" i="456"/>
  <c r="BO76" i="456"/>
  <c r="BI76" i="456"/>
  <c r="BA76" i="456"/>
  <c r="AU76" i="456"/>
  <c r="AQ76" i="456"/>
  <c r="AF76" i="456"/>
  <c r="AB76" i="456"/>
  <c r="X76" i="456"/>
  <c r="Q76" i="456"/>
  <c r="N76" i="456"/>
  <c r="I76" i="456"/>
  <c r="CW75" i="456"/>
  <c r="CX75" i="456"/>
  <c r="CO75" i="456"/>
  <c r="CM75" i="456"/>
  <c r="CE75" i="456"/>
  <c r="BU75" i="456"/>
  <c r="BS75" i="456"/>
  <c r="BO75" i="456"/>
  <c r="BI75" i="456"/>
  <c r="BA75" i="456"/>
  <c r="AU75" i="456"/>
  <c r="AQ75" i="456"/>
  <c r="AF75" i="456"/>
  <c r="AB75" i="456"/>
  <c r="X75" i="456"/>
  <c r="Q75" i="456"/>
  <c r="N75" i="456"/>
  <c r="I75" i="456"/>
  <c r="CW74" i="456"/>
  <c r="CS74" i="456"/>
  <c r="CO74" i="456"/>
  <c r="CM74" i="456"/>
  <c r="CE74" i="456"/>
  <c r="BU74" i="456"/>
  <c r="BS74" i="456"/>
  <c r="BO74" i="456"/>
  <c r="BI74" i="456"/>
  <c r="BA74" i="456"/>
  <c r="AU74" i="456"/>
  <c r="AQ74" i="456"/>
  <c r="AF74" i="456"/>
  <c r="AB74" i="456"/>
  <c r="X74" i="456"/>
  <c r="Q74" i="456"/>
  <c r="N74" i="456"/>
  <c r="I74" i="456"/>
  <c r="CV72" i="456"/>
  <c r="CU72" i="456"/>
  <c r="CT72" i="456"/>
  <c r="CR72" i="456"/>
  <c r="CQ72" i="456"/>
  <c r="CO72" i="456"/>
  <c r="C91" i="460"/>
  <c r="CM72" i="456"/>
  <c r="C78" i="460"/>
  <c r="AJ78" i="460"/>
  <c r="CE72" i="456"/>
  <c r="C65" i="460"/>
  <c r="AG65" i="460"/>
  <c r="BU72" i="456"/>
  <c r="C52" i="460"/>
  <c r="AJ52" i="460"/>
  <c r="BS72" i="456"/>
  <c r="C39" i="460"/>
  <c r="AJ39" i="460"/>
  <c r="BO72" i="456"/>
  <c r="C25" i="460"/>
  <c r="AD25" i="460"/>
  <c r="BI72" i="456"/>
  <c r="BA72" i="456"/>
  <c r="AU72" i="456"/>
  <c r="AQ72" i="456"/>
  <c r="AF72" i="456"/>
  <c r="AB72" i="456"/>
  <c r="C79" i="458"/>
  <c r="W79" i="458"/>
  <c r="X72" i="456"/>
  <c r="C66" i="458"/>
  <c r="Z66" i="458"/>
  <c r="Q72" i="456"/>
  <c r="C53" i="458"/>
  <c r="Z53" i="458"/>
  <c r="N72" i="456"/>
  <c r="C39" i="458"/>
  <c r="Z39" i="458"/>
  <c r="I72" i="456"/>
  <c r="C25" i="458"/>
  <c r="Z25" i="458"/>
  <c r="CW71" i="456"/>
  <c r="CS71" i="456"/>
  <c r="CO71" i="456"/>
  <c r="CM71" i="456"/>
  <c r="CE71" i="456"/>
  <c r="BU71" i="456"/>
  <c r="BS71" i="456"/>
  <c r="BO71" i="456"/>
  <c r="BI71" i="456"/>
  <c r="BA71" i="456"/>
  <c r="AU71" i="456"/>
  <c r="AQ71" i="456"/>
  <c r="AF71" i="456"/>
  <c r="AB71" i="456"/>
  <c r="X71" i="456"/>
  <c r="Q71" i="456"/>
  <c r="N71" i="456"/>
  <c r="I71" i="456"/>
  <c r="CW70" i="456"/>
  <c r="CS70" i="456"/>
  <c r="CO70" i="456"/>
  <c r="CM70" i="456"/>
  <c r="CE70" i="456"/>
  <c r="BU70" i="456"/>
  <c r="BS70" i="456"/>
  <c r="BO70" i="456"/>
  <c r="BI70" i="456"/>
  <c r="BA70" i="456"/>
  <c r="AU70" i="456"/>
  <c r="AQ70" i="456"/>
  <c r="AF70" i="456"/>
  <c r="AB70" i="456"/>
  <c r="X70" i="456"/>
  <c r="Q70" i="456"/>
  <c r="N70" i="456"/>
  <c r="I70" i="456"/>
  <c r="CW69" i="456"/>
  <c r="CS69" i="456"/>
  <c r="CO69" i="456"/>
  <c r="CM69" i="456"/>
  <c r="CE69" i="456"/>
  <c r="BU69" i="456"/>
  <c r="BS69" i="456"/>
  <c r="BO69" i="456"/>
  <c r="BI69" i="456"/>
  <c r="BA69" i="456"/>
  <c r="AU69" i="456"/>
  <c r="AQ69" i="456"/>
  <c r="AF69" i="456"/>
  <c r="AB69" i="456"/>
  <c r="X69" i="456"/>
  <c r="Q69" i="456"/>
  <c r="N69" i="456"/>
  <c r="I69" i="456"/>
  <c r="CS67" i="456"/>
  <c r="CW67" i="456"/>
  <c r="CO67" i="456"/>
  <c r="CM67" i="456"/>
  <c r="CE67" i="456"/>
  <c r="BU67" i="456"/>
  <c r="BS67" i="456"/>
  <c r="BO67" i="456"/>
  <c r="BI67" i="456"/>
  <c r="BA67" i="456"/>
  <c r="AU67" i="456"/>
  <c r="AQ67" i="456"/>
  <c r="AF67" i="456"/>
  <c r="AB67" i="456"/>
  <c r="X67" i="456"/>
  <c r="Q67" i="456"/>
  <c r="N67" i="456"/>
  <c r="I67" i="456"/>
  <c r="CW66" i="456"/>
  <c r="CS66" i="456"/>
  <c r="CO66" i="456"/>
  <c r="CM66" i="456"/>
  <c r="CE66" i="456"/>
  <c r="BU66" i="456"/>
  <c r="BS66" i="456"/>
  <c r="BO66" i="456"/>
  <c r="BI66" i="456"/>
  <c r="BA66" i="456"/>
  <c r="AU66" i="456"/>
  <c r="AQ66" i="456"/>
  <c r="AF66" i="456"/>
  <c r="AB66" i="456"/>
  <c r="X66" i="456"/>
  <c r="Q66" i="456"/>
  <c r="N66" i="456"/>
  <c r="I66" i="456"/>
  <c r="CS65" i="456"/>
  <c r="CW65" i="456"/>
  <c r="CO65" i="456"/>
  <c r="CM65" i="456"/>
  <c r="CE65" i="456"/>
  <c r="BU65" i="456"/>
  <c r="BS65" i="456"/>
  <c r="BO65" i="456"/>
  <c r="BI65" i="456"/>
  <c r="BA65" i="456"/>
  <c r="AU65" i="456"/>
  <c r="AQ65" i="456"/>
  <c r="AF65" i="456"/>
  <c r="AB65" i="456"/>
  <c r="X65" i="456"/>
  <c r="Q65" i="456"/>
  <c r="N65" i="456"/>
  <c r="I65" i="456"/>
  <c r="CW64" i="456"/>
  <c r="CS64" i="456"/>
  <c r="CO64" i="456"/>
  <c r="CM64" i="456"/>
  <c r="CE64" i="456"/>
  <c r="BU64" i="456"/>
  <c r="BS64" i="456"/>
  <c r="BO64" i="456"/>
  <c r="BI64" i="456"/>
  <c r="BA64" i="456"/>
  <c r="AU64" i="456"/>
  <c r="AQ64" i="456"/>
  <c r="AF64" i="456"/>
  <c r="I64" i="456"/>
  <c r="N64" i="456"/>
  <c r="Q64" i="456"/>
  <c r="X64" i="456"/>
  <c r="AB64" i="456"/>
  <c r="CW63" i="456"/>
  <c r="CS63" i="456"/>
  <c r="CO63" i="456"/>
  <c r="CM63" i="456"/>
  <c r="CE63" i="456"/>
  <c r="BU63" i="456"/>
  <c r="BS63" i="456"/>
  <c r="BO63" i="456"/>
  <c r="BI63" i="456"/>
  <c r="BA63" i="456"/>
  <c r="AU63" i="456"/>
  <c r="AQ63" i="456"/>
  <c r="AF63" i="456"/>
  <c r="AB63" i="456"/>
  <c r="X63" i="456"/>
  <c r="Q63" i="456"/>
  <c r="N63" i="456"/>
  <c r="I63" i="456"/>
  <c r="CW62" i="456"/>
  <c r="CS62" i="456"/>
  <c r="CO62" i="456"/>
  <c r="CM62" i="456"/>
  <c r="CE62" i="456"/>
  <c r="BU62" i="456"/>
  <c r="BS62" i="456"/>
  <c r="BO62" i="456"/>
  <c r="BI62" i="456"/>
  <c r="BA62" i="456"/>
  <c r="AU62" i="456"/>
  <c r="AQ62" i="456"/>
  <c r="AF62" i="456"/>
  <c r="AB62" i="456"/>
  <c r="X62" i="456"/>
  <c r="Q62" i="456"/>
  <c r="N62" i="456"/>
  <c r="I62" i="456"/>
  <c r="BO61" i="456"/>
  <c r="CW60" i="456"/>
  <c r="CS60" i="456"/>
  <c r="CO60" i="456"/>
  <c r="CM60" i="456"/>
  <c r="CE60" i="456"/>
  <c r="BU60" i="456"/>
  <c r="BS60" i="456"/>
  <c r="BO60" i="456"/>
  <c r="BI60" i="456"/>
  <c r="BA60" i="456"/>
  <c r="AU60" i="456"/>
  <c r="AQ60" i="456"/>
  <c r="AF60" i="456"/>
  <c r="AB60" i="456"/>
  <c r="X60" i="456"/>
  <c r="Q60" i="456"/>
  <c r="N60" i="456"/>
  <c r="I60" i="456"/>
  <c r="CS59" i="456"/>
  <c r="CW59" i="456"/>
  <c r="CO59" i="456"/>
  <c r="CM59" i="456"/>
  <c r="CE59" i="456"/>
  <c r="BU59" i="456"/>
  <c r="BS59" i="456"/>
  <c r="BO59" i="456"/>
  <c r="BI59" i="456"/>
  <c r="BA59" i="456"/>
  <c r="AU59" i="456"/>
  <c r="AQ59" i="456"/>
  <c r="AF59" i="456"/>
  <c r="AB59" i="456"/>
  <c r="X59" i="456"/>
  <c r="Q59" i="456"/>
  <c r="N59" i="456"/>
  <c r="I59" i="456"/>
  <c r="CW58" i="456"/>
  <c r="CS58" i="456"/>
  <c r="CO58" i="456"/>
  <c r="CM58" i="456"/>
  <c r="CE58" i="456"/>
  <c r="BU58" i="456"/>
  <c r="BS58" i="456"/>
  <c r="BO58" i="456"/>
  <c r="BI58" i="456"/>
  <c r="BA58" i="456"/>
  <c r="AU58" i="456"/>
  <c r="AQ58" i="456"/>
  <c r="AF58" i="456"/>
  <c r="AB58" i="456"/>
  <c r="X58" i="456"/>
  <c r="Q58" i="456"/>
  <c r="N58" i="456"/>
  <c r="I58" i="456"/>
  <c r="CS57" i="456"/>
  <c r="CW57" i="456"/>
  <c r="CO57" i="456"/>
  <c r="CM57" i="456"/>
  <c r="CE57" i="456"/>
  <c r="BU57" i="456"/>
  <c r="BS57" i="456"/>
  <c r="BO57" i="456"/>
  <c r="BI57" i="456"/>
  <c r="BA57" i="456"/>
  <c r="AU57" i="456"/>
  <c r="AQ57" i="456"/>
  <c r="AF57" i="456"/>
  <c r="AB57" i="456"/>
  <c r="X57" i="456"/>
  <c r="Q57" i="456"/>
  <c r="N57" i="456"/>
  <c r="I57" i="456"/>
  <c r="CW56" i="456"/>
  <c r="CS56" i="456"/>
  <c r="CO56" i="456"/>
  <c r="CM56" i="456"/>
  <c r="CE56" i="456"/>
  <c r="BU56" i="456"/>
  <c r="BS56" i="456"/>
  <c r="BO56" i="456"/>
  <c r="BI56" i="456"/>
  <c r="BA56" i="456"/>
  <c r="AU56" i="456"/>
  <c r="AQ56" i="456"/>
  <c r="AF56" i="456"/>
  <c r="AB56" i="456"/>
  <c r="X56" i="456"/>
  <c r="Q56" i="456"/>
  <c r="N56" i="456"/>
  <c r="I56" i="456"/>
  <c r="CW55" i="456"/>
  <c r="CS55" i="456"/>
  <c r="CO55" i="456"/>
  <c r="CM55" i="456"/>
  <c r="CE55" i="456"/>
  <c r="BU55" i="456"/>
  <c r="BS55" i="456"/>
  <c r="BO55" i="456"/>
  <c r="BI55" i="456"/>
  <c r="BA55" i="456"/>
  <c r="AU55" i="456"/>
  <c r="AQ55" i="456"/>
  <c r="AF55" i="456"/>
  <c r="AB55" i="456"/>
  <c r="X55" i="456"/>
  <c r="Q55" i="456"/>
  <c r="N55" i="456"/>
  <c r="I55" i="456"/>
  <c r="CW54" i="456"/>
  <c r="CS54" i="456"/>
  <c r="CO54" i="456"/>
  <c r="CM54" i="456"/>
  <c r="CE54" i="456"/>
  <c r="BU54" i="456"/>
  <c r="BS54" i="456"/>
  <c r="BO54" i="456"/>
  <c r="BI54" i="456"/>
  <c r="BA54" i="456"/>
  <c r="AU54" i="456"/>
  <c r="AQ54" i="456"/>
  <c r="AF54" i="456"/>
  <c r="AB54" i="456"/>
  <c r="X54" i="456"/>
  <c r="Q54" i="456"/>
  <c r="N54" i="456"/>
  <c r="I54" i="456"/>
  <c r="CW52" i="456"/>
  <c r="CS52" i="456"/>
  <c r="CO52" i="456"/>
  <c r="CM52" i="456"/>
  <c r="CE52" i="456"/>
  <c r="BU52" i="456"/>
  <c r="BS52" i="456"/>
  <c r="BO52" i="456"/>
  <c r="BI52" i="456"/>
  <c r="BA52" i="456"/>
  <c r="AU52" i="456"/>
  <c r="AQ52" i="456"/>
  <c r="AF52" i="456"/>
  <c r="AB52" i="456"/>
  <c r="X52" i="456"/>
  <c r="Q52" i="456"/>
  <c r="N52" i="456"/>
  <c r="I52" i="456"/>
  <c r="CW51" i="456"/>
  <c r="CS51" i="456"/>
  <c r="CO51" i="456"/>
  <c r="CM51" i="456"/>
  <c r="CE51" i="456"/>
  <c r="BU51" i="456"/>
  <c r="BS51" i="456"/>
  <c r="BO51" i="456"/>
  <c r="BI51" i="456"/>
  <c r="BA51" i="456"/>
  <c r="AU51" i="456"/>
  <c r="AQ51" i="456"/>
  <c r="AF51" i="456"/>
  <c r="AB51" i="456"/>
  <c r="X51" i="456"/>
  <c r="Q51" i="456"/>
  <c r="N51" i="456"/>
  <c r="I51" i="456"/>
  <c r="CS50" i="456"/>
  <c r="CW50" i="456"/>
  <c r="CO50" i="456"/>
  <c r="CM50" i="456"/>
  <c r="CE50" i="456"/>
  <c r="BU50" i="456"/>
  <c r="BS50" i="456"/>
  <c r="BO50" i="456"/>
  <c r="BI50" i="456"/>
  <c r="BA50" i="456"/>
  <c r="AU50" i="456"/>
  <c r="AQ50" i="456"/>
  <c r="AF50" i="456"/>
  <c r="AB50" i="456"/>
  <c r="X50" i="456"/>
  <c r="Q50" i="456"/>
  <c r="N50" i="456"/>
  <c r="I50" i="456"/>
  <c r="CW49" i="456"/>
  <c r="CS49" i="456"/>
  <c r="CO49" i="456"/>
  <c r="CM49" i="456"/>
  <c r="CE49" i="456"/>
  <c r="BU49" i="456"/>
  <c r="BS49" i="456"/>
  <c r="BO49" i="456"/>
  <c r="BI49" i="456"/>
  <c r="BA49" i="456"/>
  <c r="AU49" i="456"/>
  <c r="AQ49" i="456"/>
  <c r="AF49" i="456"/>
  <c r="AB49" i="456"/>
  <c r="X49" i="456"/>
  <c r="Q49" i="456"/>
  <c r="N49" i="456"/>
  <c r="I49" i="456"/>
  <c r="CS48" i="456"/>
  <c r="CW48" i="456"/>
  <c r="CO48" i="456"/>
  <c r="CM48" i="456"/>
  <c r="CE48" i="456"/>
  <c r="BU48" i="456"/>
  <c r="BS48" i="456"/>
  <c r="BO48" i="456"/>
  <c r="BI48" i="456"/>
  <c r="BA48" i="456"/>
  <c r="AU48" i="456"/>
  <c r="AQ48" i="456"/>
  <c r="AF48" i="456"/>
  <c r="AB48" i="456"/>
  <c r="X48" i="456"/>
  <c r="Q48" i="456"/>
  <c r="N48" i="456"/>
  <c r="I48" i="456"/>
  <c r="CW47" i="456"/>
  <c r="CS47" i="456"/>
  <c r="CO47" i="456"/>
  <c r="CM47" i="456"/>
  <c r="CE47" i="456"/>
  <c r="BU47" i="456"/>
  <c r="BS47" i="456"/>
  <c r="BO47" i="456"/>
  <c r="BI47" i="456"/>
  <c r="BA47" i="456"/>
  <c r="AU47" i="456"/>
  <c r="AQ47" i="456"/>
  <c r="AF47" i="456"/>
  <c r="AB47" i="456"/>
  <c r="X47" i="456"/>
  <c r="Q47" i="456"/>
  <c r="N47" i="456"/>
  <c r="I47" i="456"/>
  <c r="CW46" i="456"/>
  <c r="CS46" i="456"/>
  <c r="CO46" i="456"/>
  <c r="CM46" i="456"/>
  <c r="CE46" i="456"/>
  <c r="BU46" i="456"/>
  <c r="BS46" i="456"/>
  <c r="BO46" i="456"/>
  <c r="BI46" i="456"/>
  <c r="BA46" i="456"/>
  <c r="AU46" i="456"/>
  <c r="AQ46" i="456"/>
  <c r="AF46" i="456"/>
  <c r="AB46" i="456"/>
  <c r="X46" i="456"/>
  <c r="Q46" i="456"/>
  <c r="N46" i="456"/>
  <c r="I46" i="456"/>
  <c r="CS45" i="456"/>
  <c r="CW45" i="456"/>
  <c r="CO45" i="456"/>
  <c r="CM45" i="456"/>
  <c r="CE45" i="456"/>
  <c r="BU45" i="456"/>
  <c r="BS45" i="456"/>
  <c r="BO45" i="456"/>
  <c r="BI45" i="456"/>
  <c r="BA45" i="456"/>
  <c r="AU45" i="456"/>
  <c r="AQ45" i="456"/>
  <c r="AF45" i="456"/>
  <c r="AB45" i="456"/>
  <c r="X45" i="456"/>
  <c r="Q45" i="456"/>
  <c r="N45" i="456"/>
  <c r="I45" i="456"/>
  <c r="CW44" i="456"/>
  <c r="CS44" i="456"/>
  <c r="CO44" i="456"/>
  <c r="CM44" i="456"/>
  <c r="CE44" i="456"/>
  <c r="BU44" i="456"/>
  <c r="BS44" i="456"/>
  <c r="BO44" i="456"/>
  <c r="BI44" i="456"/>
  <c r="BA44" i="456"/>
  <c r="AU44" i="456"/>
  <c r="AQ44" i="456"/>
  <c r="AF44" i="456"/>
  <c r="AB44" i="456"/>
  <c r="X44" i="456"/>
  <c r="Q44" i="456"/>
  <c r="N44" i="456"/>
  <c r="I44" i="456"/>
  <c r="CW43" i="456"/>
  <c r="CS43" i="456"/>
  <c r="CO43" i="456"/>
  <c r="CM43" i="456"/>
  <c r="CE43" i="456"/>
  <c r="BU43" i="456"/>
  <c r="BS43" i="456"/>
  <c r="BO43" i="456"/>
  <c r="BI43" i="456"/>
  <c r="BA43" i="456"/>
  <c r="AU43" i="456"/>
  <c r="AQ43" i="456"/>
  <c r="AF43" i="456"/>
  <c r="AB43" i="456"/>
  <c r="X43" i="456"/>
  <c r="Q43" i="456"/>
  <c r="N43" i="456"/>
  <c r="I43" i="456"/>
  <c r="CW42" i="456"/>
  <c r="CS42" i="456"/>
  <c r="CO42" i="456"/>
  <c r="CM42" i="456"/>
  <c r="CE42" i="456"/>
  <c r="BU42" i="456"/>
  <c r="BS42" i="456"/>
  <c r="BO42" i="456"/>
  <c r="BI42" i="456"/>
  <c r="BA42" i="456"/>
  <c r="AU42" i="456"/>
  <c r="AQ42" i="456"/>
  <c r="AF42" i="456"/>
  <c r="AB42" i="456"/>
  <c r="X42" i="456"/>
  <c r="Q42" i="456"/>
  <c r="N42" i="456"/>
  <c r="I42" i="456"/>
  <c r="CS41" i="456"/>
  <c r="CW41" i="456"/>
  <c r="CO41" i="456"/>
  <c r="CM41" i="456"/>
  <c r="CE41" i="456"/>
  <c r="BU41" i="456"/>
  <c r="BS41" i="456"/>
  <c r="BO41" i="456"/>
  <c r="BI41" i="456"/>
  <c r="BA41" i="456"/>
  <c r="AU41" i="456"/>
  <c r="AQ41" i="456"/>
  <c r="AF41" i="456"/>
  <c r="AB41" i="456"/>
  <c r="X41" i="456"/>
  <c r="Q41" i="456"/>
  <c r="N41" i="456"/>
  <c r="I41" i="456"/>
  <c r="CW40" i="456"/>
  <c r="CS40" i="456"/>
  <c r="CO40" i="456"/>
  <c r="CM40" i="456"/>
  <c r="CE40" i="456"/>
  <c r="BU40" i="456"/>
  <c r="BS40" i="456"/>
  <c r="BO40" i="456"/>
  <c r="BI40" i="456"/>
  <c r="BA40" i="456"/>
  <c r="AU40" i="456"/>
  <c r="AQ40" i="456"/>
  <c r="AF40" i="456"/>
  <c r="AB40" i="456"/>
  <c r="X40" i="456"/>
  <c r="Q40" i="456"/>
  <c r="N40" i="456"/>
  <c r="I40" i="456"/>
  <c r="CW39" i="456"/>
  <c r="CS39" i="456"/>
  <c r="CO39" i="456"/>
  <c r="CM39" i="456"/>
  <c r="CE39" i="456"/>
  <c r="BU39" i="456"/>
  <c r="BS39" i="456"/>
  <c r="BO39" i="456"/>
  <c r="BI39" i="456"/>
  <c r="BA39" i="456"/>
  <c r="AU39" i="456"/>
  <c r="AQ39" i="456"/>
  <c r="AF39" i="456"/>
  <c r="AB39" i="456"/>
  <c r="X39" i="456"/>
  <c r="Q39" i="456"/>
  <c r="N39" i="456"/>
  <c r="I39" i="456"/>
  <c r="CW38" i="456"/>
  <c r="CS38" i="456"/>
  <c r="CO38" i="456"/>
  <c r="CM38" i="456"/>
  <c r="CE38" i="456"/>
  <c r="BU38" i="456"/>
  <c r="BS38" i="456"/>
  <c r="BO38" i="456"/>
  <c r="BI38" i="456"/>
  <c r="BA38" i="456"/>
  <c r="AU38" i="456"/>
  <c r="AQ38" i="456"/>
  <c r="AF38" i="456"/>
  <c r="AB38" i="456"/>
  <c r="X38" i="456"/>
  <c r="Q38" i="456"/>
  <c r="N38" i="456"/>
  <c r="I38" i="456"/>
  <c r="CS37" i="456"/>
  <c r="CW37" i="456"/>
  <c r="CO37" i="456"/>
  <c r="CM37" i="456"/>
  <c r="CE37" i="456"/>
  <c r="BU37" i="456"/>
  <c r="BS37" i="456"/>
  <c r="BO37" i="456"/>
  <c r="BI37" i="456"/>
  <c r="BA37" i="456"/>
  <c r="AU37" i="456"/>
  <c r="AQ37" i="456"/>
  <c r="AF37" i="456"/>
  <c r="AB37" i="456"/>
  <c r="X37" i="456"/>
  <c r="Q37" i="456"/>
  <c r="N37" i="456"/>
  <c r="I37" i="456"/>
  <c r="CW36" i="456"/>
  <c r="CS36" i="456"/>
  <c r="CO36" i="456"/>
  <c r="CM36" i="456"/>
  <c r="CE36" i="456"/>
  <c r="BU36" i="456"/>
  <c r="BS36" i="456"/>
  <c r="BO36" i="456"/>
  <c r="BI36" i="456"/>
  <c r="BA36" i="456"/>
  <c r="AU36" i="456"/>
  <c r="AQ36" i="456"/>
  <c r="AF36" i="456"/>
  <c r="AB36" i="456"/>
  <c r="X36" i="456"/>
  <c r="Q36" i="456"/>
  <c r="N36" i="456"/>
  <c r="I36" i="456"/>
  <c r="CW35" i="456"/>
  <c r="CS35" i="456"/>
  <c r="CO35" i="456"/>
  <c r="CM35" i="456"/>
  <c r="CE35" i="456"/>
  <c r="BU35" i="456"/>
  <c r="BS35" i="456"/>
  <c r="BO35" i="456"/>
  <c r="BI35" i="456"/>
  <c r="BA35" i="456"/>
  <c r="AU35" i="456"/>
  <c r="AQ35" i="456"/>
  <c r="AF35" i="456"/>
  <c r="AB35" i="456"/>
  <c r="X35" i="456"/>
  <c r="Q35" i="456"/>
  <c r="N35" i="456"/>
  <c r="I35" i="456"/>
  <c r="BI34" i="456"/>
  <c r="BA34" i="456"/>
  <c r="AU34" i="456"/>
  <c r="AQ34" i="456"/>
  <c r="AF34" i="456"/>
  <c r="CV32" i="456"/>
  <c r="CS32" i="456"/>
  <c r="CO32" i="456"/>
  <c r="CE32" i="456"/>
  <c r="CV31" i="456"/>
  <c r="CW31" i="456"/>
  <c r="CS31" i="456"/>
  <c r="CO31" i="456"/>
  <c r="CM31" i="456"/>
  <c r="CE31" i="456"/>
  <c r="BU31" i="456"/>
  <c r="BS31" i="456"/>
  <c r="BO31" i="456"/>
  <c r="BI31" i="456"/>
  <c r="BA31" i="456"/>
  <c r="AU31" i="456"/>
  <c r="AQ31" i="456"/>
  <c r="AF31" i="456"/>
  <c r="AB31" i="456"/>
  <c r="X31" i="456"/>
  <c r="Q31" i="456"/>
  <c r="N31" i="456"/>
  <c r="I31" i="456"/>
  <c r="CS30" i="456"/>
  <c r="CW30" i="456"/>
  <c r="CO30" i="456"/>
  <c r="CM30" i="456"/>
  <c r="CE30" i="456"/>
  <c r="BU30" i="456"/>
  <c r="BS30" i="456"/>
  <c r="BO30" i="456"/>
  <c r="BI30" i="456"/>
  <c r="BA30" i="456"/>
  <c r="AU30" i="456"/>
  <c r="AQ30" i="456"/>
  <c r="AF30" i="456"/>
  <c r="AB30" i="456"/>
  <c r="X30" i="456"/>
  <c r="Q30" i="456"/>
  <c r="N30" i="456"/>
  <c r="I30" i="456"/>
  <c r="CW29" i="456"/>
  <c r="CX29" i="456"/>
  <c r="CO29" i="456"/>
  <c r="CM29" i="456"/>
  <c r="CE29" i="456"/>
  <c r="BU29" i="456"/>
  <c r="BS29" i="456"/>
  <c r="BO29" i="456"/>
  <c r="BI29" i="456"/>
  <c r="BA29" i="456"/>
  <c r="AU29" i="456"/>
  <c r="AQ29" i="456"/>
  <c r="AF29" i="456"/>
  <c r="AB29" i="456"/>
  <c r="X29" i="456"/>
  <c r="Q29" i="456"/>
  <c r="N29" i="456"/>
  <c r="I29" i="456"/>
  <c r="CW28" i="456"/>
  <c r="CS28" i="456"/>
  <c r="CO28" i="456"/>
  <c r="CM28" i="456"/>
  <c r="CE28" i="456"/>
  <c r="BU28" i="456"/>
  <c r="BS28" i="456"/>
  <c r="BO28" i="456"/>
  <c r="BI28" i="456"/>
  <c r="BA28" i="456"/>
  <c r="AU28" i="456"/>
  <c r="AQ28" i="456"/>
  <c r="AF28" i="456"/>
  <c r="AB28" i="456"/>
  <c r="X28" i="456"/>
  <c r="Q28" i="456"/>
  <c r="N28" i="456"/>
  <c r="I28" i="456"/>
  <c r="CS27" i="456"/>
  <c r="CW27" i="456"/>
  <c r="CO27" i="456"/>
  <c r="CM27" i="456"/>
  <c r="CE27" i="456"/>
  <c r="BU27" i="456"/>
  <c r="BS27" i="456"/>
  <c r="BO27" i="456"/>
  <c r="BI27" i="456"/>
  <c r="BA27" i="456"/>
  <c r="AU27" i="456"/>
  <c r="AQ27" i="456"/>
  <c r="AF27" i="456"/>
  <c r="AB27" i="456"/>
  <c r="X27" i="456"/>
  <c r="Q27" i="456"/>
  <c r="N27" i="456"/>
  <c r="I27" i="456"/>
  <c r="CW26" i="456"/>
  <c r="CS26" i="456"/>
  <c r="CO26" i="456"/>
  <c r="C90" i="460"/>
  <c r="CM26" i="456"/>
  <c r="C77" i="460"/>
  <c r="CE26" i="456"/>
  <c r="C64" i="460"/>
  <c r="BU26" i="456"/>
  <c r="C51" i="460"/>
  <c r="BS26" i="456"/>
  <c r="C38" i="460"/>
  <c r="BO26" i="456"/>
  <c r="C24" i="460"/>
  <c r="BI26" i="456"/>
  <c r="BA26" i="456"/>
  <c r="AU26" i="456"/>
  <c r="AQ26" i="456"/>
  <c r="AF26" i="456"/>
  <c r="AB26" i="456"/>
  <c r="C78" i="458"/>
  <c r="X26" i="456"/>
  <c r="C65" i="458"/>
  <c r="Q26" i="456"/>
  <c r="C52" i="458"/>
  <c r="N26" i="456"/>
  <c r="C38" i="458"/>
  <c r="I26" i="456"/>
  <c r="CW25" i="456"/>
  <c r="CS25" i="456"/>
  <c r="CO25" i="456"/>
  <c r="C89" i="460"/>
  <c r="CM25" i="456"/>
  <c r="C76" i="460"/>
  <c r="CE25" i="456"/>
  <c r="C63" i="460"/>
  <c r="BU25" i="456"/>
  <c r="C50" i="460"/>
  <c r="BS25" i="456"/>
  <c r="C37" i="460"/>
  <c r="BO25" i="456"/>
  <c r="C23" i="460"/>
  <c r="BI25" i="456"/>
  <c r="BA25" i="456"/>
  <c r="AU25" i="456"/>
  <c r="AQ25" i="456"/>
  <c r="AF25" i="456"/>
  <c r="AB25" i="456"/>
  <c r="C77" i="458"/>
  <c r="X25" i="456"/>
  <c r="C64" i="458"/>
  <c r="Q25" i="456"/>
  <c r="C51" i="458"/>
  <c r="N25" i="456"/>
  <c r="C37" i="458"/>
  <c r="I25" i="456"/>
  <c r="CW24" i="456"/>
  <c r="CS24" i="456"/>
  <c r="CO24" i="456"/>
  <c r="CM24" i="456"/>
  <c r="CE24" i="456"/>
  <c r="BU24" i="456"/>
  <c r="BS24" i="456"/>
  <c r="BO24" i="456"/>
  <c r="BI24" i="456"/>
  <c r="BA24" i="456"/>
  <c r="AU24" i="456"/>
  <c r="AQ24" i="456"/>
  <c r="AF24" i="456"/>
  <c r="AB24" i="456"/>
  <c r="X24" i="456"/>
  <c r="Q24" i="456"/>
  <c r="N24" i="456"/>
  <c r="I24" i="456"/>
  <c r="CS23" i="456"/>
  <c r="CW23" i="456"/>
  <c r="CO23" i="456"/>
  <c r="CM23" i="456"/>
  <c r="CE23" i="456"/>
  <c r="BU23" i="456"/>
  <c r="BS23" i="456"/>
  <c r="BO23" i="456"/>
  <c r="BI23" i="456"/>
  <c r="BA23" i="456"/>
  <c r="AU23" i="456"/>
  <c r="AQ23" i="456"/>
  <c r="AF23" i="456"/>
  <c r="AB23" i="456"/>
  <c r="X23" i="456"/>
  <c r="Q23" i="456"/>
  <c r="N23" i="456"/>
  <c r="I23" i="456"/>
  <c r="CW22" i="456"/>
  <c r="CS22" i="456"/>
  <c r="CO22" i="456"/>
  <c r="CM22" i="456"/>
  <c r="CE22" i="456"/>
  <c r="BU22" i="456"/>
  <c r="BS22" i="456"/>
  <c r="BO22" i="456"/>
  <c r="BI22" i="456"/>
  <c r="BA22" i="456"/>
  <c r="AU22" i="456"/>
  <c r="AQ22" i="456"/>
  <c r="AF22" i="456"/>
  <c r="AB22" i="456"/>
  <c r="X22" i="456"/>
  <c r="Q22" i="456"/>
  <c r="N22" i="456"/>
  <c r="I22" i="456"/>
  <c r="CW21" i="456"/>
  <c r="CS21" i="456"/>
  <c r="CO21" i="456"/>
  <c r="CM21" i="456"/>
  <c r="CE21" i="456"/>
  <c r="BU21" i="456"/>
  <c r="BS21" i="456"/>
  <c r="BO21" i="456"/>
  <c r="BI21" i="456"/>
  <c r="BA21" i="456"/>
  <c r="AU21" i="456"/>
  <c r="AQ21" i="456"/>
  <c r="AF21" i="456"/>
  <c r="AB21" i="456"/>
  <c r="X21" i="456"/>
  <c r="Q21" i="456"/>
  <c r="N21" i="456"/>
  <c r="I21" i="456"/>
  <c r="CW19" i="456"/>
  <c r="CS19" i="456"/>
  <c r="CO19" i="456"/>
  <c r="CM19" i="456"/>
  <c r="CE19" i="456"/>
  <c r="BU19" i="456"/>
  <c r="BS19" i="456"/>
  <c r="BO19" i="456"/>
  <c r="BI19" i="456"/>
  <c r="BA19" i="456"/>
  <c r="AU19" i="456"/>
  <c r="AQ19" i="456"/>
  <c r="AF19" i="456"/>
  <c r="AB19" i="456"/>
  <c r="X19" i="456"/>
  <c r="Q19" i="456"/>
  <c r="N19" i="456"/>
  <c r="I19" i="456"/>
  <c r="CS18" i="456"/>
  <c r="CW18" i="456"/>
  <c r="CO18" i="456"/>
  <c r="CM18" i="456"/>
  <c r="CE18" i="456"/>
  <c r="BU18" i="456"/>
  <c r="BS18" i="456"/>
  <c r="BO18" i="456"/>
  <c r="BI18" i="456"/>
  <c r="BA18" i="456"/>
  <c r="AU18" i="456"/>
  <c r="AQ18" i="456"/>
  <c r="AF18" i="456"/>
  <c r="AB18" i="456"/>
  <c r="X18" i="456"/>
  <c r="Q18" i="456"/>
  <c r="N18" i="456"/>
  <c r="I18" i="456"/>
  <c r="CW17" i="456"/>
  <c r="CS17" i="456"/>
  <c r="CO17" i="456"/>
  <c r="CM17" i="456"/>
  <c r="CE17" i="456"/>
  <c r="BU17" i="456"/>
  <c r="BS17" i="456"/>
  <c r="BO17" i="456"/>
  <c r="BI17" i="456"/>
  <c r="BA17" i="456"/>
  <c r="AU17" i="456"/>
  <c r="AQ17" i="456"/>
  <c r="AF17" i="456"/>
  <c r="AB17" i="456"/>
  <c r="X17" i="456"/>
  <c r="Q17" i="456"/>
  <c r="N17" i="456"/>
  <c r="I17" i="456"/>
  <c r="CW16" i="456"/>
  <c r="CS16" i="456"/>
  <c r="CO16" i="456"/>
  <c r="CM16" i="456"/>
  <c r="CE16" i="456"/>
  <c r="BU16" i="456"/>
  <c r="BS16" i="456"/>
  <c r="BO16" i="456"/>
  <c r="AF16" i="456"/>
  <c r="AQ16" i="456"/>
  <c r="AU16" i="456"/>
  <c r="BA16" i="456"/>
  <c r="BI16" i="456"/>
  <c r="AB16" i="456"/>
  <c r="X16" i="456"/>
  <c r="Q16" i="456"/>
  <c r="N16" i="456"/>
  <c r="I16" i="456"/>
  <c r="CS13" i="456"/>
  <c r="CW13" i="456"/>
  <c r="AC13" i="456"/>
  <c r="CS12" i="456"/>
  <c r="CW12" i="456"/>
  <c r="AC12" i="456"/>
  <c r="CS11" i="456"/>
  <c r="CW11" i="456"/>
  <c r="AC11" i="456"/>
  <c r="CS10" i="456"/>
  <c r="CW10" i="456"/>
  <c r="AC10" i="456"/>
  <c r="CS8" i="456"/>
  <c r="CW8" i="456"/>
  <c r="C26" i="458"/>
  <c r="H35" i="460"/>
  <c r="AP49" i="450"/>
  <c r="U49" i="450"/>
  <c r="AB243" i="450"/>
  <c r="AB242" i="450"/>
  <c r="AB235" i="450"/>
  <c r="U120" i="450"/>
  <c r="U178" i="450"/>
  <c r="U186" i="450"/>
  <c r="U50" i="450"/>
  <c r="U82" i="450"/>
  <c r="U65" i="450"/>
  <c r="U205" i="450"/>
  <c r="U195" i="450"/>
  <c r="U201" i="450"/>
  <c r="U204" i="450"/>
  <c r="U129" i="450"/>
  <c r="U198" i="450"/>
  <c r="U199" i="450"/>
  <c r="U202" i="450"/>
  <c r="U208" i="450"/>
  <c r="U32" i="450"/>
  <c r="U188" i="450"/>
  <c r="U48" i="450"/>
  <c r="U53" i="450"/>
  <c r="U60" i="450"/>
  <c r="U61" i="450"/>
  <c r="U85" i="450"/>
  <c r="U229" i="450"/>
  <c r="AH235" i="450"/>
  <c r="AF243" i="450"/>
  <c r="AF242" i="450"/>
  <c r="AF235" i="450"/>
  <c r="V243" i="450"/>
  <c r="V242" i="450"/>
  <c r="V235" i="450"/>
  <c r="Q243" i="450"/>
  <c r="Q242" i="450"/>
  <c r="Q235" i="450"/>
  <c r="AP32" i="450"/>
  <c r="AP30" i="450"/>
  <c r="AP61" i="450"/>
  <c r="AP65" i="450"/>
  <c r="AP53" i="450"/>
  <c r="H172" i="450"/>
  <c r="H173" i="450"/>
  <c r="H174" i="450"/>
  <c r="C20" i="450"/>
  <c r="C21" i="450"/>
  <c r="C22" i="450"/>
  <c r="C23" i="450"/>
  <c r="C24" i="450"/>
  <c r="C25" i="450"/>
  <c r="C26" i="450"/>
  <c r="C27" i="450"/>
  <c r="C28" i="450"/>
  <c r="C29" i="450"/>
  <c r="C30" i="450"/>
  <c r="C31" i="450"/>
  <c r="C32" i="450"/>
  <c r="C33" i="450"/>
  <c r="C34" i="450"/>
  <c r="C35" i="450"/>
  <c r="C36" i="450"/>
  <c r="C37" i="450"/>
  <c r="C38" i="450"/>
  <c r="C39" i="450"/>
  <c r="C40" i="450"/>
  <c r="C41" i="450"/>
  <c r="C42" i="450"/>
  <c r="C43" i="450"/>
  <c r="C46" i="450"/>
  <c r="C47" i="450"/>
  <c r="C6" i="450"/>
  <c r="AP229" i="450"/>
  <c r="AQ229" i="450"/>
  <c r="K41" i="401"/>
  <c r="N41" i="401"/>
  <c r="K39" i="401"/>
  <c r="N39" i="401"/>
  <c r="K42" i="401"/>
  <c r="N42" i="401"/>
  <c r="K43" i="401"/>
  <c r="N43" i="401"/>
  <c r="K44" i="401"/>
  <c r="N44" i="401"/>
  <c r="K41" i="400"/>
  <c r="N41" i="400"/>
  <c r="K42" i="400"/>
  <c r="N42" i="400"/>
  <c r="B105" i="401"/>
  <c r="B104" i="401"/>
  <c r="G103" i="401"/>
  <c r="G102" i="401"/>
  <c r="G101" i="401"/>
  <c r="G100" i="401"/>
  <c r="B96" i="401"/>
  <c r="G94" i="401"/>
  <c r="G93" i="401"/>
  <c r="G92" i="401"/>
  <c r="G91" i="401"/>
  <c r="J71" i="401"/>
  <c r="I71" i="401"/>
  <c r="J72" i="401"/>
  <c r="I72" i="401"/>
  <c r="L63" i="401"/>
  <c r="J63" i="401"/>
  <c r="K63" i="401"/>
  <c r="L52" i="401"/>
  <c r="N52" i="401"/>
  <c r="L53" i="401"/>
  <c r="N53" i="401"/>
  <c r="K38" i="401"/>
  <c r="N38" i="401"/>
  <c r="K40" i="401"/>
  <c r="N40" i="401"/>
  <c r="K82" i="401"/>
  <c r="K83" i="401"/>
  <c r="K84" i="401"/>
  <c r="L33" i="401"/>
  <c r="C33" i="401"/>
  <c r="B33" i="401"/>
  <c r="G28" i="401"/>
  <c r="E26" i="401"/>
  <c r="D24" i="401"/>
  <c r="D22" i="401"/>
  <c r="D19" i="401"/>
  <c r="H18" i="401"/>
  <c r="D18" i="401"/>
  <c r="J12" i="401"/>
  <c r="D12" i="401"/>
  <c r="N11" i="401"/>
  <c r="M11" i="401"/>
  <c r="L11" i="401"/>
  <c r="C6" i="401"/>
  <c r="L63" i="400"/>
  <c r="J63" i="400"/>
  <c r="K63" i="400"/>
  <c r="B105" i="400"/>
  <c r="B104" i="400"/>
  <c r="G103" i="400"/>
  <c r="G102" i="400"/>
  <c r="G101" i="400"/>
  <c r="G100" i="400"/>
  <c r="B96" i="400"/>
  <c r="G94" i="400"/>
  <c r="G93" i="400"/>
  <c r="G92" i="400"/>
  <c r="G91" i="400"/>
  <c r="J71" i="400"/>
  <c r="I71" i="400"/>
  <c r="J72" i="400"/>
  <c r="I72" i="400"/>
  <c r="L52" i="400"/>
  <c r="N52" i="400"/>
  <c r="L53" i="400"/>
  <c r="N53" i="400"/>
  <c r="K38" i="400"/>
  <c r="N38" i="400"/>
  <c r="K39" i="400"/>
  <c r="N39" i="400"/>
  <c r="K40" i="400"/>
  <c r="N40" i="400"/>
  <c r="K43" i="400"/>
  <c r="N43" i="400"/>
  <c r="K44" i="400"/>
  <c r="N44" i="400"/>
  <c r="K82" i="400"/>
  <c r="K83" i="400"/>
  <c r="K84" i="400"/>
  <c r="L33" i="400"/>
  <c r="C33" i="400"/>
  <c r="B33" i="400"/>
  <c r="G28" i="400"/>
  <c r="E26" i="400"/>
  <c r="D24" i="400"/>
  <c r="D22" i="400"/>
  <c r="D19" i="400"/>
  <c r="H18" i="400"/>
  <c r="D18" i="400"/>
  <c r="J12" i="400"/>
  <c r="D12" i="400"/>
  <c r="N11" i="400"/>
  <c r="M11" i="400"/>
  <c r="L11" i="400"/>
  <c r="C6" i="400"/>
  <c r="B11" i="269"/>
  <c r="B10" i="269"/>
  <c r="B9" i="269"/>
  <c r="B8" i="269"/>
  <c r="B7" i="269"/>
  <c r="B6" i="269"/>
  <c r="B5" i="269"/>
  <c r="B4" i="269"/>
  <c r="B2" i="269"/>
  <c r="T35" i="458"/>
  <c r="P74" i="460"/>
  <c r="Q161" i="450"/>
  <c r="X161" i="450"/>
  <c r="AL161" i="450"/>
  <c r="Z161" i="450"/>
  <c r="O161" i="450"/>
  <c r="M161" i="450"/>
  <c r="P35" i="458"/>
  <c r="K161" i="450"/>
  <c r="AD161" i="450"/>
  <c r="S161" i="450"/>
  <c r="Q49" i="458"/>
  <c r="Q48" i="458"/>
  <c r="X26" i="458"/>
  <c r="AJ53" i="460"/>
  <c r="E21" i="460"/>
  <c r="E20" i="460"/>
  <c r="D21" i="460"/>
  <c r="L48" i="460"/>
  <c r="L47" i="460"/>
  <c r="AJ54" i="460"/>
  <c r="T34" i="458"/>
  <c r="AJ41" i="460"/>
  <c r="M35" i="460"/>
  <c r="W35" i="460"/>
  <c r="W34" i="460"/>
  <c r="V35" i="460"/>
  <c r="V34" i="460"/>
  <c r="Q35" i="460"/>
  <c r="Q34" i="460"/>
  <c r="CX77" i="456"/>
  <c r="O21" i="460"/>
  <c r="O20" i="460"/>
  <c r="G35" i="460"/>
  <c r="G34" i="460"/>
  <c r="F35" i="460"/>
  <c r="F34" i="460"/>
  <c r="X35" i="460"/>
  <c r="X34" i="460"/>
  <c r="U21" i="460"/>
  <c r="U20" i="460"/>
  <c r="T21" i="460"/>
  <c r="T20" i="460"/>
  <c r="T48" i="460"/>
  <c r="Q35" i="458"/>
  <c r="Q34" i="458"/>
  <c r="R35" i="458"/>
  <c r="R34" i="458"/>
  <c r="T47" i="460"/>
  <c r="E35" i="458"/>
  <c r="E34" i="458"/>
  <c r="F35" i="458"/>
  <c r="F34" i="458"/>
  <c r="Z42" i="458"/>
  <c r="AB48" i="460"/>
  <c r="AB47" i="460"/>
  <c r="H48" i="460"/>
  <c r="H47" i="460"/>
  <c r="I35" i="460"/>
  <c r="I34" i="460"/>
  <c r="G21" i="460"/>
  <c r="G20" i="460"/>
  <c r="T35" i="460"/>
  <c r="T34" i="460"/>
  <c r="D35" i="460"/>
  <c r="D34" i="460"/>
  <c r="S35" i="460"/>
  <c r="S34" i="460"/>
  <c r="AG21" i="460"/>
  <c r="AG20" i="460"/>
  <c r="Q21" i="460"/>
  <c r="Q20" i="460"/>
  <c r="AH35" i="460"/>
  <c r="AH34" i="460"/>
  <c r="R35" i="460"/>
  <c r="R34" i="460"/>
  <c r="AF21" i="460"/>
  <c r="AF20" i="460"/>
  <c r="P21" i="460"/>
  <c r="P20" i="460"/>
  <c r="E35" i="460"/>
  <c r="E34" i="460"/>
  <c r="D48" i="460"/>
  <c r="D47" i="460"/>
  <c r="O75" i="458"/>
  <c r="O74" i="458"/>
  <c r="F75" i="458"/>
  <c r="F74" i="458"/>
  <c r="O14" i="460"/>
  <c r="O13" i="460"/>
  <c r="X48" i="460"/>
  <c r="X47" i="460"/>
  <c r="AC35" i="460"/>
  <c r="AC34" i="460"/>
  <c r="W21" i="460"/>
  <c r="W20" i="460"/>
  <c r="AF35" i="460"/>
  <c r="AF34" i="460"/>
  <c r="P35" i="460"/>
  <c r="P34" i="460"/>
  <c r="AE35" i="460"/>
  <c r="AE34" i="460"/>
  <c r="O35" i="460"/>
  <c r="O34" i="460"/>
  <c r="AC21" i="460"/>
  <c r="M21" i="460"/>
  <c r="M20" i="460"/>
  <c r="AD35" i="460"/>
  <c r="AD34" i="460"/>
  <c r="N35" i="460"/>
  <c r="N34" i="460"/>
  <c r="AB21" i="460"/>
  <c r="AB20" i="460"/>
  <c r="L21" i="460"/>
  <c r="L20" i="460"/>
  <c r="AA21" i="460"/>
  <c r="AA20" i="460"/>
  <c r="P75" i="458"/>
  <c r="P74" i="458"/>
  <c r="P48" i="460"/>
  <c r="P47" i="460"/>
  <c r="Y35" i="460"/>
  <c r="Y34" i="460"/>
  <c r="S21" i="460"/>
  <c r="S20" i="460"/>
  <c r="AB35" i="460"/>
  <c r="AB34" i="460"/>
  <c r="L35" i="460"/>
  <c r="L34" i="460"/>
  <c r="AA35" i="460"/>
  <c r="AA34" i="460"/>
  <c r="K35" i="460"/>
  <c r="K34" i="460"/>
  <c r="Y21" i="460"/>
  <c r="Y20" i="460"/>
  <c r="I21" i="460"/>
  <c r="I20" i="460"/>
  <c r="Z35" i="460"/>
  <c r="Z34" i="460"/>
  <c r="J35" i="460"/>
  <c r="J34" i="460"/>
  <c r="X21" i="460"/>
  <c r="X20" i="460"/>
  <c r="H21" i="460"/>
  <c r="H20" i="460"/>
  <c r="U35" i="460"/>
  <c r="U34" i="460"/>
  <c r="I75" i="458"/>
  <c r="I74" i="458"/>
  <c r="AG34" i="460"/>
  <c r="N49" i="458"/>
  <c r="N48" i="458"/>
  <c r="X25" i="458"/>
  <c r="L49" i="458"/>
  <c r="L48" i="458"/>
  <c r="W21" i="458"/>
  <c r="W20" i="458"/>
  <c r="G87" i="460"/>
  <c r="G86" i="460"/>
  <c r="F87" i="460"/>
  <c r="F86" i="460"/>
  <c r="M49" i="458"/>
  <c r="M48" i="458"/>
  <c r="U21" i="458"/>
  <c r="U20" i="458"/>
  <c r="K72" i="401"/>
  <c r="N72" i="401"/>
  <c r="F61" i="460"/>
  <c r="F60" i="460"/>
  <c r="D61" i="460"/>
  <c r="D60" i="460"/>
  <c r="F62" i="458"/>
  <c r="F61" i="458"/>
  <c r="Z41" i="458"/>
  <c r="AJ27" i="460"/>
  <c r="Q87" i="460"/>
  <c r="Q86" i="460"/>
  <c r="Y198" i="450"/>
  <c r="Y195" i="450"/>
  <c r="Y186" i="450"/>
  <c r="D87" i="460"/>
  <c r="D86" i="460"/>
  <c r="T62" i="458"/>
  <c r="T61" i="458"/>
  <c r="D23" i="460"/>
  <c r="S87" i="460"/>
  <c r="S86" i="460"/>
  <c r="AG66" i="460"/>
  <c r="AC184" i="450"/>
  <c r="V61" i="460"/>
  <c r="V60" i="460"/>
  <c r="T61" i="460"/>
  <c r="T60" i="460"/>
  <c r="M62" i="458"/>
  <c r="M61" i="458"/>
  <c r="D62" i="458"/>
  <c r="D61" i="458"/>
  <c r="D35" i="458"/>
  <c r="D34" i="458"/>
  <c r="N35" i="458"/>
  <c r="N34" i="458"/>
  <c r="AD26" i="460"/>
  <c r="AG79" i="460"/>
  <c r="BJ118" i="456"/>
  <c r="AC128" i="456"/>
  <c r="CP134" i="456"/>
  <c r="CP159" i="456"/>
  <c r="E49" i="458"/>
  <c r="E48" i="458"/>
  <c r="X49" i="458"/>
  <c r="X48" i="458"/>
  <c r="H49" i="458"/>
  <c r="H48" i="458"/>
  <c r="J49" i="458"/>
  <c r="J48" i="458"/>
  <c r="I49" i="458"/>
  <c r="I48" i="458"/>
  <c r="V49" i="458"/>
  <c r="V48" i="458"/>
  <c r="R21" i="458"/>
  <c r="R20" i="458"/>
  <c r="K72" i="400"/>
  <c r="N72" i="400"/>
  <c r="AC260" i="450"/>
  <c r="T49" i="458"/>
  <c r="T48" i="458"/>
  <c r="D49" i="458"/>
  <c r="D48" i="458"/>
  <c r="F49" i="458"/>
  <c r="F48" i="458"/>
  <c r="AJ26" i="460"/>
  <c r="AG52" i="460"/>
  <c r="L21" i="458"/>
  <c r="L20" i="458"/>
  <c r="Z26" i="458"/>
  <c r="AB239" i="450"/>
  <c r="AB240" i="450"/>
  <c r="AB241" i="450"/>
  <c r="AM266" i="450"/>
  <c r="P49" i="458"/>
  <c r="P48" i="458"/>
  <c r="R49" i="458"/>
  <c r="R48" i="458"/>
  <c r="X68" i="458"/>
  <c r="E21" i="458"/>
  <c r="E20" i="458"/>
  <c r="X40" i="458"/>
  <c r="AJ66" i="460"/>
  <c r="CX91" i="456"/>
  <c r="CX103" i="456"/>
  <c r="CX111" i="456"/>
  <c r="CX170" i="456"/>
  <c r="CX178" i="456"/>
  <c r="AA195" i="450"/>
  <c r="C97" i="460"/>
  <c r="AJ91" i="460"/>
  <c r="X28" i="458"/>
  <c r="Z28" i="458"/>
  <c r="R61" i="460"/>
  <c r="R60" i="460"/>
  <c r="P61" i="460"/>
  <c r="P60" i="460"/>
  <c r="I62" i="458"/>
  <c r="I61" i="458"/>
  <c r="P34" i="458"/>
  <c r="W66" i="458"/>
  <c r="V87" i="460"/>
  <c r="V86" i="460"/>
  <c r="Z61" i="460"/>
  <c r="Z60" i="460"/>
  <c r="J61" i="460"/>
  <c r="J60" i="460"/>
  <c r="P87" i="460"/>
  <c r="P86" i="460"/>
  <c r="X61" i="460"/>
  <c r="X60" i="460"/>
  <c r="H61" i="460"/>
  <c r="H60" i="460"/>
  <c r="H34" i="460"/>
  <c r="D20" i="460"/>
  <c r="Q62" i="458"/>
  <c r="Q61" i="458"/>
  <c r="I35" i="458"/>
  <c r="I34" i="458"/>
  <c r="H62" i="458"/>
  <c r="H61" i="458"/>
  <c r="X35" i="458"/>
  <c r="X34" i="458"/>
  <c r="H35" i="458"/>
  <c r="H34" i="458"/>
  <c r="J62" i="458"/>
  <c r="J61" i="458"/>
  <c r="X55" i="458"/>
  <c r="J35" i="458"/>
  <c r="J34" i="458"/>
  <c r="AJ79" i="460"/>
  <c r="Z40" i="458"/>
  <c r="Z79" i="458"/>
  <c r="CX94" i="456"/>
  <c r="CX96" i="456"/>
  <c r="P73" i="460"/>
  <c r="AF61" i="460"/>
  <c r="AF60" i="460"/>
  <c r="P62" i="458"/>
  <c r="P61" i="458"/>
  <c r="Q14" i="458"/>
  <c r="Q13" i="458"/>
  <c r="L14" i="460"/>
  <c r="L13" i="460"/>
  <c r="AD61" i="460"/>
  <c r="AD60" i="460"/>
  <c r="N61" i="460"/>
  <c r="N60" i="460"/>
  <c r="AF87" i="460"/>
  <c r="AF86" i="460"/>
  <c r="AB61" i="460"/>
  <c r="AB60" i="460"/>
  <c r="L61" i="460"/>
  <c r="L60" i="460"/>
  <c r="V62" i="458"/>
  <c r="V61" i="458"/>
  <c r="E62" i="458"/>
  <c r="E61" i="458"/>
  <c r="M35" i="458"/>
  <c r="M34" i="458"/>
  <c r="L62" i="458"/>
  <c r="L61" i="458"/>
  <c r="L35" i="458"/>
  <c r="L34" i="458"/>
  <c r="N62" i="458"/>
  <c r="N61" i="458"/>
  <c r="W62" i="458"/>
  <c r="W61" i="458"/>
  <c r="V35" i="458"/>
  <c r="V34" i="458"/>
  <c r="R62" i="458"/>
  <c r="R61" i="458"/>
  <c r="V50" i="460"/>
  <c r="C98" i="460"/>
  <c r="CP129" i="456"/>
  <c r="AC143" i="456"/>
  <c r="CP146" i="456"/>
  <c r="AC161" i="456"/>
  <c r="CP161" i="456"/>
  <c r="BJ162" i="456"/>
  <c r="AC170" i="456"/>
  <c r="AC87" i="460"/>
  <c r="AC86" i="460"/>
  <c r="X54" i="458"/>
  <c r="Q20" i="458"/>
  <c r="CX27" i="456"/>
  <c r="CP65" i="456"/>
  <c r="AC85" i="456"/>
  <c r="AG53" i="460"/>
  <c r="C99" i="460"/>
  <c r="AC97" i="456"/>
  <c r="BJ109" i="456"/>
  <c r="CX116" i="456"/>
  <c r="CP123" i="456"/>
  <c r="CP125" i="456"/>
  <c r="CX129" i="456"/>
  <c r="AC132" i="456"/>
  <c r="AC145" i="456"/>
  <c r="CX175" i="456"/>
  <c r="AA14" i="460"/>
  <c r="AA13" i="460"/>
  <c r="CX26" i="456"/>
  <c r="CX58" i="456"/>
  <c r="CX137" i="456"/>
  <c r="CX145" i="456"/>
  <c r="CX149" i="456"/>
  <c r="CX154" i="456"/>
  <c r="CX158" i="456"/>
  <c r="CX162" i="456"/>
  <c r="CX166" i="456"/>
  <c r="CX174" i="456"/>
  <c r="X81" i="458"/>
  <c r="AG91" i="460"/>
  <c r="AD67" i="460"/>
  <c r="AC24" i="456"/>
  <c r="CP46" i="456"/>
  <c r="BJ77" i="456"/>
  <c r="BJ79" i="456"/>
  <c r="CP88" i="456"/>
  <c r="BJ112" i="456"/>
  <c r="BJ130" i="456"/>
  <c r="CP130" i="456"/>
  <c r="CP132" i="456"/>
  <c r="CP133" i="456"/>
  <c r="BJ134" i="456"/>
  <c r="AC137" i="456"/>
  <c r="CP138" i="456"/>
  <c r="BJ139" i="456"/>
  <c r="AC140" i="456"/>
  <c r="AC142" i="456"/>
  <c r="CP142" i="456"/>
  <c r="BJ148" i="456"/>
  <c r="CP148" i="456"/>
  <c r="CP151" i="456"/>
  <c r="CP153" i="456"/>
  <c r="CP154" i="456"/>
  <c r="CP155" i="456"/>
  <c r="AC156" i="456"/>
  <c r="BJ160" i="456"/>
  <c r="AC162" i="456"/>
  <c r="CP162" i="456"/>
  <c r="AC164" i="456"/>
  <c r="BJ165" i="456"/>
  <c r="CP165" i="456"/>
  <c r="CP167" i="456"/>
  <c r="BJ168" i="456"/>
  <c r="CP169" i="456"/>
  <c r="BJ170" i="456"/>
  <c r="CP170" i="456"/>
  <c r="CP171" i="456"/>
  <c r="AC172" i="456"/>
  <c r="AG78" i="460"/>
  <c r="AE48" i="460"/>
  <c r="AE47" i="460"/>
  <c r="W48" i="460"/>
  <c r="W47" i="460"/>
  <c r="K48" i="460"/>
  <c r="K47" i="460"/>
  <c r="V48" i="460"/>
  <c r="V47" i="460"/>
  <c r="J48" i="460"/>
  <c r="J47" i="460"/>
  <c r="O48" i="460"/>
  <c r="O47" i="460"/>
  <c r="AH48" i="460"/>
  <c r="AH47" i="460"/>
  <c r="Q48" i="460"/>
  <c r="Q47" i="460"/>
  <c r="E48" i="460"/>
  <c r="E47" i="460"/>
  <c r="AH74" i="460"/>
  <c r="AH73" i="460"/>
  <c r="K74" i="460"/>
  <c r="K73" i="460"/>
  <c r="AD74" i="460"/>
  <c r="AD73" i="460"/>
  <c r="E74" i="460"/>
  <c r="E73" i="460"/>
  <c r="Q74" i="460"/>
  <c r="Q73" i="460"/>
  <c r="W80" i="458"/>
  <c r="Z80" i="458"/>
  <c r="CX36" i="456"/>
  <c r="CX38" i="456"/>
  <c r="CX40" i="456"/>
  <c r="BJ60" i="456"/>
  <c r="AC62" i="456"/>
  <c r="AC74" i="456"/>
  <c r="CP75" i="456"/>
  <c r="CP76" i="456"/>
  <c r="CP78" i="456"/>
  <c r="AC79" i="456"/>
  <c r="CP80" i="456"/>
  <c r="AC83" i="456"/>
  <c r="CP84" i="456"/>
  <c r="Z67" i="458"/>
  <c r="AJ40" i="460"/>
  <c r="CP85" i="456"/>
  <c r="AC90" i="456"/>
  <c r="AC91" i="456"/>
  <c r="CP92" i="456"/>
  <c r="CP94" i="456"/>
  <c r="AC96" i="456"/>
  <c r="CP96" i="456"/>
  <c r="AC99" i="456"/>
  <c r="BJ99" i="456"/>
  <c r="AC103" i="456"/>
  <c r="BJ103" i="456"/>
  <c r="BJ105" i="456"/>
  <c r="CP106" i="456"/>
  <c r="CP108" i="456"/>
  <c r="CP109" i="456"/>
  <c r="AC111" i="456"/>
  <c r="BJ111" i="456"/>
  <c r="CX112" i="456"/>
  <c r="CX119" i="456"/>
  <c r="CX125" i="456"/>
  <c r="K14" i="458"/>
  <c r="K13" i="458"/>
  <c r="O35" i="458"/>
  <c r="O34" i="458"/>
  <c r="I14" i="460"/>
  <c r="I13" i="460"/>
  <c r="AC60" i="460"/>
  <c r="CP173" i="456"/>
  <c r="BJ176" i="456"/>
  <c r="AC177" i="456"/>
  <c r="AC178" i="456"/>
  <c r="BJ178" i="456"/>
  <c r="CP178" i="456"/>
  <c r="CP179" i="456"/>
  <c r="CP182" i="456"/>
  <c r="CX183" i="456"/>
  <c r="W73" i="460"/>
  <c r="BJ113" i="456"/>
  <c r="CX113" i="456"/>
  <c r="CP116" i="456"/>
  <c r="CP118" i="456"/>
  <c r="CX118" i="456"/>
  <c r="AC120" i="456"/>
  <c r="BJ120" i="456"/>
  <c r="CX120" i="456"/>
  <c r="BJ122" i="456"/>
  <c r="BJ126" i="456"/>
  <c r="CP126" i="456"/>
  <c r="CX128" i="456"/>
  <c r="BJ129" i="456"/>
  <c r="G14" i="458"/>
  <c r="G13" i="458"/>
  <c r="Z27" i="458"/>
  <c r="X27" i="458"/>
  <c r="C87" i="458"/>
  <c r="AG86" i="460"/>
  <c r="AJ92" i="460"/>
  <c r="R87" i="460"/>
  <c r="R86" i="460"/>
  <c r="AB74" i="460"/>
  <c r="AB73" i="460"/>
  <c r="L74" i="460"/>
  <c r="L73" i="460"/>
  <c r="AB87" i="460"/>
  <c r="AB86" i="460"/>
  <c r="G75" i="458"/>
  <c r="G74" i="458"/>
  <c r="D75" i="458"/>
  <c r="D74" i="458"/>
  <c r="T75" i="458"/>
  <c r="T74" i="458"/>
  <c r="M75" i="458"/>
  <c r="M74" i="458"/>
  <c r="AD28" i="460"/>
  <c r="K21" i="458"/>
  <c r="K20" i="458"/>
  <c r="F21" i="458"/>
  <c r="F20" i="458"/>
  <c r="V21" i="458"/>
  <c r="V20" i="458"/>
  <c r="P21" i="458"/>
  <c r="P20" i="458"/>
  <c r="I21" i="458"/>
  <c r="I20" i="458"/>
  <c r="AD40" i="460"/>
  <c r="AJ65" i="460"/>
  <c r="AC26" i="456"/>
  <c r="R78" i="458"/>
  <c r="AJ51" i="460"/>
  <c r="CP39" i="456"/>
  <c r="CX44" i="456"/>
  <c r="BJ46" i="456"/>
  <c r="CP50" i="456"/>
  <c r="CX50" i="456"/>
  <c r="CX52" i="456"/>
  <c r="CX57" i="456"/>
  <c r="BJ66" i="456"/>
  <c r="CX110" i="456"/>
  <c r="CP112" i="456"/>
  <c r="AC123" i="456"/>
  <c r="AC129" i="456"/>
  <c r="AC176" i="456"/>
  <c r="F74" i="460"/>
  <c r="F73" i="460"/>
  <c r="M74" i="460"/>
  <c r="M73" i="460"/>
  <c r="S74" i="460"/>
  <c r="S73" i="460"/>
  <c r="Y74" i="460"/>
  <c r="Y73" i="460"/>
  <c r="AE74" i="460"/>
  <c r="AE73" i="460"/>
  <c r="J74" i="460"/>
  <c r="J73" i="460"/>
  <c r="K87" i="460"/>
  <c r="K86" i="460"/>
  <c r="U87" i="460"/>
  <c r="U86" i="460"/>
  <c r="AE87" i="460"/>
  <c r="AE86" i="460"/>
  <c r="Y87" i="460"/>
  <c r="Y86" i="460"/>
  <c r="AE37" i="450"/>
  <c r="AG37" i="450"/>
  <c r="AM37" i="450"/>
  <c r="AD87" i="460"/>
  <c r="AD86" i="460"/>
  <c r="N87" i="460"/>
  <c r="N86" i="460"/>
  <c r="X74" i="460"/>
  <c r="X73" i="460"/>
  <c r="H74" i="460"/>
  <c r="H73" i="460"/>
  <c r="X87" i="460"/>
  <c r="X86" i="460"/>
  <c r="L87" i="460"/>
  <c r="L86" i="460"/>
  <c r="AC20" i="460"/>
  <c r="V75" i="458"/>
  <c r="V74" i="458"/>
  <c r="H75" i="458"/>
  <c r="H74" i="458"/>
  <c r="X75" i="458"/>
  <c r="X74" i="458"/>
  <c r="U75" i="458"/>
  <c r="U74" i="458"/>
  <c r="Q75" i="458"/>
  <c r="Q74" i="458"/>
  <c r="W67" i="458"/>
  <c r="S21" i="458"/>
  <c r="S20" i="458"/>
  <c r="CP93" i="456"/>
  <c r="BJ93" i="456"/>
  <c r="O21" i="458"/>
  <c r="O20" i="458"/>
  <c r="J21" i="458"/>
  <c r="J20" i="458"/>
  <c r="D21" i="458"/>
  <c r="D20" i="458"/>
  <c r="T21" i="458"/>
  <c r="T20" i="458"/>
  <c r="M21" i="458"/>
  <c r="M20" i="458"/>
  <c r="AC93" i="456"/>
  <c r="X39" i="458"/>
  <c r="CX11" i="456"/>
  <c r="CX16" i="456"/>
  <c r="CX18" i="456"/>
  <c r="CX28" i="456"/>
  <c r="CX49" i="456"/>
  <c r="CX56" i="456"/>
  <c r="CX148" i="456"/>
  <c r="CX157" i="456"/>
  <c r="CX167" i="456"/>
  <c r="BJ174" i="456"/>
  <c r="Z23" i="458"/>
  <c r="AF48" i="460"/>
  <c r="AF47" i="460"/>
  <c r="G48" i="460"/>
  <c r="G47" i="460"/>
  <c r="M48" i="460"/>
  <c r="M47" i="460"/>
  <c r="S48" i="460"/>
  <c r="S47" i="460"/>
  <c r="Y48" i="460"/>
  <c r="Y47" i="460"/>
  <c r="AF74" i="460"/>
  <c r="AF73" i="460"/>
  <c r="G74" i="460"/>
  <c r="G73" i="460"/>
  <c r="N74" i="460"/>
  <c r="N73" i="460"/>
  <c r="U74" i="460"/>
  <c r="U73" i="460"/>
  <c r="AA74" i="460"/>
  <c r="AA73" i="460"/>
  <c r="AG74" i="460"/>
  <c r="AG73" i="460"/>
  <c r="R74" i="460"/>
  <c r="R73" i="460"/>
  <c r="AH87" i="460"/>
  <c r="AH86" i="460"/>
  <c r="M87" i="460"/>
  <c r="M86" i="460"/>
  <c r="W87" i="460"/>
  <c r="W86" i="460"/>
  <c r="W14" i="460"/>
  <c r="W13" i="460"/>
  <c r="C88" i="458"/>
  <c r="Z87" i="460"/>
  <c r="Z86" i="460"/>
  <c r="J87" i="460"/>
  <c r="J86" i="460"/>
  <c r="T74" i="460"/>
  <c r="T73" i="460"/>
  <c r="D74" i="460"/>
  <c r="D73" i="460"/>
  <c r="T87" i="460"/>
  <c r="T86" i="460"/>
  <c r="H87" i="460"/>
  <c r="H86" i="460"/>
  <c r="M34" i="460"/>
  <c r="W75" i="458"/>
  <c r="W74" i="458"/>
  <c r="N75" i="458"/>
  <c r="N74" i="458"/>
  <c r="L75" i="458"/>
  <c r="L74" i="458"/>
  <c r="E75" i="458"/>
  <c r="E74" i="458"/>
  <c r="G21" i="458"/>
  <c r="G20" i="458"/>
  <c r="N21" i="458"/>
  <c r="N20" i="458"/>
  <c r="H21" i="458"/>
  <c r="H20" i="458"/>
  <c r="X21" i="458"/>
  <c r="X20" i="458"/>
  <c r="Z78" i="458"/>
  <c r="Z52" i="458"/>
  <c r="AJ24" i="460"/>
  <c r="BJ31" i="456"/>
  <c r="I48" i="460"/>
  <c r="I47" i="460"/>
  <c r="N48" i="460"/>
  <c r="N47" i="460"/>
  <c r="U48" i="460"/>
  <c r="U47" i="460"/>
  <c r="AC48" i="460"/>
  <c r="AC47" i="460"/>
  <c r="F47" i="460"/>
  <c r="I74" i="460"/>
  <c r="I73" i="460"/>
  <c r="O74" i="460"/>
  <c r="O73" i="460"/>
  <c r="V74" i="460"/>
  <c r="V73" i="460"/>
  <c r="AC74" i="460"/>
  <c r="AC73" i="460"/>
  <c r="Z74" i="460"/>
  <c r="Z73" i="460"/>
  <c r="E87" i="460"/>
  <c r="E86" i="460"/>
  <c r="O87" i="460"/>
  <c r="O86" i="460"/>
  <c r="AA87" i="460"/>
  <c r="AA86" i="460"/>
  <c r="I87" i="460"/>
  <c r="I86" i="460"/>
  <c r="AC32" i="450"/>
  <c r="AC30" i="450"/>
  <c r="AC29" i="450"/>
  <c r="N63" i="400"/>
  <c r="N66" i="400"/>
  <c r="AG92" i="460"/>
  <c r="BJ26" i="456"/>
  <c r="CX21" i="456"/>
  <c r="CX23" i="456"/>
  <c r="CP28" i="456"/>
  <c r="BJ39" i="456"/>
  <c r="AC41" i="456"/>
  <c r="BJ52" i="456"/>
  <c r="CP56" i="456"/>
  <c r="CP57" i="456"/>
  <c r="BJ58" i="456"/>
  <c r="CX62" i="456"/>
  <c r="AC67" i="456"/>
  <c r="CP67" i="456"/>
  <c r="AC69" i="456"/>
  <c r="BJ69" i="456"/>
  <c r="CP70" i="456"/>
  <c r="BJ71" i="456"/>
  <c r="AC77" i="456"/>
  <c r="CX85" i="456"/>
  <c r="BJ94" i="456"/>
  <c r="CX51" i="456"/>
  <c r="CX65" i="456"/>
  <c r="CX70" i="456"/>
  <c r="AC169" i="456"/>
  <c r="CX12" i="456"/>
  <c r="BJ51" i="456"/>
  <c r="BJ115" i="456"/>
  <c r="AC118" i="456"/>
  <c r="BJ90" i="456"/>
  <c r="CX90" i="456"/>
  <c r="CX122" i="456"/>
  <c r="CX171" i="456"/>
  <c r="CX173" i="456"/>
  <c r="CX176" i="456"/>
  <c r="CX180" i="456"/>
  <c r="G35" i="458"/>
  <c r="G34" i="458"/>
  <c r="K49" i="458"/>
  <c r="K48" i="458"/>
  <c r="K35" i="458"/>
  <c r="K34" i="458"/>
  <c r="U35" i="458"/>
  <c r="U34" i="458"/>
  <c r="W49" i="458"/>
  <c r="W48" i="458"/>
  <c r="M61" i="460"/>
  <c r="M60" i="460"/>
  <c r="AE73" i="450"/>
  <c r="AG73" i="450"/>
  <c r="AM73" i="450"/>
  <c r="AE66" i="450"/>
  <c r="AG66" i="450"/>
  <c r="AM66" i="450"/>
  <c r="CP183" i="456"/>
  <c r="AE74" i="450"/>
  <c r="AG74" i="450"/>
  <c r="AM74" i="450"/>
  <c r="AE70" i="450"/>
  <c r="AG70" i="450"/>
  <c r="AM70" i="450"/>
  <c r="BJ121" i="456"/>
  <c r="AC146" i="456"/>
  <c r="AC153" i="456"/>
  <c r="AC155" i="456"/>
  <c r="AC157" i="456"/>
  <c r="BJ172" i="456"/>
  <c r="BJ179" i="456"/>
  <c r="S35" i="458"/>
  <c r="S34" i="458"/>
  <c r="G49" i="458"/>
  <c r="G48" i="458"/>
  <c r="AA198" i="450"/>
  <c r="R77" i="458"/>
  <c r="Z77" i="458"/>
  <c r="AJ76" i="460"/>
  <c r="V76" i="460"/>
  <c r="AD39" i="460"/>
  <c r="AJ50" i="460"/>
  <c r="CP21" i="456"/>
  <c r="CP51" i="456"/>
  <c r="CP52" i="456"/>
  <c r="AC54" i="456"/>
  <c r="CX54" i="456"/>
  <c r="CP55" i="456"/>
  <c r="CX60" i="456"/>
  <c r="BJ127" i="456"/>
  <c r="CX127" i="456"/>
  <c r="AC133" i="456"/>
  <c r="CP26" i="456"/>
  <c r="CX10" i="456"/>
  <c r="BJ17" i="456"/>
  <c r="BJ18" i="456"/>
  <c r="CX25" i="456"/>
  <c r="CX31" i="456"/>
  <c r="CP43" i="456"/>
  <c r="BJ50" i="456"/>
  <c r="CX74" i="456"/>
  <c r="CX86" i="456"/>
  <c r="BJ87" i="456"/>
  <c r="AC88" i="456"/>
  <c r="CX88" i="456"/>
  <c r="AC92" i="456"/>
  <c r="BJ97" i="456"/>
  <c r="CX104" i="456"/>
  <c r="CX106" i="456"/>
  <c r="CX108" i="456"/>
  <c r="CX115" i="456"/>
  <c r="BJ135" i="456"/>
  <c r="BJ144" i="456"/>
  <c r="BJ151" i="456"/>
  <c r="CX151" i="456"/>
  <c r="CX8" i="456"/>
  <c r="CX13" i="456"/>
  <c r="AC16" i="456"/>
  <c r="CX17" i="456"/>
  <c r="CP24" i="456"/>
  <c r="CP27" i="456"/>
  <c r="CT32" i="456"/>
  <c r="CU32" i="456"/>
  <c r="BJ63" i="456"/>
  <c r="AC78" i="456"/>
  <c r="CX83" i="456"/>
  <c r="AC139" i="456"/>
  <c r="CP140" i="456"/>
  <c r="AC141" i="456"/>
  <c r="CX143" i="456"/>
  <c r="CX161" i="456"/>
  <c r="BJ167" i="456"/>
  <c r="G62" i="458"/>
  <c r="G61" i="458"/>
  <c r="AC27" i="456"/>
  <c r="BJ37" i="456"/>
  <c r="CX37" i="456"/>
  <c r="BJ47" i="456"/>
  <c r="BJ49" i="456"/>
  <c r="AC59" i="456"/>
  <c r="CX63" i="456"/>
  <c r="AC76" i="456"/>
  <c r="CX80" i="456"/>
  <c r="CX89" i="456"/>
  <c r="AC105" i="456"/>
  <c r="CX105" i="456"/>
  <c r="CX107" i="456"/>
  <c r="AC109" i="456"/>
  <c r="CX109" i="456"/>
  <c r="AC110" i="456"/>
  <c r="AC116" i="456"/>
  <c r="CX124" i="456"/>
  <c r="BJ125" i="456"/>
  <c r="AC126" i="456"/>
  <c r="CX131" i="456"/>
  <c r="CX135" i="456"/>
  <c r="AC138" i="456"/>
  <c r="CX152" i="456"/>
  <c r="AC160" i="456"/>
  <c r="AC166" i="456"/>
  <c r="K62" i="458"/>
  <c r="K61" i="458"/>
  <c r="R14" i="460"/>
  <c r="R13" i="460"/>
  <c r="AL264" i="450"/>
  <c r="AC178" i="450"/>
  <c r="T120" i="450"/>
  <c r="AC186" i="450"/>
  <c r="AC36" i="450"/>
  <c r="CX64" i="456"/>
  <c r="CX71" i="456"/>
  <c r="CW72" i="456"/>
  <c r="CW73" i="456"/>
  <c r="BJ89" i="456"/>
  <c r="AC102" i="456"/>
  <c r="AC114" i="456"/>
  <c r="BJ116" i="456"/>
  <c r="CX121" i="456"/>
  <c r="AC124" i="456"/>
  <c r="BJ124" i="456"/>
  <c r="BJ128" i="456"/>
  <c r="AC130" i="456"/>
  <c r="CX130" i="456"/>
  <c r="CX132" i="456"/>
  <c r="CP143" i="456"/>
  <c r="BJ149" i="456"/>
  <c r="BJ158" i="456"/>
  <c r="AC179" i="456"/>
  <c r="CX179" i="456"/>
  <c r="BJ183" i="456"/>
  <c r="S62" i="458"/>
  <c r="S61" i="458"/>
  <c r="O62" i="458"/>
  <c r="O61" i="458"/>
  <c r="U61" i="458"/>
  <c r="G61" i="460"/>
  <c r="G60" i="460"/>
  <c r="AA178" i="450"/>
  <c r="Z51" i="458"/>
  <c r="L51" i="458"/>
  <c r="AJ77" i="460"/>
  <c r="V77" i="460"/>
  <c r="AC17" i="456"/>
  <c r="AC18" i="456"/>
  <c r="BJ19" i="456"/>
  <c r="CP19" i="456"/>
  <c r="BJ21" i="456"/>
  <c r="CP23" i="456"/>
  <c r="AC28" i="456"/>
  <c r="BJ28" i="456"/>
  <c r="AC30" i="456"/>
  <c r="BJ38" i="456"/>
  <c r="CP45" i="456"/>
  <c r="CX48" i="456"/>
  <c r="AC51" i="456"/>
  <c r="AC55" i="456"/>
  <c r="AC56" i="456"/>
  <c r="AC66" i="456"/>
  <c r="BJ83" i="456"/>
  <c r="CP83" i="456"/>
  <c r="AC104" i="456"/>
  <c r="K71" i="400"/>
  <c r="N71" i="400"/>
  <c r="AD93" i="460"/>
  <c r="BJ25" i="456"/>
  <c r="CP16" i="456"/>
  <c r="AC19" i="456"/>
  <c r="CX19" i="456"/>
  <c r="AC21" i="456"/>
  <c r="BJ22" i="456"/>
  <c r="CP22" i="456"/>
  <c r="BJ23" i="456"/>
  <c r="BJ24" i="456"/>
  <c r="CX24" i="456"/>
  <c r="BJ27" i="456"/>
  <c r="BJ35" i="456"/>
  <c r="CP36" i="456"/>
  <c r="CX42" i="456"/>
  <c r="BJ43" i="456"/>
  <c r="AC45" i="456"/>
  <c r="AC65" i="456"/>
  <c r="BJ74" i="456"/>
  <c r="BJ75" i="456"/>
  <c r="CX76" i="456"/>
  <c r="CX84" i="456"/>
  <c r="C86" i="458"/>
  <c r="BJ85" i="456"/>
  <c r="BJ96" i="456"/>
  <c r="N63" i="401"/>
  <c r="N66" i="401"/>
  <c r="K71" i="401"/>
  <c r="N71" i="401"/>
  <c r="BJ16" i="456"/>
  <c r="CP18" i="456"/>
  <c r="AC22" i="456"/>
  <c r="CX22" i="456"/>
  <c r="AC23" i="456"/>
  <c r="AC29" i="456"/>
  <c r="CP30" i="456"/>
  <c r="CP41" i="456"/>
  <c r="BJ42" i="456"/>
  <c r="BJ57" i="456"/>
  <c r="AC64" i="456"/>
  <c r="CP64" i="456"/>
  <c r="BJ84" i="456"/>
  <c r="CP89" i="456"/>
  <c r="AC94" i="456"/>
  <c r="CW95" i="456"/>
  <c r="CP17" i="456"/>
  <c r="CP87" i="456"/>
  <c r="CP99" i="456"/>
  <c r="BJ102" i="456"/>
  <c r="CP102" i="456"/>
  <c r="CP104" i="456"/>
  <c r="AC107" i="456"/>
  <c r="CP111" i="456"/>
  <c r="CP114" i="456"/>
  <c r="AC115" i="456"/>
  <c r="CP119" i="456"/>
  <c r="CP110" i="456"/>
  <c r="CX177" i="456"/>
  <c r="W34" i="458"/>
  <c r="AC60" i="450"/>
  <c r="AC39" i="456"/>
  <c r="BJ40" i="456"/>
  <c r="BJ41" i="456"/>
  <c r="AC43" i="456"/>
  <c r="BJ44" i="456"/>
  <c r="BJ45" i="456"/>
  <c r="AC48" i="456"/>
  <c r="CP48" i="456"/>
  <c r="CP49" i="456"/>
  <c r="AC58" i="456"/>
  <c r="CX59" i="456"/>
  <c r="CP62" i="456"/>
  <c r="CP63" i="456"/>
  <c r="AC70" i="456"/>
  <c r="AC71" i="456"/>
  <c r="BJ76" i="456"/>
  <c r="AC84" i="456"/>
  <c r="BJ88" i="456"/>
  <c r="BJ92" i="456"/>
  <c r="CX102" i="456"/>
  <c r="BJ119" i="456"/>
  <c r="AC122" i="456"/>
  <c r="CX123" i="456"/>
  <c r="AC125" i="456"/>
  <c r="CX126" i="456"/>
  <c r="CP127" i="456"/>
  <c r="CP128" i="456"/>
  <c r="CP131" i="456"/>
  <c r="AC134" i="456"/>
  <c r="CP137" i="456"/>
  <c r="BJ138" i="456"/>
  <c r="CX138" i="456"/>
  <c r="CP139" i="456"/>
  <c r="BJ143" i="456"/>
  <c r="CX144" i="456"/>
  <c r="BJ147" i="456"/>
  <c r="CP147" i="456"/>
  <c r="AC148" i="456"/>
  <c r="AC151" i="456"/>
  <c r="BJ152" i="456"/>
  <c r="BJ153" i="456"/>
  <c r="CX153" i="456"/>
  <c r="AC154" i="456"/>
  <c r="BJ154" i="456"/>
  <c r="CX155" i="456"/>
  <c r="CP157" i="456"/>
  <c r="AC159" i="456"/>
  <c r="CP163" i="456"/>
  <c r="BJ164" i="456"/>
  <c r="BJ166" i="456"/>
  <c r="AC171" i="456"/>
  <c r="CP172" i="456"/>
  <c r="AC173" i="456"/>
  <c r="CP175" i="456"/>
  <c r="CP177" i="456"/>
  <c r="AC180" i="456"/>
  <c r="BJ181" i="456"/>
  <c r="CP181" i="456"/>
  <c r="AC182" i="456"/>
  <c r="CX182" i="456"/>
  <c r="O49" i="458"/>
  <c r="O48" i="458"/>
  <c r="R47" i="460"/>
  <c r="W61" i="460"/>
  <c r="W60" i="460"/>
  <c r="T178" i="450"/>
  <c r="AE166" i="450"/>
  <c r="AG166" i="450"/>
  <c r="AM166" i="450"/>
  <c r="AE120" i="450"/>
  <c r="AC61" i="450"/>
  <c r="BJ29" i="456"/>
  <c r="AC36" i="456"/>
  <c r="CX39" i="456"/>
  <c r="CX43" i="456"/>
  <c r="CX46" i="456"/>
  <c r="AC49" i="456"/>
  <c r="BJ54" i="456"/>
  <c r="BJ55" i="456"/>
  <c r="CP59" i="456"/>
  <c r="AC60" i="456"/>
  <c r="BJ62" i="456"/>
  <c r="BJ65" i="456"/>
  <c r="CX67" i="456"/>
  <c r="BJ70" i="456"/>
  <c r="AC75" i="456"/>
  <c r="CX78" i="456"/>
  <c r="BJ80" i="456"/>
  <c r="CX97" i="456"/>
  <c r="CX99" i="456"/>
  <c r="BJ106" i="456"/>
  <c r="BJ108" i="456"/>
  <c r="BJ110" i="456"/>
  <c r="AC113" i="456"/>
  <c r="CX114" i="456"/>
  <c r="CP120" i="456"/>
  <c r="CP121" i="456"/>
  <c r="AC131" i="456"/>
  <c r="BJ132" i="456"/>
  <c r="CX134" i="456"/>
  <c r="BJ140" i="456"/>
  <c r="CX140" i="456"/>
  <c r="BJ141" i="456"/>
  <c r="CX142" i="456"/>
  <c r="BJ146" i="456"/>
  <c r="CX146" i="456"/>
  <c r="CP149" i="456"/>
  <c r="BJ155" i="456"/>
  <c r="CX156" i="456"/>
  <c r="AC158" i="456"/>
  <c r="CX159" i="456"/>
  <c r="AC163" i="456"/>
  <c r="CX163" i="456"/>
  <c r="CX165" i="456"/>
  <c r="AC167" i="456"/>
  <c r="AC168" i="456"/>
  <c r="CX168" i="456"/>
  <c r="BJ169" i="456"/>
  <c r="CX169" i="456"/>
  <c r="BJ173" i="456"/>
  <c r="AC175" i="456"/>
  <c r="BJ182" i="456"/>
  <c r="U49" i="458"/>
  <c r="U48" i="458"/>
  <c r="X61" i="458"/>
  <c r="T199" i="450"/>
  <c r="AG199" i="450"/>
  <c r="AM199" i="450"/>
  <c r="Y184" i="450"/>
  <c r="AG169" i="450"/>
  <c r="AM169" i="450"/>
  <c r="N64" i="458"/>
  <c r="Z64" i="458"/>
  <c r="C95" i="460"/>
  <c r="AJ37" i="460"/>
  <c r="D37" i="460"/>
  <c r="Z38" i="458"/>
  <c r="C84" i="458"/>
  <c r="I38" i="458"/>
  <c r="V63" i="460"/>
  <c r="AJ63" i="460"/>
  <c r="N65" i="458"/>
  <c r="Z65" i="458"/>
  <c r="AJ38" i="460"/>
  <c r="D38" i="460"/>
  <c r="Z37" i="458"/>
  <c r="I37" i="458"/>
  <c r="C83" i="458"/>
  <c r="C96" i="460"/>
  <c r="AJ90" i="460"/>
  <c r="V90" i="460"/>
  <c r="V89" i="460"/>
  <c r="AJ89" i="460"/>
  <c r="AJ64" i="460"/>
  <c r="V64" i="460"/>
  <c r="C100" i="460"/>
  <c r="C85" i="458"/>
  <c r="X53" i="458"/>
  <c r="D24" i="460"/>
  <c r="CS95" i="456"/>
  <c r="Z54" i="458"/>
  <c r="CP72" i="456"/>
  <c r="CP25" i="456"/>
  <c r="L52" i="458"/>
  <c r="AC25" i="456"/>
  <c r="CX41" i="456"/>
  <c r="CX45" i="456"/>
  <c r="CP66" i="456"/>
  <c r="CP69" i="456"/>
  <c r="CP79" i="456"/>
  <c r="BJ107" i="456"/>
  <c r="CP141" i="456"/>
  <c r="CP158" i="456"/>
  <c r="CP160" i="456"/>
  <c r="CP164" i="456"/>
  <c r="AC165" i="456"/>
  <c r="BJ171" i="456"/>
  <c r="BJ180" i="456"/>
  <c r="AC183" i="456"/>
  <c r="AH21" i="460"/>
  <c r="AH20" i="460"/>
  <c r="Z21" i="460"/>
  <c r="Z20" i="460"/>
  <c r="R21" i="460"/>
  <c r="R20" i="460"/>
  <c r="J21" i="460"/>
  <c r="J20" i="460"/>
  <c r="AE21" i="460"/>
  <c r="AE20" i="460"/>
  <c r="AD21" i="460"/>
  <c r="AD20" i="460"/>
  <c r="V21" i="460"/>
  <c r="V20" i="460"/>
  <c r="N21" i="460"/>
  <c r="N20" i="460"/>
  <c r="F21" i="460"/>
  <c r="F20" i="460"/>
  <c r="CP77" i="456"/>
  <c r="CP115" i="456"/>
  <c r="BJ157" i="456"/>
  <c r="AJ25" i="460"/>
  <c r="AJ23" i="460"/>
  <c r="AD80" i="460"/>
  <c r="V51" i="460"/>
  <c r="BJ30" i="456"/>
  <c r="CX30" i="456"/>
  <c r="AC35" i="456"/>
  <c r="CP35" i="456"/>
  <c r="AC37" i="456"/>
  <c r="CP37" i="456"/>
  <c r="CP38" i="456"/>
  <c r="CP40" i="456"/>
  <c r="CP42" i="456"/>
  <c r="AC44" i="456"/>
  <c r="CP44" i="456"/>
  <c r="AC46" i="456"/>
  <c r="AC47" i="456"/>
  <c r="CP47" i="456"/>
  <c r="AC57" i="456"/>
  <c r="CP58" i="456"/>
  <c r="BJ64" i="456"/>
  <c r="CX66" i="456"/>
  <c r="BJ67" i="456"/>
  <c r="CP71" i="456"/>
  <c r="CS72" i="456"/>
  <c r="CP74" i="456"/>
  <c r="BJ78" i="456"/>
  <c r="AC80" i="456"/>
  <c r="AC87" i="456"/>
  <c r="CX87" i="456"/>
  <c r="AC89" i="456"/>
  <c r="CP90" i="456"/>
  <c r="BJ91" i="456"/>
  <c r="CP97" i="456"/>
  <c r="CP103" i="456"/>
  <c r="CP105" i="456"/>
  <c r="AC106" i="456"/>
  <c r="CP107" i="456"/>
  <c r="AC108" i="456"/>
  <c r="CP113" i="456"/>
  <c r="AC119" i="456"/>
  <c r="CP122" i="456"/>
  <c r="AC127" i="456"/>
  <c r="CX133" i="456"/>
  <c r="AC135" i="456"/>
  <c r="CP135" i="456"/>
  <c r="CX139" i="456"/>
  <c r="BJ142" i="456"/>
  <c r="AC144" i="456"/>
  <c r="CP144" i="456"/>
  <c r="BJ145" i="456"/>
  <c r="AC147" i="456"/>
  <c r="CX147" i="456"/>
  <c r="AC149" i="456"/>
  <c r="BJ159" i="456"/>
  <c r="BJ161" i="456"/>
  <c r="CP166" i="456"/>
  <c r="CX172" i="456"/>
  <c r="AC174" i="456"/>
  <c r="CP174" i="456"/>
  <c r="BJ175" i="456"/>
  <c r="CP176" i="456"/>
  <c r="CP180" i="456"/>
  <c r="AC181" i="456"/>
  <c r="CX181" i="456"/>
  <c r="S75" i="458"/>
  <c r="S74" i="458"/>
  <c r="J75" i="458"/>
  <c r="J74" i="458"/>
  <c r="R75" i="458"/>
  <c r="R74" i="458"/>
  <c r="K74" i="458"/>
  <c r="AG61" i="460"/>
  <c r="AG60" i="460"/>
  <c r="AA61" i="460"/>
  <c r="AA60" i="460"/>
  <c r="Q61" i="460"/>
  <c r="Q60" i="460"/>
  <c r="K61" i="460"/>
  <c r="K60" i="460"/>
  <c r="AE61" i="460"/>
  <c r="AE60" i="460"/>
  <c r="U61" i="460"/>
  <c r="U60" i="460"/>
  <c r="O61" i="460"/>
  <c r="O60" i="460"/>
  <c r="E61" i="460"/>
  <c r="E60" i="460"/>
  <c r="Y61" i="460"/>
  <c r="Y60" i="460"/>
  <c r="S61" i="460"/>
  <c r="S60" i="460"/>
  <c r="I61" i="460"/>
  <c r="I60" i="460"/>
  <c r="AH61" i="460"/>
  <c r="AH60" i="460"/>
  <c r="CP29" i="456"/>
  <c r="AC152" i="456"/>
  <c r="CP168" i="456"/>
  <c r="BJ72" i="456"/>
  <c r="AC72" i="456"/>
  <c r="AC31" i="456"/>
  <c r="CP31" i="456"/>
  <c r="CX35" i="456"/>
  <c r="BJ36" i="456"/>
  <c r="AC38" i="456"/>
  <c r="AC40" i="456"/>
  <c r="AC42" i="456"/>
  <c r="CX47" i="456"/>
  <c r="BJ48" i="456"/>
  <c r="AC50" i="456"/>
  <c r="AC52" i="456"/>
  <c r="CP54" i="456"/>
  <c r="CX55" i="456"/>
  <c r="BJ56" i="456"/>
  <c r="BJ59" i="456"/>
  <c r="CP60" i="456"/>
  <c r="AC63" i="456"/>
  <c r="CX69" i="456"/>
  <c r="CX79" i="456"/>
  <c r="CP91" i="456"/>
  <c r="BJ104" i="456"/>
  <c r="AC112" i="456"/>
  <c r="BJ114" i="456"/>
  <c r="AC121" i="456"/>
  <c r="BJ123" i="456"/>
  <c r="CP124" i="456"/>
  <c r="BJ131" i="456"/>
  <c r="BJ133" i="456"/>
  <c r="BJ137" i="456"/>
  <c r="CX141" i="456"/>
  <c r="CP145" i="456"/>
  <c r="CP152" i="456"/>
  <c r="BJ156" i="456"/>
  <c r="CP156" i="456"/>
  <c r="CX160" i="456"/>
  <c r="BJ163" i="456"/>
  <c r="CX164" i="456"/>
  <c r="BJ177" i="456"/>
  <c r="Z14" i="460"/>
  <c r="Z13" i="460"/>
  <c r="U14" i="460"/>
  <c r="U13" i="460"/>
  <c r="N14" i="460"/>
  <c r="N13" i="460"/>
  <c r="K14" i="460"/>
  <c r="K13" i="460"/>
  <c r="H14" i="460"/>
  <c r="H13" i="460"/>
  <c r="E14" i="460"/>
  <c r="E13" i="460"/>
  <c r="U14" i="458"/>
  <c r="U13" i="458"/>
  <c r="P14" i="458"/>
  <c r="P13" i="458"/>
  <c r="J14" i="458"/>
  <c r="J13" i="458"/>
  <c r="F14" i="458"/>
  <c r="F13" i="458"/>
  <c r="D14" i="458"/>
  <c r="D13" i="458"/>
  <c r="AC14" i="460"/>
  <c r="AC13" i="460"/>
  <c r="Y14" i="460"/>
  <c r="Y13" i="460"/>
  <c r="T14" i="460"/>
  <c r="T13" i="460"/>
  <c r="Q14" i="460"/>
  <c r="Q13" i="460"/>
  <c r="J14" i="460"/>
  <c r="J13" i="460"/>
  <c r="G14" i="460"/>
  <c r="G13" i="460"/>
  <c r="T14" i="458"/>
  <c r="T13" i="458"/>
  <c r="O14" i="458"/>
  <c r="O13" i="458"/>
  <c r="AB14" i="460"/>
  <c r="AB13" i="460"/>
  <c r="X14" i="460"/>
  <c r="X13" i="460"/>
  <c r="S14" i="460"/>
  <c r="S13" i="460"/>
  <c r="P14" i="460"/>
  <c r="P13" i="460"/>
  <c r="M14" i="460"/>
  <c r="M13" i="460"/>
  <c r="F14" i="460"/>
  <c r="F13" i="460"/>
  <c r="S14" i="458"/>
  <c r="S13" i="458"/>
  <c r="M14" i="458"/>
  <c r="M13" i="458"/>
  <c r="H14" i="458"/>
  <c r="H13" i="458"/>
  <c r="E14" i="458"/>
  <c r="E13" i="458"/>
  <c r="Z48" i="460"/>
  <c r="Z47" i="460"/>
  <c r="AD48" i="460"/>
  <c r="AD47" i="460"/>
  <c r="AA48" i="460"/>
  <c r="AA47" i="460"/>
  <c r="AG48" i="460"/>
  <c r="AG47" i="460"/>
  <c r="T188" i="450"/>
  <c r="AG188" i="450"/>
  <c r="AM188" i="450"/>
  <c r="T129" i="450"/>
  <c r="AA65" i="450"/>
  <c r="Y30" i="450"/>
  <c r="Y229" i="450"/>
  <c r="Y129" i="450"/>
  <c r="AE129" i="450"/>
  <c r="AC85" i="450"/>
  <c r="AE85" i="450"/>
  <c r="AA36" i="450"/>
  <c r="AA32" i="450"/>
  <c r="V161" i="450"/>
  <c r="AC65" i="450"/>
  <c r="P30" i="450"/>
  <c r="T30" i="450"/>
  <c r="T204" i="450"/>
  <c r="AG204" i="450"/>
  <c r="AM204" i="450"/>
  <c r="T198" i="450"/>
  <c r="T195" i="450"/>
  <c r="T82" i="450"/>
  <c r="T60" i="450"/>
  <c r="T53" i="450"/>
  <c r="T50" i="450"/>
  <c r="AG50" i="450"/>
  <c r="AM50" i="450"/>
  <c r="T49" i="450"/>
  <c r="T208" i="450"/>
  <c r="T205" i="450"/>
  <c r="AG205" i="450"/>
  <c r="AM205" i="450"/>
  <c r="T186" i="450"/>
  <c r="T85" i="450"/>
  <c r="T202" i="450"/>
  <c r="AG202" i="450"/>
  <c r="AM202" i="450"/>
  <c r="T65" i="450"/>
  <c r="T229" i="450"/>
  <c r="AE208" i="450"/>
  <c r="T201" i="450"/>
  <c r="AG201" i="450"/>
  <c r="AM201" i="450"/>
  <c r="T61" i="450"/>
  <c r="T32" i="450"/>
  <c r="AG105" i="450"/>
  <c r="AM105" i="450"/>
  <c r="AG174" i="450"/>
  <c r="AM174" i="450"/>
  <c r="AG127" i="450"/>
  <c r="AM127" i="450"/>
  <c r="AG110" i="450"/>
  <c r="AG51" i="450"/>
  <c r="AM51" i="450"/>
  <c r="AG122" i="450"/>
  <c r="AM122" i="450"/>
  <c r="AG111" i="450"/>
  <c r="AG28" i="450"/>
  <c r="AM28" i="450"/>
  <c r="AG27" i="450"/>
  <c r="AM27" i="450"/>
  <c r="AG225" i="450"/>
  <c r="AM225" i="450"/>
  <c r="AG219" i="450"/>
  <c r="AG211" i="450"/>
  <c r="AM211" i="450"/>
  <c r="AG206" i="450"/>
  <c r="AM206" i="450"/>
  <c r="AG190" i="450"/>
  <c r="AM190" i="450"/>
  <c r="AG163" i="450"/>
  <c r="AG156" i="450"/>
  <c r="AM156" i="450"/>
  <c r="AG154" i="450"/>
  <c r="AM154" i="450"/>
  <c r="AG150" i="450"/>
  <c r="AM150" i="450"/>
  <c r="AG146" i="450"/>
  <c r="AG142" i="450"/>
  <c r="AM142" i="450"/>
  <c r="AG138" i="450"/>
  <c r="AM138" i="450"/>
  <c r="AG130" i="450"/>
  <c r="AM130" i="450"/>
  <c r="AG101" i="450"/>
  <c r="AG88" i="450"/>
  <c r="AG86" i="450"/>
  <c r="AM86" i="450"/>
  <c r="AG79" i="450"/>
  <c r="AM79" i="450"/>
  <c r="AG67" i="450"/>
  <c r="AG152" i="450"/>
  <c r="AM152" i="450"/>
  <c r="AG136" i="450"/>
  <c r="AM136" i="450"/>
  <c r="AG89" i="450"/>
  <c r="AM89" i="450"/>
  <c r="AG75" i="450"/>
  <c r="AM75" i="450"/>
  <c r="AG71" i="450"/>
  <c r="AG189" i="450"/>
  <c r="AG224" i="450"/>
  <c r="AM224" i="450"/>
  <c r="AG221" i="450"/>
  <c r="AM221" i="450"/>
  <c r="AG182" i="450"/>
  <c r="AG176" i="450"/>
  <c r="AM176" i="450"/>
  <c r="AG173" i="450"/>
  <c r="AM173" i="450"/>
  <c r="AG164" i="450"/>
  <c r="AG124" i="450"/>
  <c r="AG116" i="450"/>
  <c r="AM116" i="450"/>
  <c r="AG114" i="450"/>
  <c r="AM114" i="450"/>
  <c r="AG109" i="450"/>
  <c r="AG97" i="450"/>
  <c r="AM97" i="450"/>
  <c r="AG95" i="450"/>
  <c r="AM95" i="450"/>
  <c r="AG94" i="450"/>
  <c r="AM94" i="450"/>
  <c r="AG64" i="450"/>
  <c r="AG54" i="450"/>
  <c r="AM54" i="450"/>
  <c r="AM265" i="450"/>
  <c r="AG218" i="450"/>
  <c r="AM218" i="450"/>
  <c r="AG214" i="450"/>
  <c r="AG197" i="450"/>
  <c r="AG191" i="450"/>
  <c r="AM191" i="450"/>
  <c r="AG187" i="450"/>
  <c r="AM187" i="450"/>
  <c r="AG181" i="450"/>
  <c r="AG170" i="450"/>
  <c r="AG157" i="450"/>
  <c r="AM157" i="450"/>
  <c r="AG155" i="450"/>
  <c r="AM155" i="450"/>
  <c r="AG151" i="450"/>
  <c r="AG148" i="450"/>
  <c r="AM148" i="450"/>
  <c r="AG147" i="450"/>
  <c r="AM147" i="450"/>
  <c r="AG140" i="450"/>
  <c r="AG128" i="450"/>
  <c r="AG125" i="450"/>
  <c r="AG103" i="450"/>
  <c r="AG100" i="450"/>
  <c r="AG80" i="450"/>
  <c r="AG59" i="450"/>
  <c r="AG228" i="450"/>
  <c r="AG222" i="450"/>
  <c r="AG223" i="450"/>
  <c r="AG200" i="450"/>
  <c r="AM200" i="450"/>
  <c r="AG196" i="450"/>
  <c r="AM196" i="450"/>
  <c r="AG192" i="450"/>
  <c r="AM192" i="450"/>
  <c r="AG185" i="450"/>
  <c r="AM185" i="450"/>
  <c r="AG183" i="450"/>
  <c r="AM183" i="450"/>
  <c r="AG180" i="450"/>
  <c r="AG177" i="450"/>
  <c r="AG172" i="450"/>
  <c r="AM172" i="450"/>
  <c r="AG168" i="450"/>
  <c r="AM168" i="450"/>
  <c r="AG134" i="450"/>
  <c r="AM134" i="450"/>
  <c r="AG159" i="450"/>
  <c r="AG144" i="450"/>
  <c r="AM144" i="450"/>
  <c r="AG139" i="450"/>
  <c r="AG160" i="450"/>
  <c r="AM160" i="450"/>
  <c r="AG153" i="450"/>
  <c r="AM153" i="450"/>
  <c r="AG123" i="450"/>
  <c r="AG106" i="450"/>
  <c r="AM106" i="450"/>
  <c r="AG99" i="450"/>
  <c r="AG119" i="450"/>
  <c r="AM119" i="450"/>
  <c r="AG112" i="450"/>
  <c r="AM112" i="450"/>
  <c r="AG96" i="450"/>
  <c r="AG91" i="450"/>
  <c r="AG92" i="450"/>
  <c r="AG87" i="450"/>
  <c r="AG69" i="450"/>
  <c r="AM69" i="450"/>
  <c r="AG62" i="450"/>
  <c r="AG52" i="450"/>
  <c r="AG47" i="450"/>
  <c r="AM47" i="450"/>
  <c r="AG43" i="450"/>
  <c r="AG35" i="450"/>
  <c r="AG34" i="450"/>
  <c r="AM34" i="450"/>
  <c r="S239" i="450"/>
  <c r="S240" i="450"/>
  <c r="S241" i="450"/>
  <c r="AM267" i="450"/>
  <c r="AD240" i="450"/>
  <c r="AD241" i="450"/>
  <c r="AF239" i="450"/>
  <c r="AF240" i="450"/>
  <c r="AF241" i="450"/>
  <c r="AG217" i="450"/>
  <c r="AG213" i="450"/>
  <c r="AG171" i="450"/>
  <c r="AG167" i="450"/>
  <c r="AG162" i="450"/>
  <c r="AG149" i="450"/>
  <c r="AG141" i="450"/>
  <c r="AG133" i="450"/>
  <c r="AG131" i="450"/>
  <c r="AG126" i="450"/>
  <c r="AG118" i="450"/>
  <c r="AG115" i="450"/>
  <c r="AG113" i="450"/>
  <c r="AG90" i="450"/>
  <c r="AG78" i="450"/>
  <c r="AG72" i="450"/>
  <c r="AG68" i="450"/>
  <c r="AG63" i="450"/>
  <c r="AG56" i="450"/>
  <c r="AG230" i="450"/>
  <c r="AG143" i="450"/>
  <c r="AG135" i="450"/>
  <c r="AG132" i="450"/>
  <c r="AG121" i="450"/>
  <c r="AG108" i="450"/>
  <c r="AG104" i="450"/>
  <c r="AG102" i="450"/>
  <c r="AG98" i="450"/>
  <c r="AG81" i="450"/>
  <c r="AG48" i="450"/>
  <c r="AG207" i="450"/>
  <c r="AG179" i="450"/>
  <c r="AG107" i="450"/>
  <c r="AG55" i="450"/>
  <c r="AG46" i="450"/>
  <c r="AE21" i="450"/>
  <c r="M9" i="450"/>
  <c r="AM263" i="450"/>
  <c r="AG25" i="450"/>
  <c r="AM25" i="450"/>
  <c r="AG24" i="450"/>
  <c r="AM24" i="450"/>
  <c r="AG23" i="450"/>
  <c r="AG41" i="450"/>
  <c r="AG40" i="450"/>
  <c r="AG33" i="450"/>
  <c r="AG26" i="450"/>
  <c r="AM26" i="450"/>
  <c r="AG42" i="450"/>
  <c r="AG39" i="450"/>
  <c r="AG38" i="450"/>
  <c r="AM38" i="450"/>
  <c r="AG31" i="450"/>
  <c r="AM31" i="450"/>
  <c r="AG216" i="450"/>
  <c r="AG212" i="450"/>
  <c r="Q240" i="450"/>
  <c r="Q241" i="450"/>
  <c r="M241" i="450"/>
  <c r="AG161" i="450"/>
  <c r="AF161" i="450"/>
  <c r="AG158" i="450"/>
  <c r="AG145" i="450"/>
  <c r="AG137" i="450"/>
  <c r="AG93" i="450"/>
  <c r="AJ240" i="450"/>
  <c r="AJ241" i="450"/>
  <c r="O240" i="450"/>
  <c r="O241" i="450"/>
  <c r="AG175" i="450"/>
  <c r="AG165" i="450"/>
  <c r="Z240" i="450"/>
  <c r="Z241" i="450"/>
  <c r="AG220" i="450"/>
  <c r="AG215" i="450"/>
  <c r="AM203" i="450"/>
  <c r="AG117" i="450"/>
  <c r="AG22" i="450"/>
  <c r="AG20" i="450"/>
  <c r="AG19" i="450"/>
  <c r="C48" i="450"/>
  <c r="C50" i="450"/>
  <c r="C51" i="450"/>
  <c r="C49" i="450"/>
  <c r="AE32" i="450"/>
  <c r="AQ95" i="456"/>
  <c r="AC49" i="450"/>
  <c r="N75" i="401"/>
  <c r="N45" i="401"/>
  <c r="N46" i="401"/>
  <c r="AE186" i="450"/>
  <c r="AG186" i="450"/>
  <c r="AM186" i="450"/>
  <c r="M55" i="476"/>
  <c r="CY54" i="456"/>
  <c r="CY64" i="456"/>
  <c r="AE198" i="450"/>
  <c r="AG198" i="450"/>
  <c r="AM198" i="450"/>
  <c r="CY118" i="456"/>
  <c r="AE184" i="450"/>
  <c r="AG184" i="450"/>
  <c r="AM184" i="450"/>
  <c r="AE195" i="450"/>
  <c r="AG195" i="450"/>
  <c r="AM195" i="450"/>
  <c r="CY149" i="456"/>
  <c r="CY74" i="456"/>
  <c r="Y65" i="450"/>
  <c r="AE65" i="450"/>
  <c r="CY166" i="456"/>
  <c r="CY106" i="456"/>
  <c r="CY77" i="456"/>
  <c r="CY21" i="456"/>
  <c r="N75" i="400"/>
  <c r="N45" i="400"/>
  <c r="N46" i="400"/>
  <c r="CW32" i="456"/>
  <c r="CX32" i="456"/>
  <c r="CY111" i="456"/>
  <c r="CY109" i="456"/>
  <c r="CY26" i="456"/>
  <c r="CY129" i="456"/>
  <c r="AA60" i="450"/>
  <c r="AA61" i="450"/>
  <c r="CY172" i="456"/>
  <c r="CY94" i="456"/>
  <c r="CY93" i="456"/>
  <c r="R14" i="458"/>
  <c r="R13" i="458"/>
  <c r="CY18" i="456"/>
  <c r="AI40" i="460"/>
  <c r="BS86" i="456"/>
  <c r="CY131" i="456"/>
  <c r="CY62" i="456"/>
  <c r="AA49" i="450"/>
  <c r="Y60" i="450"/>
  <c r="CY16" i="456"/>
  <c r="CY89" i="456"/>
  <c r="CY78" i="456"/>
  <c r="Y25" i="458"/>
  <c r="I73" i="456"/>
  <c r="Y27" i="458"/>
  <c r="I95" i="456"/>
  <c r="AC53" i="450"/>
  <c r="CY159" i="456"/>
  <c r="CY28" i="456"/>
  <c r="CY19" i="456"/>
  <c r="Y24" i="458"/>
  <c r="AI39" i="460"/>
  <c r="BS73" i="456"/>
  <c r="Y28" i="458"/>
  <c r="I98" i="456"/>
  <c r="AH161" i="450"/>
  <c r="CY112" i="456"/>
  <c r="CY183" i="456"/>
  <c r="CY148" i="456"/>
  <c r="CY85" i="456"/>
  <c r="AG120" i="450"/>
  <c r="AM120" i="450"/>
  <c r="CY51" i="456"/>
  <c r="CY123" i="456"/>
  <c r="CY104" i="456"/>
  <c r="CY63" i="456"/>
  <c r="CY55" i="456"/>
  <c r="CY113" i="456"/>
  <c r="CY137" i="456"/>
  <c r="CY48" i="456"/>
  <c r="CY176" i="456"/>
  <c r="CY122" i="456"/>
  <c r="Y23" i="458"/>
  <c r="AI41" i="460"/>
  <c r="BS95" i="456"/>
  <c r="CY75" i="456"/>
  <c r="CY92" i="456"/>
  <c r="CY17" i="456"/>
  <c r="CY114" i="456"/>
  <c r="CY90" i="456"/>
  <c r="CY71" i="456"/>
  <c r="CY58" i="456"/>
  <c r="AU86" i="456"/>
  <c r="CY45" i="456"/>
  <c r="AI37" i="460"/>
  <c r="CY120" i="456"/>
  <c r="Y55" i="458"/>
  <c r="Q95" i="456"/>
  <c r="CY126" i="456"/>
  <c r="Y26" i="458"/>
  <c r="I86" i="456"/>
  <c r="CY96" i="456"/>
  <c r="CY170" i="456"/>
  <c r="CY162" i="456"/>
  <c r="AA53" i="450"/>
  <c r="AA82" i="450"/>
  <c r="CY127" i="456"/>
  <c r="CY103" i="456"/>
  <c r="CY57" i="456"/>
  <c r="CY157" i="456"/>
  <c r="AI38" i="460"/>
  <c r="CY167" i="456"/>
  <c r="CY132" i="456"/>
  <c r="AE178" i="450"/>
  <c r="AG178" i="450"/>
  <c r="AM178" i="450"/>
  <c r="CY178" i="456"/>
  <c r="CY177" i="456"/>
  <c r="CY40" i="456"/>
  <c r="CY175" i="456"/>
  <c r="CY119" i="456"/>
  <c r="Y29" i="450"/>
  <c r="CY163" i="456"/>
  <c r="CY133" i="456"/>
  <c r="CY121" i="456"/>
  <c r="CY36" i="456"/>
  <c r="CY174" i="456"/>
  <c r="D14" i="460"/>
  <c r="D13" i="460"/>
  <c r="CY125" i="456"/>
  <c r="CY97" i="456"/>
  <c r="CY151" i="456"/>
  <c r="CY128" i="456"/>
  <c r="CY27" i="456"/>
  <c r="CY171" i="456"/>
  <c r="CY158" i="456"/>
  <c r="CY155" i="456"/>
  <c r="CY130" i="456"/>
  <c r="AI91" i="460"/>
  <c r="CO73" i="456"/>
  <c r="AI93" i="460"/>
  <c r="CO95" i="456"/>
  <c r="AI89" i="460"/>
  <c r="CY84" i="456"/>
  <c r="Y41" i="458"/>
  <c r="N95" i="456"/>
  <c r="CY169" i="456"/>
  <c r="CY24" i="456"/>
  <c r="CY141" i="456"/>
  <c r="CY154" i="456"/>
  <c r="CY138" i="456"/>
  <c r="CY102" i="456"/>
  <c r="CY38" i="456"/>
  <c r="AI92" i="460"/>
  <c r="CO86" i="456"/>
  <c r="Y67" i="458"/>
  <c r="X86" i="456"/>
  <c r="CY99" i="456"/>
  <c r="AG129" i="450"/>
  <c r="AM129" i="450"/>
  <c r="Y51" i="458"/>
  <c r="AG208" i="450"/>
  <c r="AM208" i="450"/>
  <c r="Y65" i="458"/>
  <c r="AM228" i="450"/>
  <c r="AA30" i="450"/>
  <c r="CY60" i="456"/>
  <c r="CY168" i="456"/>
  <c r="CY181" i="456"/>
  <c r="CY161" i="456"/>
  <c r="CY147" i="456"/>
  <c r="CY142" i="456"/>
  <c r="CY105" i="456"/>
  <c r="CY80" i="456"/>
  <c r="CY46" i="456"/>
  <c r="CY165" i="456"/>
  <c r="CY41" i="456"/>
  <c r="CX95" i="456"/>
  <c r="AI90" i="460"/>
  <c r="Y66" i="458"/>
  <c r="X73" i="456"/>
  <c r="CY76" i="456"/>
  <c r="AF86" i="456"/>
  <c r="CY22" i="456"/>
  <c r="CY79" i="456"/>
  <c r="CY59" i="456"/>
  <c r="CY52" i="456"/>
  <c r="CY42" i="456"/>
  <c r="CY139" i="456"/>
  <c r="CY108" i="456"/>
  <c r="CY67" i="456"/>
  <c r="CY115" i="456"/>
  <c r="CY25" i="456"/>
  <c r="Y54" i="458"/>
  <c r="Q86" i="456"/>
  <c r="Y68" i="458"/>
  <c r="X95" i="456"/>
  <c r="AM219" i="450"/>
  <c r="CY156" i="456"/>
  <c r="CY124" i="456"/>
  <c r="CY56" i="456"/>
  <c r="CY50" i="456"/>
  <c r="AI78" i="460"/>
  <c r="CM73" i="456"/>
  <c r="CY29" i="456"/>
  <c r="CY107" i="456"/>
  <c r="Y52" i="458"/>
  <c r="Y53" i="458"/>
  <c r="Q73" i="456"/>
  <c r="CY146" i="456"/>
  <c r="CY140" i="456"/>
  <c r="CY110" i="456"/>
  <c r="CY143" i="456"/>
  <c r="CY88" i="456"/>
  <c r="CY70" i="456"/>
  <c r="CY23" i="456"/>
  <c r="CY179" i="456"/>
  <c r="CY116" i="456"/>
  <c r="AM197" i="450"/>
  <c r="AM59" i="450"/>
  <c r="CY30" i="456"/>
  <c r="CY180" i="456"/>
  <c r="V14" i="460"/>
  <c r="V13" i="460"/>
  <c r="CY182" i="456"/>
  <c r="AM101" i="450"/>
  <c r="Y80" i="458"/>
  <c r="AB86" i="456"/>
  <c r="AI28" i="460"/>
  <c r="BO98" i="456"/>
  <c r="CP98" i="456"/>
  <c r="Y53" i="450"/>
  <c r="CY65" i="456"/>
  <c r="CY173" i="456"/>
  <c r="CY153" i="456"/>
  <c r="CY134" i="456"/>
  <c r="CY49" i="456"/>
  <c r="CY39" i="456"/>
  <c r="CY83" i="456"/>
  <c r="CY44" i="456"/>
  <c r="CY164" i="456"/>
  <c r="Y49" i="450"/>
  <c r="CY43" i="456"/>
  <c r="AI53" i="460"/>
  <c r="BU86" i="456"/>
  <c r="AI54" i="460"/>
  <c r="BU95" i="456"/>
  <c r="AI52" i="460"/>
  <c r="BU73" i="456"/>
  <c r="AI50" i="460"/>
  <c r="AG32" i="450"/>
  <c r="AM32" i="450"/>
  <c r="AG85" i="450"/>
  <c r="AM85" i="450"/>
  <c r="Y61" i="450"/>
  <c r="CY31" i="456"/>
  <c r="AI66" i="460"/>
  <c r="CE86" i="456"/>
  <c r="CY144" i="456"/>
  <c r="CY135" i="456"/>
  <c r="CY91" i="456"/>
  <c r="CY87" i="456"/>
  <c r="CS73" i="456"/>
  <c r="CX73" i="456"/>
  <c r="CX72" i="456"/>
  <c r="CY72" i="456"/>
  <c r="CY47" i="456"/>
  <c r="CY37" i="456"/>
  <c r="CY160" i="456"/>
  <c r="AI67" i="460"/>
  <c r="CE95" i="456"/>
  <c r="L14" i="458"/>
  <c r="L13" i="458"/>
  <c r="Y79" i="458"/>
  <c r="AB73" i="456"/>
  <c r="Y77" i="458"/>
  <c r="AI79" i="460"/>
  <c r="CM86" i="456"/>
  <c r="AI25" i="460"/>
  <c r="BO73" i="456"/>
  <c r="AM111" i="450"/>
  <c r="AM189" i="450"/>
  <c r="AE36" i="450"/>
  <c r="CY152" i="456"/>
  <c r="AI51" i="460"/>
  <c r="AI64" i="460"/>
  <c r="Y42" i="458"/>
  <c r="N98" i="456"/>
  <c r="AI27" i="460"/>
  <c r="BO95" i="456"/>
  <c r="Y81" i="458"/>
  <c r="AB95" i="456"/>
  <c r="Y78" i="458"/>
  <c r="N14" i="458"/>
  <c r="N13" i="458"/>
  <c r="Y64" i="458"/>
  <c r="Y40" i="458"/>
  <c r="N86" i="456"/>
  <c r="AI26" i="460"/>
  <c r="BO86" i="456"/>
  <c r="AI65" i="460"/>
  <c r="CE73" i="456"/>
  <c r="CY145" i="456"/>
  <c r="CY35" i="456"/>
  <c r="AI80" i="460"/>
  <c r="CM95" i="456"/>
  <c r="I225" i="450"/>
  <c r="AN225" i="450"/>
  <c r="CY69" i="456"/>
  <c r="Y39" i="458"/>
  <c r="N73" i="456"/>
  <c r="I14" i="458"/>
  <c r="I13" i="458"/>
  <c r="Y37" i="458"/>
  <c r="AI63" i="460"/>
  <c r="Y38" i="458"/>
  <c r="CY66" i="456"/>
  <c r="AI24" i="460"/>
  <c r="AI23" i="460"/>
  <c r="AI77" i="460"/>
  <c r="AI76" i="460"/>
  <c r="AM87" i="450"/>
  <c r="AM110" i="450"/>
  <c r="AM214" i="450"/>
  <c r="AM223" i="450"/>
  <c r="AM125" i="450"/>
  <c r="AM124" i="450"/>
  <c r="AM22" i="450"/>
  <c r="AM23" i="450"/>
  <c r="AM123" i="450"/>
  <c r="AM64" i="450"/>
  <c r="AM71" i="450"/>
  <c r="AM67" i="450"/>
  <c r="AM88" i="450"/>
  <c r="AM146" i="450"/>
  <c r="AM163" i="450"/>
  <c r="AM80" i="450"/>
  <c r="AM128" i="450"/>
  <c r="AM170" i="450"/>
  <c r="AM100" i="450"/>
  <c r="AM140" i="450"/>
  <c r="AM151" i="450"/>
  <c r="AM181" i="450"/>
  <c r="AM109" i="450"/>
  <c r="V239" i="450"/>
  <c r="AH239" i="450"/>
  <c r="AH240" i="450"/>
  <c r="AH241" i="450"/>
  <c r="AM103" i="450"/>
  <c r="AM164" i="450"/>
  <c r="AM182" i="450"/>
  <c r="AM222" i="450"/>
  <c r="AM180" i="450"/>
  <c r="AM177" i="450"/>
  <c r="AM159" i="450"/>
  <c r="AM139" i="450"/>
  <c r="AM99" i="450"/>
  <c r="AM96" i="450"/>
  <c r="AM92" i="450"/>
  <c r="AM91" i="450"/>
  <c r="AM62" i="450"/>
  <c r="AM52" i="450"/>
  <c r="AM43" i="450"/>
  <c r="AM35" i="450"/>
  <c r="AM46" i="450"/>
  <c r="AM179" i="450"/>
  <c r="AM48" i="450"/>
  <c r="AM98" i="450"/>
  <c r="AM121" i="450"/>
  <c r="AM63" i="450"/>
  <c r="AM118" i="450"/>
  <c r="AM131" i="450"/>
  <c r="AM162" i="450"/>
  <c r="AM55" i="450"/>
  <c r="AM102" i="450"/>
  <c r="AM132" i="450"/>
  <c r="AM68" i="450"/>
  <c r="AM90" i="450"/>
  <c r="AM133" i="450"/>
  <c r="AM213" i="450"/>
  <c r="AM107" i="450"/>
  <c r="AM104" i="450"/>
  <c r="AM135" i="450"/>
  <c r="AM230" i="450"/>
  <c r="AM72" i="450"/>
  <c r="AM113" i="450"/>
  <c r="AM126" i="450"/>
  <c r="AM141" i="450"/>
  <c r="AM167" i="450"/>
  <c r="AM217" i="450"/>
  <c r="AM207" i="450"/>
  <c r="AM81" i="450"/>
  <c r="AM108" i="450"/>
  <c r="AM143" i="450"/>
  <c r="AM56" i="450"/>
  <c r="AM78" i="450"/>
  <c r="AM115" i="450"/>
  <c r="AM149" i="450"/>
  <c r="AM171" i="450"/>
  <c r="AG21" i="450"/>
  <c r="AM21" i="450"/>
  <c r="AM19" i="450"/>
  <c r="AM40" i="450"/>
  <c r="AM41" i="450"/>
  <c r="AM33" i="450"/>
  <c r="AM39" i="450"/>
  <c r="AM42" i="450"/>
  <c r="AM165" i="450"/>
  <c r="AM137" i="450"/>
  <c r="AM161" i="450"/>
  <c r="AN161" i="450"/>
  <c r="AM212" i="450"/>
  <c r="AM20" i="450"/>
  <c r="AM216" i="450"/>
  <c r="AM220" i="450"/>
  <c r="AM117" i="450"/>
  <c r="AM215" i="450"/>
  <c r="AM175" i="450"/>
  <c r="AM93" i="450"/>
  <c r="AM145" i="450"/>
  <c r="AM158" i="450"/>
  <c r="C53" i="450"/>
  <c r="C52" i="450"/>
  <c r="AQ73" i="456"/>
  <c r="AQ86" i="456"/>
  <c r="BA73" i="456"/>
  <c r="BA86" i="456"/>
  <c r="BI86" i="456"/>
  <c r="BI95" i="456"/>
  <c r="BA95" i="456"/>
  <c r="BI73" i="456"/>
  <c r="BS32" i="456"/>
  <c r="AE60" i="450"/>
  <c r="AG60" i="450"/>
  <c r="AM60" i="450"/>
  <c r="AC98" i="456"/>
  <c r="CY98" i="456"/>
  <c r="AE49" i="450"/>
  <c r="AG49" i="450"/>
  <c r="AM49" i="450"/>
  <c r="M17" i="476"/>
  <c r="AC86" i="456"/>
  <c r="J43" i="476"/>
  <c r="J82" i="476"/>
  <c r="K82" i="476"/>
  <c r="Q32" i="456"/>
  <c r="AF73" i="456"/>
  <c r="AF95" i="456"/>
  <c r="AU73" i="456"/>
  <c r="X32" i="456"/>
  <c r="AC95" i="456"/>
  <c r="AE53" i="450"/>
  <c r="AG53" i="450"/>
  <c r="AM53" i="450"/>
  <c r="AU95" i="456"/>
  <c r="J54" i="476"/>
  <c r="K54" i="476"/>
  <c r="AC82" i="450"/>
  <c r="I32" i="456"/>
  <c r="CP86" i="456"/>
  <c r="AC73" i="456"/>
  <c r="I59" i="450"/>
  <c r="AA29" i="450"/>
  <c r="AE29" i="450"/>
  <c r="AG29" i="450"/>
  <c r="AM29" i="450"/>
  <c r="AA229" i="450"/>
  <c r="AE229" i="450"/>
  <c r="AE30" i="450"/>
  <c r="AG30" i="450"/>
  <c r="AM30" i="450"/>
  <c r="CP73" i="456"/>
  <c r="I148" i="450"/>
  <c r="I230" i="450"/>
  <c r="I164" i="450"/>
  <c r="AN164" i="450"/>
  <c r="I134" i="450"/>
  <c r="I211" i="450"/>
  <c r="Y82" i="450"/>
  <c r="N32" i="456"/>
  <c r="I137" i="450"/>
  <c r="AN137" i="450"/>
  <c r="I106" i="450"/>
  <c r="CP95" i="456"/>
  <c r="I33" i="450"/>
  <c r="AN33" i="450"/>
  <c r="I26" i="450"/>
  <c r="I34" i="450"/>
  <c r="I173" i="450"/>
  <c r="J16" i="476"/>
  <c r="K16" i="476"/>
  <c r="AQ32" i="456"/>
  <c r="I42" i="450"/>
  <c r="AN42" i="450"/>
  <c r="I159" i="450"/>
  <c r="I203" i="450"/>
  <c r="I28" i="450"/>
  <c r="AN239" i="450"/>
  <c r="AN240" i="450"/>
  <c r="AN241" i="450"/>
  <c r="BO32" i="456"/>
  <c r="J71" i="476"/>
  <c r="K71" i="476"/>
  <c r="AB225" i="450"/>
  <c r="K225" i="450"/>
  <c r="AJ225" i="450"/>
  <c r="AL225" i="450"/>
  <c r="X225" i="450"/>
  <c r="M225" i="450"/>
  <c r="Z225" i="450"/>
  <c r="Q225" i="450"/>
  <c r="AD225" i="450"/>
  <c r="AF225" i="450"/>
  <c r="O225" i="450"/>
  <c r="S225" i="450"/>
  <c r="V225" i="450"/>
  <c r="J81" i="476"/>
  <c r="K81" i="476"/>
  <c r="AB32" i="456"/>
  <c r="CM32" i="456"/>
  <c r="J27" i="476"/>
  <c r="K27" i="476"/>
  <c r="AG36" i="450"/>
  <c r="AM36" i="450"/>
  <c r="AE61" i="450"/>
  <c r="BU32" i="456"/>
  <c r="AG65" i="450"/>
  <c r="AM65" i="450"/>
  <c r="J72" i="476"/>
  <c r="K72" i="476"/>
  <c r="V240" i="450"/>
  <c r="V241" i="450"/>
  <c r="N33" i="401"/>
  <c r="N33" i="400"/>
  <c r="C55" i="450"/>
  <c r="C56" i="450"/>
  <c r="C59" i="450"/>
  <c r="C60" i="450"/>
  <c r="C61" i="450"/>
  <c r="C62" i="450"/>
  <c r="C63" i="450"/>
  <c r="C64" i="450"/>
  <c r="C54" i="450"/>
  <c r="J70" i="476"/>
  <c r="K70" i="476"/>
  <c r="BJ86" i="456"/>
  <c r="BI32" i="456"/>
  <c r="AF32" i="456"/>
  <c r="BA32" i="456"/>
  <c r="AE82" i="450"/>
  <c r="AG82" i="450"/>
  <c r="AM82" i="450"/>
  <c r="J59" i="476"/>
  <c r="K59" i="476"/>
  <c r="K84" i="476"/>
  <c r="J30" i="476"/>
  <c r="K30" i="476"/>
  <c r="BJ95" i="456"/>
  <c r="CY95" i="456"/>
  <c r="J14" i="476"/>
  <c r="K14" i="476"/>
  <c r="J58" i="476"/>
  <c r="K58" i="476"/>
  <c r="J76" i="476"/>
  <c r="K76" i="476"/>
  <c r="J31" i="476"/>
  <c r="K31" i="476"/>
  <c r="I53" i="450"/>
  <c r="J23" i="476"/>
  <c r="K23" i="476"/>
  <c r="J17" i="476"/>
  <c r="K17" i="476"/>
  <c r="K43" i="476"/>
  <c r="J37" i="476"/>
  <c r="K37" i="476"/>
  <c r="I184" i="450"/>
  <c r="Q184" i="450"/>
  <c r="J56" i="476"/>
  <c r="K56" i="476"/>
  <c r="J36" i="476"/>
  <c r="K36" i="476"/>
  <c r="BJ73" i="456"/>
  <c r="CY73" i="456"/>
  <c r="I72" i="450"/>
  <c r="AN72" i="450"/>
  <c r="I229" i="450"/>
  <c r="AF229" i="450"/>
  <c r="I102" i="450"/>
  <c r="AN102" i="450"/>
  <c r="I223" i="450"/>
  <c r="AN223" i="450"/>
  <c r="I74" i="450"/>
  <c r="Z74" i="450"/>
  <c r="I145" i="450"/>
  <c r="AN145" i="450"/>
  <c r="I165" i="450"/>
  <c r="AU32" i="456"/>
  <c r="CY86" i="456"/>
  <c r="I189" i="450"/>
  <c r="AN189" i="450"/>
  <c r="I107" i="450"/>
  <c r="I93" i="450"/>
  <c r="O93" i="450"/>
  <c r="AC32" i="456"/>
  <c r="I136" i="450"/>
  <c r="X136" i="450"/>
  <c r="I32" i="450"/>
  <c r="AN32" i="450"/>
  <c r="I191" i="450"/>
  <c r="I105" i="450"/>
  <c r="K105" i="450"/>
  <c r="I35" i="450"/>
  <c r="AN35" i="450"/>
  <c r="I224" i="450"/>
  <c r="Z224" i="450"/>
  <c r="I54" i="450"/>
  <c r="Z54" i="450"/>
  <c r="I190" i="450"/>
  <c r="S190" i="450"/>
  <c r="J25" i="476"/>
  <c r="K25" i="476"/>
  <c r="I25" i="450"/>
  <c r="I146" i="450"/>
  <c r="I156" i="450"/>
  <c r="AG229" i="450"/>
  <c r="AM229" i="450"/>
  <c r="I158" i="450"/>
  <c r="I142" i="450"/>
  <c r="I172" i="450"/>
  <c r="I150" i="450"/>
  <c r="I149" i="450"/>
  <c r="L51" i="401"/>
  <c r="N51" i="401"/>
  <c r="N58" i="401"/>
  <c r="N77" i="401"/>
  <c r="L51" i="400"/>
  <c r="N51" i="400"/>
  <c r="N58" i="400"/>
  <c r="N77" i="400"/>
  <c r="I139" i="450"/>
  <c r="I24" i="450"/>
  <c r="I89" i="450"/>
  <c r="I162" i="450"/>
  <c r="I22" i="450"/>
  <c r="I52" i="450"/>
  <c r="I151" i="450"/>
  <c r="I90" i="450"/>
  <c r="J78" i="476"/>
  <c r="I46" i="450"/>
  <c r="I130" i="450"/>
  <c r="I155" i="450"/>
  <c r="AH225" i="450"/>
  <c r="I37" i="450"/>
  <c r="I206" i="450"/>
  <c r="J42" i="476"/>
  <c r="K42" i="476"/>
  <c r="J64" i="476"/>
  <c r="K64" i="476"/>
  <c r="M106" i="450"/>
  <c r="O106" i="450"/>
  <c r="S106" i="450"/>
  <c r="AD106" i="450"/>
  <c r="K106" i="450"/>
  <c r="AJ106" i="450"/>
  <c r="Z106" i="450"/>
  <c r="AL106" i="450"/>
  <c r="Q106" i="450"/>
  <c r="X106" i="450"/>
  <c r="AB106" i="450"/>
  <c r="V106" i="450"/>
  <c r="AF106" i="450"/>
  <c r="AN106" i="450"/>
  <c r="I152" i="450"/>
  <c r="I30" i="450"/>
  <c r="J63" i="476"/>
  <c r="K63" i="476"/>
  <c r="O137" i="450"/>
  <c r="Z137" i="450"/>
  <c r="AJ137" i="450"/>
  <c r="AL137" i="450"/>
  <c r="Q137" i="450"/>
  <c r="AB137" i="450"/>
  <c r="X137" i="450"/>
  <c r="AD137" i="450"/>
  <c r="K137" i="450"/>
  <c r="M137" i="450"/>
  <c r="S137" i="450"/>
  <c r="V137" i="450"/>
  <c r="AF137" i="450"/>
  <c r="I27" i="450"/>
  <c r="I153" i="450"/>
  <c r="I56" i="450"/>
  <c r="M203" i="450"/>
  <c r="O203" i="450"/>
  <c r="Z203" i="450"/>
  <c r="Q203" i="450"/>
  <c r="AB203" i="450"/>
  <c r="K203" i="450"/>
  <c r="AJ203" i="450"/>
  <c r="AL203" i="450"/>
  <c r="X203" i="450"/>
  <c r="AD203" i="450"/>
  <c r="AF203" i="450"/>
  <c r="V203" i="450"/>
  <c r="S203" i="450"/>
  <c r="AN203" i="450"/>
  <c r="M159" i="450"/>
  <c r="AD159" i="450"/>
  <c r="O159" i="450"/>
  <c r="S159" i="450"/>
  <c r="K159" i="450"/>
  <c r="Z159" i="450"/>
  <c r="AJ159" i="450"/>
  <c r="X159" i="450"/>
  <c r="AF159" i="450"/>
  <c r="AB159" i="450"/>
  <c r="AL159" i="450"/>
  <c r="Q159" i="450"/>
  <c r="V159" i="450"/>
  <c r="I31" i="450"/>
  <c r="I91" i="450"/>
  <c r="I19" i="450"/>
  <c r="I218" i="450"/>
  <c r="M230" i="450"/>
  <c r="O230" i="450"/>
  <c r="Z230" i="450"/>
  <c r="AL230" i="450"/>
  <c r="X230" i="450"/>
  <c r="Q230" i="450"/>
  <c r="S230" i="450"/>
  <c r="AD230" i="450"/>
  <c r="AB230" i="450"/>
  <c r="K230" i="450"/>
  <c r="V230" i="450"/>
  <c r="AJ230" i="450"/>
  <c r="AF230" i="450"/>
  <c r="M134" i="450"/>
  <c r="O134" i="450"/>
  <c r="S134" i="450"/>
  <c r="K134" i="450"/>
  <c r="Z134" i="450"/>
  <c r="AJ134" i="450"/>
  <c r="AL134" i="450"/>
  <c r="Q134" i="450"/>
  <c r="AB134" i="450"/>
  <c r="X134" i="450"/>
  <c r="AD134" i="450"/>
  <c r="AF134" i="450"/>
  <c r="V134" i="450"/>
  <c r="AN134" i="450"/>
  <c r="J62" i="476"/>
  <c r="K62" i="476"/>
  <c r="I20" i="450"/>
  <c r="I82" i="450"/>
  <c r="AN230" i="450"/>
  <c r="I104" i="450"/>
  <c r="I167" i="450"/>
  <c r="I43" i="450"/>
  <c r="I140" i="450"/>
  <c r="I23" i="450"/>
  <c r="I166" i="450"/>
  <c r="J33" i="476"/>
  <c r="K33" i="476"/>
  <c r="M28" i="450"/>
  <c r="S28" i="450"/>
  <c r="AJ28" i="450"/>
  <c r="Z28" i="450"/>
  <c r="AL28" i="450"/>
  <c r="X28" i="450"/>
  <c r="AB28" i="450"/>
  <c r="AD28" i="450"/>
  <c r="K28" i="450"/>
  <c r="O28" i="450"/>
  <c r="Q28" i="450"/>
  <c r="AF28" i="450"/>
  <c r="V28" i="450"/>
  <c r="AN28" i="450"/>
  <c r="AN159" i="450"/>
  <c r="I220" i="450"/>
  <c r="M164" i="450"/>
  <c r="AL164" i="450"/>
  <c r="Q164" i="450"/>
  <c r="AB164" i="450"/>
  <c r="X164" i="450"/>
  <c r="O164" i="450"/>
  <c r="AD164" i="450"/>
  <c r="S164" i="450"/>
  <c r="K164" i="450"/>
  <c r="AJ164" i="450"/>
  <c r="Z164" i="450"/>
  <c r="V164" i="450"/>
  <c r="AF164" i="450"/>
  <c r="O173" i="450"/>
  <c r="Z173" i="450"/>
  <c r="AJ173" i="450"/>
  <c r="M173" i="450"/>
  <c r="AL173" i="450"/>
  <c r="Q173" i="450"/>
  <c r="AB173" i="450"/>
  <c r="X173" i="450"/>
  <c r="AD173" i="450"/>
  <c r="S173" i="450"/>
  <c r="K173" i="450"/>
  <c r="V173" i="450"/>
  <c r="AF173" i="450"/>
  <c r="AN173" i="450"/>
  <c r="M59" i="450"/>
  <c r="O59" i="450"/>
  <c r="S59" i="450"/>
  <c r="K59" i="450"/>
  <c r="Q59" i="450"/>
  <c r="AB59" i="450"/>
  <c r="AD59" i="450"/>
  <c r="AJ59" i="450"/>
  <c r="X59" i="450"/>
  <c r="AF59" i="450"/>
  <c r="AL59" i="450"/>
  <c r="V59" i="450"/>
  <c r="AN59" i="450"/>
  <c r="M148" i="450"/>
  <c r="O148" i="450"/>
  <c r="AL148" i="450"/>
  <c r="Q148" i="450"/>
  <c r="AB148" i="450"/>
  <c r="X148" i="450"/>
  <c r="AD148" i="450"/>
  <c r="S148" i="450"/>
  <c r="K148" i="450"/>
  <c r="AJ148" i="450"/>
  <c r="Z148" i="450"/>
  <c r="V148" i="450"/>
  <c r="AF148" i="450"/>
  <c r="AN148" i="450"/>
  <c r="M34" i="450"/>
  <c r="O34" i="450"/>
  <c r="S34" i="450"/>
  <c r="AB34" i="450"/>
  <c r="AD34" i="450"/>
  <c r="AJ34" i="450"/>
  <c r="AL34" i="450"/>
  <c r="Q34" i="450"/>
  <c r="X34" i="450"/>
  <c r="K34" i="450"/>
  <c r="Z34" i="450"/>
  <c r="V34" i="450"/>
  <c r="AF34" i="450"/>
  <c r="AN34" i="450"/>
  <c r="O26" i="450"/>
  <c r="Z26" i="450"/>
  <c r="M26" i="450"/>
  <c r="AB26" i="450"/>
  <c r="AD26" i="450"/>
  <c r="K26" i="450"/>
  <c r="Q26" i="450"/>
  <c r="S26" i="450"/>
  <c r="AJ26" i="450"/>
  <c r="X26" i="450"/>
  <c r="AL26" i="450"/>
  <c r="V26" i="450"/>
  <c r="AF26" i="450"/>
  <c r="AN26" i="450"/>
  <c r="J52" i="476"/>
  <c r="K52" i="476"/>
  <c r="I71" i="450"/>
  <c r="I208" i="450"/>
  <c r="I38" i="450"/>
  <c r="AG61" i="450"/>
  <c r="AM61" i="450"/>
  <c r="I135" i="450"/>
  <c r="I49" i="450"/>
  <c r="I40" i="450"/>
  <c r="CP32" i="456"/>
  <c r="I215" i="450"/>
  <c r="I168" i="450"/>
  <c r="I228" i="450"/>
  <c r="I169" i="450"/>
  <c r="M42" i="450"/>
  <c r="O42" i="450"/>
  <c r="S42" i="450"/>
  <c r="AB42" i="450"/>
  <c r="AD42" i="450"/>
  <c r="AJ42" i="450"/>
  <c r="Z42" i="450"/>
  <c r="Q42" i="450"/>
  <c r="X42" i="450"/>
  <c r="K42" i="450"/>
  <c r="AL42" i="450"/>
  <c r="AF42" i="450"/>
  <c r="V42" i="450"/>
  <c r="I144" i="450"/>
  <c r="M33" i="450"/>
  <c r="O33" i="450"/>
  <c r="S33" i="450"/>
  <c r="AB33" i="450"/>
  <c r="AD33" i="450"/>
  <c r="AJ33" i="450"/>
  <c r="Z33" i="450"/>
  <c r="AL33" i="450"/>
  <c r="Q33" i="450"/>
  <c r="K33" i="450"/>
  <c r="X33" i="450"/>
  <c r="V33" i="450"/>
  <c r="AF33" i="450"/>
  <c r="M211" i="450"/>
  <c r="O211" i="450"/>
  <c r="Z211" i="450"/>
  <c r="Q211" i="450"/>
  <c r="AD211" i="450"/>
  <c r="S211" i="450"/>
  <c r="AB211" i="450"/>
  <c r="K211" i="450"/>
  <c r="AJ211" i="450"/>
  <c r="V211" i="450"/>
  <c r="X211" i="450"/>
  <c r="AL211" i="450"/>
  <c r="AF211" i="450"/>
  <c r="AN211" i="450"/>
  <c r="C7" i="269"/>
  <c r="C15" i="269"/>
  <c r="C14" i="269"/>
  <c r="C66" i="450"/>
  <c r="C67" i="450"/>
  <c r="C68" i="450"/>
  <c r="C69" i="450"/>
  <c r="C70" i="450"/>
  <c r="C71" i="450"/>
  <c r="C72" i="450"/>
  <c r="C73" i="450"/>
  <c r="C74" i="450"/>
  <c r="C75" i="450"/>
  <c r="C78" i="450"/>
  <c r="C79" i="450"/>
  <c r="C80" i="450"/>
  <c r="C81" i="450"/>
  <c r="C82" i="450"/>
  <c r="C85" i="450"/>
  <c r="C86" i="450"/>
  <c r="C87" i="450"/>
  <c r="C88" i="450"/>
  <c r="C89" i="450"/>
  <c r="C90" i="450"/>
  <c r="C91" i="450"/>
  <c r="C92" i="450"/>
  <c r="C93" i="450"/>
  <c r="C94" i="450"/>
  <c r="C95" i="450"/>
  <c r="C96" i="450"/>
  <c r="C97" i="450"/>
  <c r="C65" i="450"/>
  <c r="I47" i="450"/>
  <c r="I205" i="450"/>
  <c r="I81" i="450"/>
  <c r="AB81" i="450"/>
  <c r="J57" i="476"/>
  <c r="K57" i="476"/>
  <c r="Z102" i="450"/>
  <c r="I60" i="450"/>
  <c r="AN60" i="450"/>
  <c r="AH159" i="450"/>
  <c r="I212" i="450"/>
  <c r="AN212" i="450"/>
  <c r="J75" i="476"/>
  <c r="K75" i="476"/>
  <c r="I79" i="450"/>
  <c r="K79" i="450"/>
  <c r="M74" i="450"/>
  <c r="I188" i="450"/>
  <c r="AD74" i="450"/>
  <c r="AB72" i="450"/>
  <c r="S102" i="450"/>
  <c r="V74" i="450"/>
  <c r="BJ32" i="456"/>
  <c r="CY32" i="456"/>
  <c r="AN224" i="450"/>
  <c r="AD224" i="450"/>
  <c r="AF102" i="450"/>
  <c r="S74" i="450"/>
  <c r="AL105" i="450"/>
  <c r="X93" i="450"/>
  <c r="AJ93" i="450"/>
  <c r="AB145" i="450"/>
  <c r="AD223" i="450"/>
  <c r="Z145" i="450"/>
  <c r="I80" i="450"/>
  <c r="AD80" i="450"/>
  <c r="J38" i="476"/>
  <c r="K38" i="476"/>
  <c r="AF145" i="450"/>
  <c r="V93" i="450"/>
  <c r="I61" i="450"/>
  <c r="K61" i="450"/>
  <c r="AN229" i="450"/>
  <c r="J32" i="476"/>
  <c r="K32" i="476"/>
  <c r="I85" i="450"/>
  <c r="K85" i="450"/>
  <c r="X102" i="450"/>
  <c r="AJ102" i="450"/>
  <c r="O102" i="450"/>
  <c r="Q74" i="450"/>
  <c r="AL74" i="450"/>
  <c r="O74" i="450"/>
  <c r="I21" i="450"/>
  <c r="O21" i="450"/>
  <c r="AF54" i="450"/>
  <c r="I187" i="450"/>
  <c r="O187" i="450"/>
  <c r="O32" i="450"/>
  <c r="V102" i="450"/>
  <c r="AH102" i="450"/>
  <c r="Q102" i="450"/>
  <c r="K102" i="450"/>
  <c r="M102" i="450"/>
  <c r="AF74" i="450"/>
  <c r="AH74" i="450"/>
  <c r="AJ74" i="450"/>
  <c r="AB74" i="450"/>
  <c r="V32" i="450"/>
  <c r="AL72" i="450"/>
  <c r="AF72" i="450"/>
  <c r="AB102" i="450"/>
  <c r="AL102" i="450"/>
  <c r="AD102" i="450"/>
  <c r="AN74" i="450"/>
  <c r="X74" i="450"/>
  <c r="K74" i="450"/>
  <c r="M223" i="450"/>
  <c r="S93" i="450"/>
  <c r="Q93" i="450"/>
  <c r="K93" i="450"/>
  <c r="I48" i="450"/>
  <c r="S48" i="450"/>
  <c r="S145" i="450"/>
  <c r="Q145" i="450"/>
  <c r="AN93" i="450"/>
  <c r="K145" i="450"/>
  <c r="AD145" i="450"/>
  <c r="AL145" i="450"/>
  <c r="V223" i="450"/>
  <c r="AD93" i="450"/>
  <c r="AL93" i="450"/>
  <c r="Z93" i="450"/>
  <c r="K189" i="450"/>
  <c r="V145" i="450"/>
  <c r="O145" i="450"/>
  <c r="M145" i="450"/>
  <c r="X145" i="450"/>
  <c r="AJ145" i="450"/>
  <c r="AJ223" i="450"/>
  <c r="AF93" i="450"/>
  <c r="AB93" i="450"/>
  <c r="M93" i="450"/>
  <c r="AL184" i="450"/>
  <c r="AF105" i="450"/>
  <c r="AB35" i="450"/>
  <c r="V184" i="450"/>
  <c r="I216" i="450"/>
  <c r="Z216" i="450"/>
  <c r="S53" i="450"/>
  <c r="M53" i="450"/>
  <c r="K53" i="450"/>
  <c r="AD53" i="450"/>
  <c r="Z53" i="450"/>
  <c r="AB53" i="450"/>
  <c r="AF53" i="450"/>
  <c r="AJ53" i="450"/>
  <c r="O53" i="450"/>
  <c r="AL53" i="450"/>
  <c r="Q53" i="450"/>
  <c r="X53" i="450"/>
  <c r="V53" i="450"/>
  <c r="AN53" i="450"/>
  <c r="AL224" i="450"/>
  <c r="AD184" i="450"/>
  <c r="V224" i="450"/>
  <c r="AN184" i="450"/>
  <c r="Q190" i="450"/>
  <c r="I92" i="450"/>
  <c r="J26" i="476"/>
  <c r="K26" i="476"/>
  <c r="O190" i="450"/>
  <c r="I73" i="450"/>
  <c r="Z73" i="450"/>
  <c r="K32" i="450"/>
  <c r="O184" i="450"/>
  <c r="K184" i="450"/>
  <c r="AB184" i="450"/>
  <c r="X81" i="450"/>
  <c r="AF184" i="450"/>
  <c r="Z184" i="450"/>
  <c r="X184" i="450"/>
  <c r="M184" i="450"/>
  <c r="AN81" i="450"/>
  <c r="Z32" i="450"/>
  <c r="AJ184" i="450"/>
  <c r="S184" i="450"/>
  <c r="AF190" i="450"/>
  <c r="K78" i="476"/>
  <c r="J18" i="476"/>
  <c r="J20" i="476"/>
  <c r="J45" i="476"/>
  <c r="K45" i="476"/>
  <c r="J24" i="476"/>
  <c r="K24" i="476"/>
  <c r="J41" i="476"/>
  <c r="K41" i="476"/>
  <c r="J44" i="476"/>
  <c r="K44" i="476"/>
  <c r="J35" i="476"/>
  <c r="K35" i="476"/>
  <c r="J34" i="476"/>
  <c r="K34" i="476"/>
  <c r="O81" i="450"/>
  <c r="K81" i="450"/>
  <c r="S54" i="450"/>
  <c r="M32" i="450"/>
  <c r="Z35" i="450"/>
  <c r="Q32" i="450"/>
  <c r="X32" i="450"/>
  <c r="AD32" i="450"/>
  <c r="AL81" i="450"/>
  <c r="AJ81" i="450"/>
  <c r="Q81" i="450"/>
  <c r="AF32" i="450"/>
  <c r="AL32" i="450"/>
  <c r="V81" i="450"/>
  <c r="S81" i="450"/>
  <c r="AD81" i="450"/>
  <c r="M81" i="450"/>
  <c r="V35" i="450"/>
  <c r="AL54" i="450"/>
  <c r="K35" i="450"/>
  <c r="AB32" i="450"/>
  <c r="S32" i="450"/>
  <c r="AJ32" i="450"/>
  <c r="AF81" i="450"/>
  <c r="Z81" i="450"/>
  <c r="O189" i="450"/>
  <c r="AB189" i="450"/>
  <c r="S189" i="450"/>
  <c r="Z189" i="450"/>
  <c r="Q189" i="450"/>
  <c r="V189" i="450"/>
  <c r="X189" i="450"/>
  <c r="AJ189" i="450"/>
  <c r="AF189" i="450"/>
  <c r="AD189" i="450"/>
  <c r="AL189" i="450"/>
  <c r="M189" i="450"/>
  <c r="AJ136" i="450"/>
  <c r="Q136" i="450"/>
  <c r="V72" i="450"/>
  <c r="AD72" i="450"/>
  <c r="S72" i="450"/>
  <c r="O72" i="450"/>
  <c r="K72" i="450"/>
  <c r="X72" i="450"/>
  <c r="Z72" i="450"/>
  <c r="AJ72" i="450"/>
  <c r="Q72" i="450"/>
  <c r="M72" i="450"/>
  <c r="M136" i="450"/>
  <c r="Q54" i="450"/>
  <c r="AB54" i="450"/>
  <c r="K54" i="450"/>
  <c r="AD35" i="450"/>
  <c r="X35" i="450"/>
  <c r="M35" i="450"/>
  <c r="X223" i="450"/>
  <c r="S223" i="450"/>
  <c r="O223" i="450"/>
  <c r="O229" i="450"/>
  <c r="X229" i="450"/>
  <c r="M229" i="450"/>
  <c r="V229" i="450"/>
  <c r="AH229" i="450"/>
  <c r="Q229" i="450"/>
  <c r="AL229" i="450"/>
  <c r="S229" i="450"/>
  <c r="AD229" i="450"/>
  <c r="AJ229" i="450"/>
  <c r="Z229" i="450"/>
  <c r="K229" i="450"/>
  <c r="AN136" i="450"/>
  <c r="AN54" i="450"/>
  <c r="AJ54" i="450"/>
  <c r="O54" i="450"/>
  <c r="M54" i="450"/>
  <c r="AF35" i="450"/>
  <c r="S35" i="450"/>
  <c r="Q35" i="450"/>
  <c r="AF223" i="450"/>
  <c r="K223" i="450"/>
  <c r="Q223" i="450"/>
  <c r="V54" i="450"/>
  <c r="AD54" i="450"/>
  <c r="X54" i="450"/>
  <c r="AJ35" i="450"/>
  <c r="O35" i="450"/>
  <c r="AL35" i="450"/>
  <c r="AL223" i="450"/>
  <c r="AB223" i="450"/>
  <c r="Z223" i="450"/>
  <c r="I70" i="450"/>
  <c r="S70" i="450"/>
  <c r="AB229" i="450"/>
  <c r="AN165" i="450"/>
  <c r="AJ165" i="450"/>
  <c r="AB165" i="450"/>
  <c r="S165" i="450"/>
  <c r="J77" i="476"/>
  <c r="K77" i="476"/>
  <c r="I175" i="450"/>
  <c r="S175" i="450"/>
  <c r="I174" i="450"/>
  <c r="M174" i="450"/>
  <c r="V190" i="450"/>
  <c r="AB190" i="450"/>
  <c r="Z190" i="450"/>
  <c r="M190" i="450"/>
  <c r="I207" i="450"/>
  <c r="AL207" i="450"/>
  <c r="AD190" i="450"/>
  <c r="AL190" i="450"/>
  <c r="K190" i="450"/>
  <c r="I127" i="450"/>
  <c r="I147" i="450"/>
  <c r="AB147" i="450"/>
  <c r="AN190" i="450"/>
  <c r="X190" i="450"/>
  <c r="AJ190" i="450"/>
  <c r="M107" i="450"/>
  <c r="K107" i="450"/>
  <c r="AL107" i="450"/>
  <c r="V107" i="450"/>
  <c r="S107" i="450"/>
  <c r="AN107" i="450"/>
  <c r="AB107" i="450"/>
  <c r="AJ107" i="450"/>
  <c r="Q107" i="450"/>
  <c r="O107" i="450"/>
  <c r="AD107" i="450"/>
  <c r="Z107" i="450"/>
  <c r="AF107" i="450"/>
  <c r="X107" i="450"/>
  <c r="AF136" i="450"/>
  <c r="S136" i="450"/>
  <c r="Z136" i="450"/>
  <c r="O136" i="450"/>
  <c r="AB136" i="450"/>
  <c r="AF224" i="450"/>
  <c r="O224" i="450"/>
  <c r="X224" i="450"/>
  <c r="V165" i="450"/>
  <c r="X165" i="450"/>
  <c r="M165" i="450"/>
  <c r="I192" i="450"/>
  <c r="AL192" i="450"/>
  <c r="V136" i="450"/>
  <c r="K136" i="450"/>
  <c r="AD136" i="450"/>
  <c r="AL136" i="450"/>
  <c r="AJ224" i="450"/>
  <c r="K224" i="450"/>
  <c r="Q224" i="450"/>
  <c r="M224" i="450"/>
  <c r="K165" i="450"/>
  <c r="Q165" i="450"/>
  <c r="Z165" i="450"/>
  <c r="I138" i="450"/>
  <c r="M138" i="450"/>
  <c r="AB224" i="450"/>
  <c r="S224" i="450"/>
  <c r="AF165" i="450"/>
  <c r="AD165" i="450"/>
  <c r="AL165" i="450"/>
  <c r="O165" i="450"/>
  <c r="I68" i="450"/>
  <c r="I170" i="450"/>
  <c r="I64" i="450"/>
  <c r="O64" i="450"/>
  <c r="M191" i="450"/>
  <c r="AJ191" i="450"/>
  <c r="X191" i="450"/>
  <c r="Q191" i="450"/>
  <c r="O191" i="450"/>
  <c r="K191" i="450"/>
  <c r="AB191" i="450"/>
  <c r="AL191" i="450"/>
  <c r="V191" i="450"/>
  <c r="AD191" i="450"/>
  <c r="Z191" i="450"/>
  <c r="AF191" i="450"/>
  <c r="AN191" i="450"/>
  <c r="S191" i="450"/>
  <c r="I50" i="450"/>
  <c r="AL50" i="450"/>
  <c r="AD105" i="450"/>
  <c r="O105" i="450"/>
  <c r="AB105" i="450"/>
  <c r="I66" i="450"/>
  <c r="Z66" i="450"/>
  <c r="S105" i="450"/>
  <c r="Z105" i="450"/>
  <c r="M105" i="450"/>
  <c r="X105" i="450"/>
  <c r="AJ105" i="450"/>
  <c r="AN105" i="450"/>
  <c r="V105" i="450"/>
  <c r="Q105" i="450"/>
  <c r="I51" i="450"/>
  <c r="AD51" i="450"/>
  <c r="I160" i="450"/>
  <c r="AD160" i="450"/>
  <c r="AH134" i="450"/>
  <c r="I67" i="450"/>
  <c r="Q67" i="450"/>
  <c r="I94" i="450"/>
  <c r="AJ94" i="450"/>
  <c r="AH26" i="450"/>
  <c r="AH148" i="450"/>
  <c r="AH230" i="450"/>
  <c r="I95" i="450"/>
  <c r="Z95" i="450"/>
  <c r="I36" i="450"/>
  <c r="I126" i="450"/>
  <c r="AH34" i="450"/>
  <c r="J46" i="476"/>
  <c r="K46" i="476"/>
  <c r="K150" i="450"/>
  <c r="Q150" i="450"/>
  <c r="AD150" i="450"/>
  <c r="M150" i="450"/>
  <c r="Z150" i="450"/>
  <c r="AB150" i="450"/>
  <c r="V150" i="450"/>
  <c r="O150" i="450"/>
  <c r="AJ150" i="450"/>
  <c r="X150" i="450"/>
  <c r="S150" i="450"/>
  <c r="AL150" i="450"/>
  <c r="AF150" i="450"/>
  <c r="AN150" i="450"/>
  <c r="I78" i="450"/>
  <c r="I62" i="450"/>
  <c r="I213" i="450"/>
  <c r="AH137" i="450"/>
  <c r="L84" i="400"/>
  <c r="L83" i="400"/>
  <c r="L82" i="400"/>
  <c r="L82" i="401"/>
  <c r="L84" i="401"/>
  <c r="L83" i="401"/>
  <c r="I214" i="450"/>
  <c r="I39" i="450"/>
  <c r="M135" i="450"/>
  <c r="AD135" i="450"/>
  <c r="O135" i="450"/>
  <c r="S135" i="450"/>
  <c r="K135" i="450"/>
  <c r="Z135" i="450"/>
  <c r="AJ135" i="450"/>
  <c r="V135" i="450"/>
  <c r="Q135" i="450"/>
  <c r="AB135" i="450"/>
  <c r="AL135" i="450"/>
  <c r="X135" i="450"/>
  <c r="AF135" i="450"/>
  <c r="AN135" i="450"/>
  <c r="I129" i="450"/>
  <c r="AL144" i="450"/>
  <c r="Q144" i="450"/>
  <c r="AB144" i="450"/>
  <c r="X144" i="450"/>
  <c r="AD144" i="450"/>
  <c r="M144" i="450"/>
  <c r="O144" i="450"/>
  <c r="S144" i="450"/>
  <c r="K144" i="450"/>
  <c r="AF144" i="450"/>
  <c r="V144" i="450"/>
  <c r="Z144" i="450"/>
  <c r="AJ144" i="450"/>
  <c r="AN144" i="450"/>
  <c r="M205" i="450"/>
  <c r="AD205" i="450"/>
  <c r="Q205" i="450"/>
  <c r="S205" i="450"/>
  <c r="O205" i="450"/>
  <c r="AB205" i="450"/>
  <c r="K205" i="450"/>
  <c r="AJ205" i="450"/>
  <c r="X205" i="450"/>
  <c r="AL205" i="450"/>
  <c r="AF205" i="450"/>
  <c r="V205" i="450"/>
  <c r="Z205" i="450"/>
  <c r="AN205" i="450"/>
  <c r="M49" i="450"/>
  <c r="Z49" i="450"/>
  <c r="AD49" i="450"/>
  <c r="AJ49" i="450"/>
  <c r="K49" i="450"/>
  <c r="AL49" i="450"/>
  <c r="O49" i="450"/>
  <c r="Q49" i="450"/>
  <c r="X49" i="450"/>
  <c r="S49" i="450"/>
  <c r="AF49" i="450"/>
  <c r="AN49" i="450"/>
  <c r="V49" i="450"/>
  <c r="AB49" i="450"/>
  <c r="I197" i="450"/>
  <c r="I157" i="450"/>
  <c r="I55" i="450"/>
  <c r="M167" i="450"/>
  <c r="AD167" i="450"/>
  <c r="S167" i="450"/>
  <c r="K167" i="450"/>
  <c r="O167" i="450"/>
  <c r="Z167" i="450"/>
  <c r="AJ167" i="450"/>
  <c r="AL167" i="450"/>
  <c r="V167" i="450"/>
  <c r="X167" i="450"/>
  <c r="Q167" i="450"/>
  <c r="AB167" i="450"/>
  <c r="AF167" i="450"/>
  <c r="AN167" i="450"/>
  <c r="Z104" i="450"/>
  <c r="AL104" i="450"/>
  <c r="Q104" i="450"/>
  <c r="X104" i="450"/>
  <c r="AB104" i="450"/>
  <c r="M104" i="450"/>
  <c r="O104" i="450"/>
  <c r="S104" i="450"/>
  <c r="AD104" i="450"/>
  <c r="K104" i="450"/>
  <c r="AJ104" i="450"/>
  <c r="AF104" i="450"/>
  <c r="V104" i="450"/>
  <c r="AN104" i="450"/>
  <c r="O82" i="450"/>
  <c r="M82" i="450"/>
  <c r="AL82" i="450"/>
  <c r="X82" i="450"/>
  <c r="K82" i="450"/>
  <c r="AJ82" i="450"/>
  <c r="S82" i="450"/>
  <c r="Q82" i="450"/>
  <c r="Z82" i="450"/>
  <c r="V82" i="450"/>
  <c r="AD82" i="450"/>
  <c r="AB82" i="450"/>
  <c r="M20" i="450"/>
  <c r="S20" i="450"/>
  <c r="AJ20" i="450"/>
  <c r="Z20" i="450"/>
  <c r="AL20" i="450"/>
  <c r="X20" i="450"/>
  <c r="AD20" i="450"/>
  <c r="K20" i="450"/>
  <c r="Q20" i="450"/>
  <c r="AB20" i="450"/>
  <c r="AF20" i="450"/>
  <c r="O20" i="450"/>
  <c r="V20" i="450"/>
  <c r="AN20" i="450"/>
  <c r="I125" i="450"/>
  <c r="AH33" i="450"/>
  <c r="I185" i="450"/>
  <c r="AH42" i="450"/>
  <c r="O169" i="450"/>
  <c r="Z169" i="450"/>
  <c r="AJ169" i="450"/>
  <c r="AL169" i="450"/>
  <c r="Q169" i="450"/>
  <c r="AB169" i="450"/>
  <c r="X169" i="450"/>
  <c r="AD169" i="450"/>
  <c r="K169" i="450"/>
  <c r="M169" i="450"/>
  <c r="AF169" i="450"/>
  <c r="S169" i="450"/>
  <c r="AN169" i="450"/>
  <c r="V169" i="450"/>
  <c r="O228" i="450"/>
  <c r="S228" i="450"/>
  <c r="AB228" i="450"/>
  <c r="K228" i="450"/>
  <c r="AJ228" i="450"/>
  <c r="AL228" i="450"/>
  <c r="X228" i="450"/>
  <c r="M228" i="450"/>
  <c r="Q228" i="450"/>
  <c r="Z228" i="450"/>
  <c r="AF228" i="450"/>
  <c r="AF231" i="450"/>
  <c r="V228" i="450"/>
  <c r="AD228" i="450"/>
  <c r="AN228" i="450"/>
  <c r="AN231" i="450"/>
  <c r="M215" i="450"/>
  <c r="O215" i="450"/>
  <c r="Z215" i="450"/>
  <c r="Q215" i="450"/>
  <c r="AD215" i="450"/>
  <c r="S215" i="450"/>
  <c r="AB215" i="450"/>
  <c r="K215" i="450"/>
  <c r="AJ215" i="450"/>
  <c r="AL215" i="450"/>
  <c r="AF215" i="450"/>
  <c r="V215" i="450"/>
  <c r="X215" i="450"/>
  <c r="AN215" i="450"/>
  <c r="S208" i="450"/>
  <c r="AB208" i="450"/>
  <c r="K208" i="450"/>
  <c r="AJ208" i="450"/>
  <c r="AL208" i="450"/>
  <c r="X208" i="450"/>
  <c r="AD208" i="450"/>
  <c r="O208" i="450"/>
  <c r="Z208" i="450"/>
  <c r="Q208" i="450"/>
  <c r="M208" i="450"/>
  <c r="V208" i="450"/>
  <c r="AN208" i="450"/>
  <c r="AF208" i="450"/>
  <c r="M158" i="450"/>
  <c r="O158" i="450"/>
  <c r="S158" i="450"/>
  <c r="K158" i="450"/>
  <c r="Z158" i="450"/>
  <c r="AJ158" i="450"/>
  <c r="AL158" i="450"/>
  <c r="Q158" i="450"/>
  <c r="AB158" i="450"/>
  <c r="X158" i="450"/>
  <c r="AF158" i="450"/>
  <c r="AD158" i="450"/>
  <c r="V158" i="450"/>
  <c r="AN158" i="450"/>
  <c r="I221" i="450"/>
  <c r="AH164" i="450"/>
  <c r="AH28" i="450"/>
  <c r="I65" i="450"/>
  <c r="O23" i="450"/>
  <c r="AL23" i="450"/>
  <c r="X23" i="450"/>
  <c r="AB23" i="450"/>
  <c r="AD23" i="450"/>
  <c r="K23" i="450"/>
  <c r="Z23" i="450"/>
  <c r="Q23" i="450"/>
  <c r="M23" i="450"/>
  <c r="S23" i="450"/>
  <c r="AJ23" i="450"/>
  <c r="V23" i="450"/>
  <c r="AF23" i="450"/>
  <c r="AN23" i="450"/>
  <c r="I195" i="450"/>
  <c r="M156" i="450"/>
  <c r="O156" i="450"/>
  <c r="AL156" i="450"/>
  <c r="Q156" i="450"/>
  <c r="AB156" i="450"/>
  <c r="X156" i="450"/>
  <c r="AD156" i="450"/>
  <c r="S156" i="450"/>
  <c r="K156" i="450"/>
  <c r="Z156" i="450"/>
  <c r="AF156" i="450"/>
  <c r="AJ156" i="450"/>
  <c r="V156" i="450"/>
  <c r="AN156" i="450"/>
  <c r="M142" i="450"/>
  <c r="O142" i="450"/>
  <c r="S142" i="450"/>
  <c r="K142" i="450"/>
  <c r="Z142" i="450"/>
  <c r="AJ142" i="450"/>
  <c r="AL142" i="450"/>
  <c r="Q142" i="450"/>
  <c r="AB142" i="450"/>
  <c r="X142" i="450"/>
  <c r="AD142" i="450"/>
  <c r="AF142" i="450"/>
  <c r="V142" i="450"/>
  <c r="AN142" i="450"/>
  <c r="O19" i="450"/>
  <c r="Z19" i="450"/>
  <c r="AL19" i="450"/>
  <c r="X19" i="450"/>
  <c r="M19" i="450"/>
  <c r="AD19" i="450"/>
  <c r="K19" i="450"/>
  <c r="Q19" i="450"/>
  <c r="AB19" i="450"/>
  <c r="S19" i="450"/>
  <c r="V19" i="450"/>
  <c r="AJ19" i="450"/>
  <c r="AF19" i="450"/>
  <c r="AN19" i="450"/>
  <c r="M91" i="450"/>
  <c r="AB91" i="450"/>
  <c r="S91" i="450"/>
  <c r="AD91" i="450"/>
  <c r="Z91" i="450"/>
  <c r="K91" i="450"/>
  <c r="AJ91" i="450"/>
  <c r="AL91" i="450"/>
  <c r="X91" i="450"/>
  <c r="O91" i="450"/>
  <c r="Q91" i="450"/>
  <c r="AF91" i="450"/>
  <c r="V91" i="450"/>
  <c r="AN91" i="450"/>
  <c r="AH203" i="450"/>
  <c r="I69" i="450"/>
  <c r="I103" i="450"/>
  <c r="I121" i="450"/>
  <c r="AL206" i="450"/>
  <c r="X206" i="450"/>
  <c r="AD206" i="450"/>
  <c r="M206" i="450"/>
  <c r="Z206" i="450"/>
  <c r="Q206" i="450"/>
  <c r="S206" i="450"/>
  <c r="O206" i="450"/>
  <c r="K206" i="450"/>
  <c r="AJ206" i="450"/>
  <c r="AB206" i="450"/>
  <c r="AF206" i="450"/>
  <c r="V206" i="450"/>
  <c r="AN206" i="450"/>
  <c r="M151" i="450"/>
  <c r="AD151" i="450"/>
  <c r="O151" i="450"/>
  <c r="S151" i="450"/>
  <c r="K151" i="450"/>
  <c r="Z151" i="450"/>
  <c r="AJ151" i="450"/>
  <c r="Q151" i="450"/>
  <c r="AB151" i="450"/>
  <c r="V151" i="450"/>
  <c r="X151" i="450"/>
  <c r="AL151" i="450"/>
  <c r="AF151" i="450"/>
  <c r="AN151" i="450"/>
  <c r="M52" i="450"/>
  <c r="O52" i="450"/>
  <c r="AB52" i="450"/>
  <c r="AD52" i="450"/>
  <c r="AJ52" i="450"/>
  <c r="Z52" i="450"/>
  <c r="AL52" i="450"/>
  <c r="Q52" i="450"/>
  <c r="K52" i="450"/>
  <c r="X52" i="450"/>
  <c r="V52" i="450"/>
  <c r="S52" i="450"/>
  <c r="AF52" i="450"/>
  <c r="AN52" i="450"/>
  <c r="M162" i="450"/>
  <c r="O162" i="450"/>
  <c r="S162" i="450"/>
  <c r="K162" i="450"/>
  <c r="Z162" i="450"/>
  <c r="AJ162" i="450"/>
  <c r="AL162" i="450"/>
  <c r="Q162" i="450"/>
  <c r="AB162" i="450"/>
  <c r="X162" i="450"/>
  <c r="AD162" i="450"/>
  <c r="V162" i="450"/>
  <c r="AF162" i="450"/>
  <c r="AN162" i="450"/>
  <c r="I87" i="450"/>
  <c r="AN82" i="450"/>
  <c r="O40" i="450"/>
  <c r="Z40" i="450"/>
  <c r="AB40" i="450"/>
  <c r="AD40" i="450"/>
  <c r="AJ40" i="450"/>
  <c r="AL40" i="450"/>
  <c r="Q40" i="450"/>
  <c r="K40" i="450"/>
  <c r="X40" i="450"/>
  <c r="S40" i="450"/>
  <c r="AF40" i="450"/>
  <c r="M40" i="450"/>
  <c r="V40" i="450"/>
  <c r="AN40" i="450"/>
  <c r="Z43" i="450"/>
  <c r="M43" i="450"/>
  <c r="AL43" i="450"/>
  <c r="Q43" i="450"/>
  <c r="K43" i="450"/>
  <c r="X43" i="450"/>
  <c r="O43" i="450"/>
  <c r="S43" i="450"/>
  <c r="AD43" i="450"/>
  <c r="AJ43" i="450"/>
  <c r="AB43" i="450"/>
  <c r="V43" i="450"/>
  <c r="AF43" i="450"/>
  <c r="AN43" i="450"/>
  <c r="M56" i="450"/>
  <c r="O56" i="450"/>
  <c r="Z56" i="450"/>
  <c r="Q56" i="450"/>
  <c r="AB56" i="450"/>
  <c r="AD56" i="450"/>
  <c r="AJ56" i="450"/>
  <c r="AL56" i="450"/>
  <c r="K56" i="450"/>
  <c r="X56" i="450"/>
  <c r="S56" i="450"/>
  <c r="V56" i="450"/>
  <c r="AF56" i="450"/>
  <c r="AN56" i="450"/>
  <c r="O153" i="450"/>
  <c r="Z153" i="450"/>
  <c r="AJ153" i="450"/>
  <c r="AL153" i="450"/>
  <c r="Q153" i="450"/>
  <c r="AB153" i="450"/>
  <c r="X153" i="450"/>
  <c r="AD153" i="450"/>
  <c r="K153" i="450"/>
  <c r="M153" i="450"/>
  <c r="V153" i="450"/>
  <c r="S153" i="450"/>
  <c r="AF153" i="450"/>
  <c r="AN153" i="450"/>
  <c r="O27" i="450"/>
  <c r="Z27" i="450"/>
  <c r="AL27" i="450"/>
  <c r="X27" i="450"/>
  <c r="M27" i="450"/>
  <c r="AB27" i="450"/>
  <c r="AD27" i="450"/>
  <c r="K27" i="450"/>
  <c r="Q27" i="450"/>
  <c r="AJ27" i="450"/>
  <c r="S27" i="450"/>
  <c r="V27" i="450"/>
  <c r="AF27" i="450"/>
  <c r="AN27" i="450"/>
  <c r="I154" i="450"/>
  <c r="AJ30" i="450"/>
  <c r="AL30" i="450"/>
  <c r="X30" i="450"/>
  <c r="S30" i="450"/>
  <c r="K30" i="450"/>
  <c r="Z30" i="450"/>
  <c r="O30" i="450"/>
  <c r="AB30" i="450"/>
  <c r="M30" i="450"/>
  <c r="V30" i="450"/>
  <c r="Q30" i="450"/>
  <c r="AF30" i="450"/>
  <c r="AD30" i="450"/>
  <c r="AN30" i="450"/>
  <c r="M155" i="450"/>
  <c r="AD155" i="450"/>
  <c r="S155" i="450"/>
  <c r="K155" i="450"/>
  <c r="Z155" i="450"/>
  <c r="AJ155" i="450"/>
  <c r="AL155" i="450"/>
  <c r="V155" i="450"/>
  <c r="X155" i="450"/>
  <c r="O155" i="450"/>
  <c r="Q155" i="450"/>
  <c r="AB155" i="450"/>
  <c r="AF155" i="450"/>
  <c r="AN155" i="450"/>
  <c r="O46" i="450"/>
  <c r="Z46" i="450"/>
  <c r="AB46" i="450"/>
  <c r="AD46" i="450"/>
  <c r="AJ46" i="450"/>
  <c r="M46" i="450"/>
  <c r="AL46" i="450"/>
  <c r="Q46" i="450"/>
  <c r="K46" i="450"/>
  <c r="X46" i="450"/>
  <c r="AF46" i="450"/>
  <c r="S46" i="450"/>
  <c r="V46" i="450"/>
  <c r="AN46" i="450"/>
  <c r="M90" i="450"/>
  <c r="O90" i="450"/>
  <c r="Z90" i="450"/>
  <c r="S90" i="450"/>
  <c r="AD90" i="450"/>
  <c r="K90" i="450"/>
  <c r="AJ90" i="450"/>
  <c r="AL90" i="450"/>
  <c r="Q90" i="450"/>
  <c r="X90" i="450"/>
  <c r="AB90" i="450"/>
  <c r="AF90" i="450"/>
  <c r="V90" i="450"/>
  <c r="AN90" i="450"/>
  <c r="I41" i="450"/>
  <c r="O149" i="450"/>
  <c r="Z149" i="450"/>
  <c r="AJ149" i="450"/>
  <c r="M149" i="450"/>
  <c r="AL149" i="450"/>
  <c r="Q149" i="450"/>
  <c r="AB149" i="450"/>
  <c r="X149" i="450"/>
  <c r="AD149" i="450"/>
  <c r="S149" i="450"/>
  <c r="K149" i="450"/>
  <c r="V149" i="450"/>
  <c r="AF149" i="450"/>
  <c r="AN149" i="450"/>
  <c r="I101" i="450"/>
  <c r="AL168" i="450"/>
  <c r="Q168" i="450"/>
  <c r="AB168" i="450"/>
  <c r="X168" i="450"/>
  <c r="AD168" i="450"/>
  <c r="M168" i="450"/>
  <c r="S168" i="450"/>
  <c r="K168" i="450"/>
  <c r="O168" i="450"/>
  <c r="Z168" i="450"/>
  <c r="AJ168" i="450"/>
  <c r="AF168" i="450"/>
  <c r="V168" i="450"/>
  <c r="AN168" i="450"/>
  <c r="AF82" i="450"/>
  <c r="M38" i="450"/>
  <c r="Z38" i="450"/>
  <c r="S38" i="450"/>
  <c r="AB38" i="450"/>
  <c r="AD38" i="450"/>
  <c r="AJ38" i="450"/>
  <c r="Q38" i="450"/>
  <c r="X38" i="450"/>
  <c r="O38" i="450"/>
  <c r="AL38" i="450"/>
  <c r="V38" i="450"/>
  <c r="K38" i="450"/>
  <c r="AF38" i="450"/>
  <c r="AN38" i="450"/>
  <c r="M71" i="450"/>
  <c r="O71" i="450"/>
  <c r="Q71" i="450"/>
  <c r="AB71" i="450"/>
  <c r="AD71" i="450"/>
  <c r="K71" i="450"/>
  <c r="AJ71" i="450"/>
  <c r="AL71" i="450"/>
  <c r="Z71" i="450"/>
  <c r="X71" i="450"/>
  <c r="V71" i="450"/>
  <c r="S71" i="450"/>
  <c r="AF71" i="450"/>
  <c r="AN71" i="450"/>
  <c r="AH59" i="450"/>
  <c r="Z59" i="450"/>
  <c r="AH173" i="450"/>
  <c r="M166" i="450"/>
  <c r="O166" i="450"/>
  <c r="S166" i="450"/>
  <c r="K166" i="450"/>
  <c r="Z166" i="450"/>
  <c r="AJ166" i="450"/>
  <c r="AL166" i="450"/>
  <c r="Q166" i="450"/>
  <c r="AB166" i="450"/>
  <c r="X166" i="450"/>
  <c r="AD166" i="450"/>
  <c r="AF166" i="450"/>
  <c r="V166" i="450"/>
  <c r="AN166" i="450"/>
  <c r="M140" i="450"/>
  <c r="O140" i="450"/>
  <c r="AL140" i="450"/>
  <c r="Q140" i="450"/>
  <c r="AB140" i="450"/>
  <c r="X140" i="450"/>
  <c r="AD140" i="450"/>
  <c r="S140" i="450"/>
  <c r="K140" i="450"/>
  <c r="Z140" i="450"/>
  <c r="AJ140" i="450"/>
  <c r="AF140" i="450"/>
  <c r="V140" i="450"/>
  <c r="AN140" i="450"/>
  <c r="I143" i="450"/>
  <c r="O218" i="450"/>
  <c r="S218" i="450"/>
  <c r="AB218" i="450"/>
  <c r="K218" i="450"/>
  <c r="AJ218" i="450"/>
  <c r="AL218" i="450"/>
  <c r="X218" i="450"/>
  <c r="AD218" i="450"/>
  <c r="Z218" i="450"/>
  <c r="Q218" i="450"/>
  <c r="M218" i="450"/>
  <c r="V218" i="450"/>
  <c r="AF218" i="450"/>
  <c r="AN218" i="450"/>
  <c r="O31" i="450"/>
  <c r="Z31" i="450"/>
  <c r="AL31" i="450"/>
  <c r="K31" i="450"/>
  <c r="X31" i="450"/>
  <c r="Q31" i="450"/>
  <c r="M31" i="450"/>
  <c r="S31" i="450"/>
  <c r="AD31" i="450"/>
  <c r="AJ31" i="450"/>
  <c r="AB31" i="450"/>
  <c r="AF31" i="450"/>
  <c r="V31" i="450"/>
  <c r="AN31" i="450"/>
  <c r="I131" i="450"/>
  <c r="AH106" i="450"/>
  <c r="I86" i="450"/>
  <c r="M37" i="450"/>
  <c r="O37" i="450"/>
  <c r="Z37" i="450"/>
  <c r="S37" i="450"/>
  <c r="AB37" i="450"/>
  <c r="AD37" i="450"/>
  <c r="AJ37" i="450"/>
  <c r="AL37" i="450"/>
  <c r="Q37" i="450"/>
  <c r="K37" i="450"/>
  <c r="X37" i="450"/>
  <c r="V37" i="450"/>
  <c r="AF37" i="450"/>
  <c r="AN37" i="450"/>
  <c r="I88" i="450"/>
  <c r="O22" i="450"/>
  <c r="Z22" i="450"/>
  <c r="AB22" i="450"/>
  <c r="AD22" i="450"/>
  <c r="K22" i="450"/>
  <c r="Q22" i="450"/>
  <c r="M22" i="450"/>
  <c r="S22" i="450"/>
  <c r="AJ22" i="450"/>
  <c r="X22" i="450"/>
  <c r="AL22" i="450"/>
  <c r="V22" i="450"/>
  <c r="AF22" i="450"/>
  <c r="AN22" i="450"/>
  <c r="M172" i="450"/>
  <c r="AL172" i="450"/>
  <c r="Q172" i="450"/>
  <c r="AB172" i="450"/>
  <c r="X172" i="450"/>
  <c r="O172" i="450"/>
  <c r="AD172" i="450"/>
  <c r="S172" i="450"/>
  <c r="K172" i="450"/>
  <c r="Z172" i="450"/>
  <c r="V172" i="450"/>
  <c r="AJ172" i="450"/>
  <c r="AF172" i="450"/>
  <c r="AN172" i="450"/>
  <c r="AH211" i="450"/>
  <c r="Z25" i="450"/>
  <c r="M25" i="450"/>
  <c r="Q25" i="450"/>
  <c r="S25" i="450"/>
  <c r="AJ25" i="450"/>
  <c r="O25" i="450"/>
  <c r="AL25" i="450"/>
  <c r="X25" i="450"/>
  <c r="K25" i="450"/>
  <c r="AB25" i="450"/>
  <c r="AD25" i="450"/>
  <c r="V25" i="450"/>
  <c r="AF25" i="450"/>
  <c r="AN25" i="450"/>
  <c r="M220" i="450"/>
  <c r="O220" i="450"/>
  <c r="AL220" i="450"/>
  <c r="X220" i="450"/>
  <c r="Z220" i="450"/>
  <c r="Q220" i="450"/>
  <c r="AD220" i="450"/>
  <c r="S220" i="450"/>
  <c r="V220" i="450"/>
  <c r="AJ220" i="450"/>
  <c r="K220" i="450"/>
  <c r="AB220" i="450"/>
  <c r="AF220" i="450"/>
  <c r="AN220" i="450"/>
  <c r="I163" i="450"/>
  <c r="I196" i="450"/>
  <c r="AL152" i="450"/>
  <c r="Q152" i="450"/>
  <c r="AB152" i="450"/>
  <c r="X152" i="450"/>
  <c r="AD152" i="450"/>
  <c r="M152" i="450"/>
  <c r="O152" i="450"/>
  <c r="S152" i="450"/>
  <c r="K152" i="450"/>
  <c r="AJ152" i="450"/>
  <c r="AF152" i="450"/>
  <c r="Z152" i="450"/>
  <c r="V152" i="450"/>
  <c r="AN152" i="450"/>
  <c r="I198" i="450"/>
  <c r="M188" i="450"/>
  <c r="AL188" i="450"/>
  <c r="Q188" i="450"/>
  <c r="AB188" i="450"/>
  <c r="X188" i="450"/>
  <c r="AD188" i="450"/>
  <c r="S188" i="450"/>
  <c r="K188" i="450"/>
  <c r="Z188" i="450"/>
  <c r="AJ188" i="450"/>
  <c r="AF188" i="450"/>
  <c r="O188" i="450"/>
  <c r="AN188" i="450"/>
  <c r="V188" i="450"/>
  <c r="M130" i="450"/>
  <c r="O130" i="450"/>
  <c r="S130" i="450"/>
  <c r="K130" i="450"/>
  <c r="Z130" i="450"/>
  <c r="AJ130" i="450"/>
  <c r="AL130" i="450"/>
  <c r="Q130" i="450"/>
  <c r="AB130" i="450"/>
  <c r="X130" i="450"/>
  <c r="AD130" i="450"/>
  <c r="AF130" i="450"/>
  <c r="V130" i="450"/>
  <c r="AN130" i="450"/>
  <c r="I222" i="450"/>
  <c r="O89" i="450"/>
  <c r="Z89" i="450"/>
  <c r="K89" i="450"/>
  <c r="AJ89" i="450"/>
  <c r="AL89" i="450"/>
  <c r="Q89" i="450"/>
  <c r="X89" i="450"/>
  <c r="AB89" i="450"/>
  <c r="AD89" i="450"/>
  <c r="M89" i="450"/>
  <c r="V89" i="450"/>
  <c r="S89" i="450"/>
  <c r="AF89" i="450"/>
  <c r="AN89" i="450"/>
  <c r="M24" i="450"/>
  <c r="S24" i="450"/>
  <c r="AJ24" i="450"/>
  <c r="O24" i="450"/>
  <c r="AL24" i="450"/>
  <c r="X24" i="450"/>
  <c r="AB24" i="450"/>
  <c r="AD24" i="450"/>
  <c r="K24" i="450"/>
  <c r="Q24" i="450"/>
  <c r="Z24" i="450"/>
  <c r="AF24" i="450"/>
  <c r="V24" i="450"/>
  <c r="AN24" i="450"/>
  <c r="M139" i="450"/>
  <c r="AD139" i="450"/>
  <c r="S139" i="450"/>
  <c r="K139" i="450"/>
  <c r="Z139" i="450"/>
  <c r="AJ139" i="450"/>
  <c r="O139" i="450"/>
  <c r="AL139" i="450"/>
  <c r="X139" i="450"/>
  <c r="V139" i="450"/>
  <c r="Q139" i="450"/>
  <c r="AB139" i="450"/>
  <c r="AF139" i="450"/>
  <c r="AN139" i="450"/>
  <c r="M146" i="450"/>
  <c r="O146" i="450"/>
  <c r="S146" i="450"/>
  <c r="K146" i="450"/>
  <c r="Z146" i="450"/>
  <c r="AJ146" i="450"/>
  <c r="AL146" i="450"/>
  <c r="Q146" i="450"/>
  <c r="AB146" i="450"/>
  <c r="X146" i="450"/>
  <c r="V146" i="450"/>
  <c r="AD146" i="450"/>
  <c r="AF146" i="450"/>
  <c r="AN146" i="450"/>
  <c r="C99" i="450"/>
  <c r="C100" i="450"/>
  <c r="C101" i="450"/>
  <c r="C102" i="450"/>
  <c r="C103" i="450"/>
  <c r="C104" i="450"/>
  <c r="C105" i="450"/>
  <c r="C106" i="450"/>
  <c r="C107" i="450"/>
  <c r="C108" i="450"/>
  <c r="C109" i="450"/>
  <c r="C110" i="450"/>
  <c r="C111" i="450"/>
  <c r="C112" i="450"/>
  <c r="C113" i="450"/>
  <c r="C114" i="450"/>
  <c r="C115" i="450"/>
  <c r="C116" i="450"/>
  <c r="C117" i="450"/>
  <c r="C118" i="450"/>
  <c r="C119" i="450"/>
  <c r="C120" i="450"/>
  <c r="C121" i="450"/>
  <c r="C122" i="450"/>
  <c r="C123" i="450"/>
  <c r="C124" i="450"/>
  <c r="C125" i="450"/>
  <c r="C126" i="450"/>
  <c r="C127" i="450"/>
  <c r="C128" i="450"/>
  <c r="C129" i="450"/>
  <c r="C130" i="450"/>
  <c r="C131" i="450"/>
  <c r="C132" i="450"/>
  <c r="C133" i="450"/>
  <c r="C134" i="450"/>
  <c r="C135" i="450"/>
  <c r="C136" i="450"/>
  <c r="C137" i="450"/>
  <c r="C138" i="450"/>
  <c r="C139" i="450"/>
  <c r="C140" i="450"/>
  <c r="C141" i="450"/>
  <c r="C142" i="450"/>
  <c r="C143" i="450"/>
  <c r="C144" i="450"/>
  <c r="C145" i="450"/>
  <c r="C146" i="450"/>
  <c r="C147" i="450"/>
  <c r="C148" i="450"/>
  <c r="C149" i="450"/>
  <c r="C150" i="450"/>
  <c r="C151" i="450"/>
  <c r="C152" i="450"/>
  <c r="C153" i="450"/>
  <c r="C154" i="450"/>
  <c r="C155" i="450"/>
  <c r="C156" i="450"/>
  <c r="C157" i="450"/>
  <c r="C98" i="450"/>
  <c r="Z47" i="450"/>
  <c r="V47" i="450"/>
  <c r="S47" i="450"/>
  <c r="AD47" i="450"/>
  <c r="AN47" i="450"/>
  <c r="AL47" i="450"/>
  <c r="X47" i="450"/>
  <c r="AJ47" i="450"/>
  <c r="AF47" i="450"/>
  <c r="K47" i="450"/>
  <c r="M47" i="450"/>
  <c r="AB47" i="450"/>
  <c r="Q47" i="450"/>
  <c r="O47" i="450"/>
  <c r="S60" i="450"/>
  <c r="I186" i="450"/>
  <c r="S186" i="450"/>
  <c r="Q60" i="450"/>
  <c r="AB80" i="450"/>
  <c r="V79" i="450"/>
  <c r="Z60" i="450"/>
  <c r="AN80" i="450"/>
  <c r="S79" i="450"/>
  <c r="AF60" i="450"/>
  <c r="Q80" i="450"/>
  <c r="AD79" i="450"/>
  <c r="Z80" i="450"/>
  <c r="K79" i="476"/>
  <c r="AN216" i="450"/>
  <c r="V60" i="450"/>
  <c r="AH60" i="450"/>
  <c r="AJ60" i="450"/>
  <c r="M60" i="450"/>
  <c r="V80" i="450"/>
  <c r="X80" i="450"/>
  <c r="AJ80" i="450"/>
  <c r="M80" i="450"/>
  <c r="AN79" i="450"/>
  <c r="AB79" i="450"/>
  <c r="AL79" i="450"/>
  <c r="Z79" i="450"/>
  <c r="X60" i="450"/>
  <c r="AF80" i="450"/>
  <c r="S80" i="450"/>
  <c r="K80" i="450"/>
  <c r="AF79" i="450"/>
  <c r="AH79" i="450"/>
  <c r="Q79" i="450"/>
  <c r="AJ79" i="450"/>
  <c r="O79" i="450"/>
  <c r="AD216" i="450"/>
  <c r="Q187" i="450"/>
  <c r="AB60" i="450"/>
  <c r="K60" i="450"/>
  <c r="O60" i="450"/>
  <c r="AD60" i="450"/>
  <c r="AL60" i="450"/>
  <c r="O80" i="450"/>
  <c r="AL80" i="450"/>
  <c r="M79" i="450"/>
  <c r="X79" i="450"/>
  <c r="M64" i="450"/>
  <c r="K212" i="450"/>
  <c r="AL61" i="450"/>
  <c r="X212" i="450"/>
  <c r="Z212" i="450"/>
  <c r="AF212" i="450"/>
  <c r="AB212" i="450"/>
  <c r="V212" i="450"/>
  <c r="AL212" i="450"/>
  <c r="O212" i="450"/>
  <c r="V186" i="450"/>
  <c r="M186" i="450"/>
  <c r="AN186" i="450"/>
  <c r="AH32" i="450"/>
  <c r="AH184" i="450"/>
  <c r="S212" i="450"/>
  <c r="M212" i="450"/>
  <c r="AD212" i="450"/>
  <c r="Q212" i="450"/>
  <c r="AJ212" i="450"/>
  <c r="K186" i="450"/>
  <c r="AJ186" i="450"/>
  <c r="AH105" i="450"/>
  <c r="AL186" i="450"/>
  <c r="Q186" i="450"/>
  <c r="X186" i="450"/>
  <c r="AH54" i="450"/>
  <c r="Z186" i="450"/>
  <c r="AF186" i="450"/>
  <c r="AD186" i="450"/>
  <c r="O186" i="450"/>
  <c r="AB186" i="450"/>
  <c r="AD85" i="450"/>
  <c r="AN21" i="450"/>
  <c r="O51" i="450"/>
  <c r="Z61" i="450"/>
  <c r="AF61" i="450"/>
  <c r="S61" i="450"/>
  <c r="O61" i="450"/>
  <c r="AD61" i="450"/>
  <c r="AN61" i="450"/>
  <c r="Q61" i="450"/>
  <c r="I75" i="450"/>
  <c r="Z75" i="450"/>
  <c r="AL85" i="450"/>
  <c r="X48" i="450"/>
  <c r="AD21" i="450"/>
  <c r="AJ21" i="450"/>
  <c r="Z85" i="450"/>
  <c r="AJ48" i="450"/>
  <c r="V85" i="450"/>
  <c r="Z48" i="450"/>
  <c r="M21" i="450"/>
  <c r="AH145" i="450"/>
  <c r="AL51" i="450"/>
  <c r="AF85" i="450"/>
  <c r="O48" i="450"/>
  <c r="AD231" i="450"/>
  <c r="AF21" i="450"/>
  <c r="V21" i="450"/>
  <c r="S21" i="450"/>
  <c r="Z21" i="450"/>
  <c r="M85" i="450"/>
  <c r="O85" i="450"/>
  <c r="X85" i="450"/>
  <c r="AJ85" i="450"/>
  <c r="AF48" i="450"/>
  <c r="Q48" i="450"/>
  <c r="AB48" i="450"/>
  <c r="M48" i="450"/>
  <c r="AB21" i="450"/>
  <c r="X21" i="450"/>
  <c r="Q21" i="450"/>
  <c r="AB85" i="450"/>
  <c r="AN48" i="450"/>
  <c r="K48" i="450"/>
  <c r="AD48" i="450"/>
  <c r="AN85" i="450"/>
  <c r="S85" i="450"/>
  <c r="Q85" i="450"/>
  <c r="V48" i="450"/>
  <c r="AL48" i="450"/>
  <c r="K21" i="450"/>
  <c r="AL21" i="450"/>
  <c r="AH224" i="450"/>
  <c r="AH223" i="450"/>
  <c r="K28" i="476"/>
  <c r="AH93" i="450"/>
  <c r="AB61" i="450"/>
  <c r="M61" i="450"/>
  <c r="AJ61" i="450"/>
  <c r="V61" i="450"/>
  <c r="X61" i="450"/>
  <c r="X216" i="450"/>
  <c r="AB216" i="450"/>
  <c r="AL216" i="450"/>
  <c r="AF187" i="450"/>
  <c r="K187" i="450"/>
  <c r="AF216" i="450"/>
  <c r="X187" i="450"/>
  <c r="O216" i="450"/>
  <c r="M187" i="450"/>
  <c r="S187" i="450"/>
  <c r="AH53" i="450"/>
  <c r="V95" i="450"/>
  <c r="AJ67" i="450"/>
  <c r="O95" i="450"/>
  <c r="M192" i="450"/>
  <c r="I63" i="450"/>
  <c r="O63" i="450"/>
  <c r="V216" i="450"/>
  <c r="AJ216" i="450"/>
  <c r="Q216" i="450"/>
  <c r="M216" i="450"/>
  <c r="AN187" i="450"/>
  <c r="AL187" i="450"/>
  <c r="AJ187" i="450"/>
  <c r="AD187" i="450"/>
  <c r="AN51" i="450"/>
  <c r="O138" i="450"/>
  <c r="O175" i="450"/>
  <c r="AH72" i="450"/>
  <c r="K216" i="450"/>
  <c r="S216" i="450"/>
  <c r="V187" i="450"/>
  <c r="AB187" i="450"/>
  <c r="Z187" i="450"/>
  <c r="S51" i="450"/>
  <c r="S73" i="450"/>
  <c r="V73" i="450"/>
  <c r="X231" i="450"/>
  <c r="AB231" i="450"/>
  <c r="Q73" i="450"/>
  <c r="O73" i="450"/>
  <c r="Z207" i="450"/>
  <c r="X73" i="450"/>
  <c r="AL73" i="450"/>
  <c r="M73" i="450"/>
  <c r="K73" i="450"/>
  <c r="AF73" i="450"/>
  <c r="K70" i="450"/>
  <c r="AH190" i="450"/>
  <c r="AH35" i="450"/>
  <c r="AN73" i="450"/>
  <c r="AB73" i="450"/>
  <c r="AJ73" i="450"/>
  <c r="AD73" i="450"/>
  <c r="J69" i="476"/>
  <c r="K69" i="476"/>
  <c r="X67" i="450"/>
  <c r="AJ95" i="450"/>
  <c r="M94" i="450"/>
  <c r="AB67" i="450"/>
  <c r="O50" i="450"/>
  <c r="V175" i="450"/>
  <c r="Z231" i="450"/>
  <c r="AL231" i="450"/>
  <c r="K18" i="476"/>
  <c r="C11" i="269"/>
  <c r="K20" i="476"/>
  <c r="K39" i="476"/>
  <c r="K50" i="450"/>
  <c r="I132" i="450"/>
  <c r="Q132" i="450"/>
  <c r="J53" i="476"/>
  <c r="K53" i="476"/>
  <c r="Q94" i="450"/>
  <c r="J51" i="476"/>
  <c r="K51" i="476"/>
  <c r="I113" i="450"/>
  <c r="Z113" i="450"/>
  <c r="J48" i="476"/>
  <c r="K48" i="476"/>
  <c r="AH81" i="450"/>
  <c r="I29" i="450"/>
  <c r="J15" i="476"/>
  <c r="K15" i="476"/>
  <c r="AD94" i="450"/>
  <c r="AJ70" i="450"/>
  <c r="Z70" i="450"/>
  <c r="AN94" i="450"/>
  <c r="AD50" i="450"/>
  <c r="Q70" i="450"/>
  <c r="V51" i="450"/>
  <c r="Q51" i="450"/>
  <c r="AB51" i="450"/>
  <c r="O70" i="450"/>
  <c r="AF51" i="450"/>
  <c r="X51" i="450"/>
  <c r="AJ51" i="450"/>
  <c r="Z51" i="450"/>
  <c r="M51" i="450"/>
  <c r="K51" i="450"/>
  <c r="O160" i="450"/>
  <c r="Q64" i="450"/>
  <c r="AJ138" i="450"/>
  <c r="J55" i="476"/>
  <c r="K55" i="476"/>
  <c r="X70" i="450"/>
  <c r="V70" i="450"/>
  <c r="AH107" i="450"/>
  <c r="J68" i="476"/>
  <c r="K68" i="476"/>
  <c r="AN138" i="450"/>
  <c r="K64" i="450"/>
  <c r="X138" i="450"/>
  <c r="M231" i="450"/>
  <c r="K231" i="450"/>
  <c r="AJ147" i="450"/>
  <c r="J65" i="476"/>
  <c r="K65" i="476"/>
  <c r="AF207" i="450"/>
  <c r="AB207" i="450"/>
  <c r="AD207" i="450"/>
  <c r="M207" i="450"/>
  <c r="X207" i="450"/>
  <c r="AF192" i="450"/>
  <c r="AF175" i="450"/>
  <c r="K175" i="450"/>
  <c r="AH189" i="450"/>
  <c r="AB192" i="450"/>
  <c r="Q175" i="450"/>
  <c r="K192" i="450"/>
  <c r="AB175" i="450"/>
  <c r="M175" i="450"/>
  <c r="AN175" i="450"/>
  <c r="X175" i="450"/>
  <c r="Z175" i="450"/>
  <c r="AD175" i="450"/>
  <c r="AL175" i="450"/>
  <c r="AJ175" i="450"/>
  <c r="O174" i="450"/>
  <c r="X174" i="450"/>
  <c r="V174" i="450"/>
  <c r="AN174" i="450"/>
  <c r="AJ174" i="450"/>
  <c r="S174" i="450"/>
  <c r="AL174" i="450"/>
  <c r="AD174" i="450"/>
  <c r="Q174" i="450"/>
  <c r="K174" i="450"/>
  <c r="AF174" i="450"/>
  <c r="AB174" i="450"/>
  <c r="Z174" i="450"/>
  <c r="S231" i="450"/>
  <c r="AB160" i="450"/>
  <c r="V160" i="450"/>
  <c r="AD138" i="450"/>
  <c r="S138" i="450"/>
  <c r="AF138" i="450"/>
  <c r="Q138" i="450"/>
  <c r="K138" i="450"/>
  <c r="Z147" i="450"/>
  <c r="X147" i="450"/>
  <c r="AL138" i="450"/>
  <c r="AF147" i="450"/>
  <c r="AD147" i="450"/>
  <c r="V138" i="450"/>
  <c r="AB138" i="450"/>
  <c r="Z138" i="450"/>
  <c r="O147" i="450"/>
  <c r="Q147" i="450"/>
  <c r="V147" i="450"/>
  <c r="AN147" i="450"/>
  <c r="S147" i="450"/>
  <c r="Q95" i="450"/>
  <c r="AL95" i="450"/>
  <c r="K95" i="450"/>
  <c r="AB95" i="450"/>
  <c r="AF95" i="450"/>
  <c r="X95" i="450"/>
  <c r="S95" i="450"/>
  <c r="M95" i="450"/>
  <c r="AN95" i="450"/>
  <c r="AD95" i="450"/>
  <c r="AF160" i="450"/>
  <c r="K160" i="450"/>
  <c r="AL160" i="450"/>
  <c r="AB94" i="450"/>
  <c r="Z94" i="450"/>
  <c r="V67" i="450"/>
  <c r="AJ160" i="450"/>
  <c r="S160" i="450"/>
  <c r="X160" i="450"/>
  <c r="AF94" i="450"/>
  <c r="X94" i="450"/>
  <c r="K94" i="450"/>
  <c r="O94" i="450"/>
  <c r="AL67" i="450"/>
  <c r="AF67" i="450"/>
  <c r="O67" i="450"/>
  <c r="M67" i="450"/>
  <c r="AN192" i="450"/>
  <c r="AJ192" i="450"/>
  <c r="X192" i="450"/>
  <c r="O192" i="450"/>
  <c r="AN70" i="450"/>
  <c r="AB70" i="450"/>
  <c r="K207" i="450"/>
  <c r="AH165" i="450"/>
  <c r="O207" i="450"/>
  <c r="AN160" i="450"/>
  <c r="Z160" i="450"/>
  <c r="M160" i="450"/>
  <c r="Q160" i="450"/>
  <c r="V94" i="450"/>
  <c r="AL94" i="450"/>
  <c r="S94" i="450"/>
  <c r="S67" i="450"/>
  <c r="K67" i="450"/>
  <c r="Z67" i="450"/>
  <c r="Z192" i="450"/>
  <c r="S192" i="450"/>
  <c r="Q192" i="450"/>
  <c r="I171" i="450"/>
  <c r="AN67" i="450"/>
  <c r="AD67" i="450"/>
  <c r="V192" i="450"/>
  <c r="AD192" i="450"/>
  <c r="Q231" i="450"/>
  <c r="AJ231" i="450"/>
  <c r="O231" i="450"/>
  <c r="AH136" i="450"/>
  <c r="M70" i="450"/>
  <c r="AF70" i="450"/>
  <c r="AD70" i="450"/>
  <c r="AL70" i="450"/>
  <c r="I219" i="450"/>
  <c r="AH191" i="450"/>
  <c r="K147" i="450"/>
  <c r="AN50" i="450"/>
  <c r="AJ50" i="450"/>
  <c r="X50" i="450"/>
  <c r="Z50" i="450"/>
  <c r="O66" i="450"/>
  <c r="S207" i="450"/>
  <c r="M147" i="450"/>
  <c r="AL147" i="450"/>
  <c r="AB50" i="450"/>
  <c r="M50" i="450"/>
  <c r="Q50" i="450"/>
  <c r="V66" i="450"/>
  <c r="AB127" i="450"/>
  <c r="K127" i="450"/>
  <c r="Z127" i="450"/>
  <c r="AN127" i="450"/>
  <c r="O127" i="450"/>
  <c r="AJ127" i="450"/>
  <c r="S127" i="450"/>
  <c r="Q127" i="450"/>
  <c r="M127" i="450"/>
  <c r="AD127" i="450"/>
  <c r="V127" i="450"/>
  <c r="AF127" i="450"/>
  <c r="AL127" i="450"/>
  <c r="X127" i="450"/>
  <c r="V50" i="450"/>
  <c r="AF50" i="450"/>
  <c r="S50" i="450"/>
  <c r="AL66" i="450"/>
  <c r="I120" i="450"/>
  <c r="AL120" i="450"/>
  <c r="I179" i="450"/>
  <c r="AN207" i="450"/>
  <c r="AJ207" i="450"/>
  <c r="Q207" i="450"/>
  <c r="V207" i="450"/>
  <c r="AF64" i="450"/>
  <c r="AB64" i="450"/>
  <c r="AL64" i="450"/>
  <c r="AH82" i="450"/>
  <c r="AF66" i="450"/>
  <c r="S66" i="450"/>
  <c r="AD66" i="450"/>
  <c r="M66" i="450"/>
  <c r="AN64" i="450"/>
  <c r="AJ64" i="450"/>
  <c r="X64" i="450"/>
  <c r="Z64" i="450"/>
  <c r="Q66" i="450"/>
  <c r="AJ66" i="450"/>
  <c r="AB66" i="450"/>
  <c r="V64" i="450"/>
  <c r="AD64" i="450"/>
  <c r="S64" i="450"/>
  <c r="AN66" i="450"/>
  <c r="X66" i="450"/>
  <c r="K66" i="450"/>
  <c r="AN68" i="450"/>
  <c r="X68" i="450"/>
  <c r="AL68" i="450"/>
  <c r="Z68" i="450"/>
  <c r="Q68" i="450"/>
  <c r="K68" i="450"/>
  <c r="AJ68" i="450"/>
  <c r="S68" i="450"/>
  <c r="AB68" i="450"/>
  <c r="AF68" i="450"/>
  <c r="O68" i="450"/>
  <c r="AD68" i="450"/>
  <c r="V68" i="450"/>
  <c r="M68" i="450"/>
  <c r="AN170" i="450"/>
  <c r="K170" i="450"/>
  <c r="Q170" i="450"/>
  <c r="V170" i="450"/>
  <c r="M170" i="450"/>
  <c r="Z170" i="450"/>
  <c r="AB170" i="450"/>
  <c r="AD170" i="450"/>
  <c r="O170" i="450"/>
  <c r="AJ170" i="450"/>
  <c r="X170" i="450"/>
  <c r="S170" i="450"/>
  <c r="AL170" i="450"/>
  <c r="AF170" i="450"/>
  <c r="N85" i="400"/>
  <c r="N87" i="400"/>
  <c r="AH24" i="450"/>
  <c r="AH89" i="450"/>
  <c r="AH139" i="450"/>
  <c r="AH140" i="450"/>
  <c r="AH151" i="450"/>
  <c r="I109" i="450"/>
  <c r="AH152" i="450"/>
  <c r="AH37" i="450"/>
  <c r="AH31" i="450"/>
  <c r="I141" i="450"/>
  <c r="AH168" i="450"/>
  <c r="AH46" i="450"/>
  <c r="J50" i="476"/>
  <c r="K50" i="476"/>
  <c r="AF36" i="450"/>
  <c r="O36" i="450"/>
  <c r="M36" i="450"/>
  <c r="X36" i="450"/>
  <c r="Z36" i="450"/>
  <c r="AL36" i="450"/>
  <c r="S36" i="450"/>
  <c r="AD36" i="450"/>
  <c r="Q36" i="450"/>
  <c r="V36" i="450"/>
  <c r="AN36" i="450"/>
  <c r="AJ36" i="450"/>
  <c r="K36" i="450"/>
  <c r="AB36" i="450"/>
  <c r="AH206" i="450"/>
  <c r="AH91" i="450"/>
  <c r="AH142" i="450"/>
  <c r="AH205" i="450"/>
  <c r="AN214" i="450"/>
  <c r="O214" i="450"/>
  <c r="K214" i="450"/>
  <c r="Q214" i="450"/>
  <c r="V214" i="450"/>
  <c r="S214" i="450"/>
  <c r="AJ214" i="450"/>
  <c r="AD214" i="450"/>
  <c r="M214" i="450"/>
  <c r="AL214" i="450"/>
  <c r="AF214" i="450"/>
  <c r="AB214" i="450"/>
  <c r="X214" i="450"/>
  <c r="Z214" i="450"/>
  <c r="J47" i="476"/>
  <c r="K47" i="476"/>
  <c r="N85" i="401"/>
  <c r="N87" i="401"/>
  <c r="AN213" i="450"/>
  <c r="AJ213" i="450"/>
  <c r="Z213" i="450"/>
  <c r="S213" i="450"/>
  <c r="M213" i="450"/>
  <c r="O213" i="450"/>
  <c r="Q213" i="450"/>
  <c r="AF213" i="450"/>
  <c r="AB213" i="450"/>
  <c r="AL213" i="450"/>
  <c r="AD213" i="450"/>
  <c r="K213" i="450"/>
  <c r="X213" i="450"/>
  <c r="V213" i="450"/>
  <c r="Z78" i="450"/>
  <c r="Q78" i="450"/>
  <c r="Q83" i="450"/>
  <c r="AD78" i="450"/>
  <c r="AL78" i="450"/>
  <c r="M78" i="450"/>
  <c r="K78" i="450"/>
  <c r="K83" i="450"/>
  <c r="AN78" i="450"/>
  <c r="S78" i="450"/>
  <c r="AB78" i="450"/>
  <c r="AJ78" i="450"/>
  <c r="AJ83" i="450"/>
  <c r="O78" i="450"/>
  <c r="O83" i="450"/>
  <c r="X78" i="450"/>
  <c r="AF78" i="450"/>
  <c r="V78" i="450"/>
  <c r="AH150" i="450"/>
  <c r="AN62" i="450"/>
  <c r="Q62" i="450"/>
  <c r="AJ62" i="450"/>
  <c r="X62" i="450"/>
  <c r="AB62" i="450"/>
  <c r="Z62" i="450"/>
  <c r="O62" i="450"/>
  <c r="AD62" i="450"/>
  <c r="AL62" i="450"/>
  <c r="V62" i="450"/>
  <c r="M62" i="450"/>
  <c r="K62" i="450"/>
  <c r="S62" i="450"/>
  <c r="AF62" i="450"/>
  <c r="AH188" i="450"/>
  <c r="AH25" i="450"/>
  <c r="AH38" i="450"/>
  <c r="AH155" i="450"/>
  <c r="AH153" i="450"/>
  <c r="I176" i="450"/>
  <c r="AH158" i="450"/>
  <c r="C5" i="269"/>
  <c r="M86" i="450"/>
  <c r="O86" i="450"/>
  <c r="Z86" i="450"/>
  <c r="S86" i="450"/>
  <c r="AD86" i="450"/>
  <c r="K86" i="450"/>
  <c r="AJ86" i="450"/>
  <c r="AL86" i="450"/>
  <c r="Q86" i="450"/>
  <c r="X86" i="450"/>
  <c r="AB86" i="450"/>
  <c r="V86" i="450"/>
  <c r="AF86" i="450"/>
  <c r="AN86" i="450"/>
  <c r="AH19" i="450"/>
  <c r="AH22" i="450"/>
  <c r="M131" i="450"/>
  <c r="AD131" i="450"/>
  <c r="S131" i="450"/>
  <c r="K131" i="450"/>
  <c r="Z131" i="450"/>
  <c r="AJ131" i="450"/>
  <c r="Q131" i="450"/>
  <c r="AB131" i="450"/>
  <c r="X131" i="450"/>
  <c r="V131" i="450"/>
  <c r="O131" i="450"/>
  <c r="AL131" i="450"/>
  <c r="AF131" i="450"/>
  <c r="AN131" i="450"/>
  <c r="AH71" i="450"/>
  <c r="O101" i="450"/>
  <c r="K101" i="450"/>
  <c r="AJ101" i="450"/>
  <c r="M101" i="450"/>
  <c r="Z101" i="450"/>
  <c r="AL101" i="450"/>
  <c r="Q101" i="450"/>
  <c r="X101" i="450"/>
  <c r="AB101" i="450"/>
  <c r="S101" i="450"/>
  <c r="AF101" i="450"/>
  <c r="V101" i="450"/>
  <c r="AD101" i="450"/>
  <c r="AN101" i="450"/>
  <c r="AH90" i="450"/>
  <c r="AH162" i="450"/>
  <c r="AH23" i="450"/>
  <c r="AH208" i="450"/>
  <c r="AH215" i="450"/>
  <c r="I133" i="450"/>
  <c r="O125" i="450"/>
  <c r="K125" i="450"/>
  <c r="AJ125" i="450"/>
  <c r="M125" i="450"/>
  <c r="Z125" i="450"/>
  <c r="AL125" i="450"/>
  <c r="Q125" i="450"/>
  <c r="X125" i="450"/>
  <c r="AB125" i="450"/>
  <c r="AD125" i="450"/>
  <c r="V125" i="450"/>
  <c r="S125" i="450"/>
  <c r="AF125" i="450"/>
  <c r="AN125" i="450"/>
  <c r="AH20" i="450"/>
  <c r="AH104" i="450"/>
  <c r="Z55" i="450"/>
  <c r="Z57" i="450"/>
  <c r="Q55" i="450"/>
  <c r="Q57" i="450"/>
  <c r="AB55" i="450"/>
  <c r="AB57" i="450"/>
  <c r="AD55" i="450"/>
  <c r="AD57" i="450"/>
  <c r="AJ55" i="450"/>
  <c r="AJ57" i="450"/>
  <c r="M55" i="450"/>
  <c r="M57" i="450"/>
  <c r="AL55" i="450"/>
  <c r="AL57" i="450"/>
  <c r="K55" i="450"/>
  <c r="K57" i="450"/>
  <c r="X55" i="450"/>
  <c r="X57" i="450"/>
  <c r="O55" i="450"/>
  <c r="S55" i="450"/>
  <c r="S57" i="450"/>
  <c r="AF55" i="450"/>
  <c r="AF57" i="450"/>
  <c r="V55" i="450"/>
  <c r="AN55" i="450"/>
  <c r="AN57" i="450"/>
  <c r="O157" i="450"/>
  <c r="Z157" i="450"/>
  <c r="AJ157" i="450"/>
  <c r="M157" i="450"/>
  <c r="AL157" i="450"/>
  <c r="Q157" i="450"/>
  <c r="AB157" i="450"/>
  <c r="X157" i="450"/>
  <c r="AD157" i="450"/>
  <c r="V157" i="450"/>
  <c r="K157" i="450"/>
  <c r="S157" i="450"/>
  <c r="AF157" i="450"/>
  <c r="AN157" i="450"/>
  <c r="AH49" i="450"/>
  <c r="AH144" i="450"/>
  <c r="O222" i="450"/>
  <c r="S222" i="450"/>
  <c r="M222" i="450"/>
  <c r="AB222" i="450"/>
  <c r="K222" i="450"/>
  <c r="AJ222" i="450"/>
  <c r="AL222" i="450"/>
  <c r="X222" i="450"/>
  <c r="Z222" i="450"/>
  <c r="V222" i="450"/>
  <c r="AD222" i="450"/>
  <c r="Q222" i="450"/>
  <c r="AF222" i="450"/>
  <c r="AN222" i="450"/>
  <c r="Z196" i="450"/>
  <c r="Q196" i="450"/>
  <c r="AB196" i="450"/>
  <c r="AJ196" i="450"/>
  <c r="M196" i="450"/>
  <c r="O196" i="450"/>
  <c r="AL196" i="450"/>
  <c r="X196" i="450"/>
  <c r="S196" i="450"/>
  <c r="V196" i="450"/>
  <c r="AD196" i="450"/>
  <c r="AF196" i="450"/>
  <c r="K196" i="450"/>
  <c r="AN196" i="450"/>
  <c r="AH166" i="450"/>
  <c r="I108" i="450"/>
  <c r="M41" i="450"/>
  <c r="O41" i="450"/>
  <c r="S41" i="450"/>
  <c r="AB41" i="450"/>
  <c r="AD41" i="450"/>
  <c r="AJ41" i="450"/>
  <c r="Z41" i="450"/>
  <c r="AL41" i="450"/>
  <c r="Q41" i="450"/>
  <c r="K41" i="450"/>
  <c r="X41" i="450"/>
  <c r="V41" i="450"/>
  <c r="AF41" i="450"/>
  <c r="AN41" i="450"/>
  <c r="M154" i="450"/>
  <c r="O154" i="450"/>
  <c r="S154" i="450"/>
  <c r="K154" i="450"/>
  <c r="Z154" i="450"/>
  <c r="AJ154" i="450"/>
  <c r="AL154" i="450"/>
  <c r="Q154" i="450"/>
  <c r="AB154" i="450"/>
  <c r="X154" i="450"/>
  <c r="AD154" i="450"/>
  <c r="AF154" i="450"/>
  <c r="V154" i="450"/>
  <c r="AN154" i="450"/>
  <c r="AH27" i="450"/>
  <c r="AH56" i="450"/>
  <c r="AH43" i="450"/>
  <c r="AH228" i="450"/>
  <c r="AH231" i="450"/>
  <c r="V231" i="450"/>
  <c r="AH169" i="450"/>
  <c r="O185" i="450"/>
  <c r="Z185" i="450"/>
  <c r="AJ185" i="450"/>
  <c r="AL185" i="450"/>
  <c r="Q185" i="450"/>
  <c r="AB185" i="450"/>
  <c r="X185" i="450"/>
  <c r="M185" i="450"/>
  <c r="AD185" i="450"/>
  <c r="K185" i="450"/>
  <c r="S185" i="450"/>
  <c r="AF185" i="450"/>
  <c r="V185" i="450"/>
  <c r="AN185" i="450"/>
  <c r="AH167" i="450"/>
  <c r="S197" i="450"/>
  <c r="AD197" i="450"/>
  <c r="K197" i="450"/>
  <c r="Z197" i="450"/>
  <c r="Q197" i="450"/>
  <c r="AB197" i="450"/>
  <c r="AJ197" i="450"/>
  <c r="M197" i="450"/>
  <c r="O197" i="450"/>
  <c r="AF197" i="450"/>
  <c r="AL197" i="450"/>
  <c r="X197" i="450"/>
  <c r="V197" i="450"/>
  <c r="AN197" i="450"/>
  <c r="S75" i="450"/>
  <c r="AH135" i="450"/>
  <c r="M143" i="450"/>
  <c r="AD143" i="450"/>
  <c r="O143" i="450"/>
  <c r="S143" i="450"/>
  <c r="K143" i="450"/>
  <c r="Z143" i="450"/>
  <c r="AJ143" i="450"/>
  <c r="X143" i="450"/>
  <c r="Q143" i="450"/>
  <c r="AF143" i="450"/>
  <c r="AL143" i="450"/>
  <c r="AB143" i="450"/>
  <c r="V143" i="450"/>
  <c r="AN143" i="450"/>
  <c r="M103" i="450"/>
  <c r="AB103" i="450"/>
  <c r="O103" i="450"/>
  <c r="S103" i="450"/>
  <c r="AD103" i="450"/>
  <c r="K103" i="450"/>
  <c r="AJ103" i="450"/>
  <c r="V103" i="450"/>
  <c r="AL103" i="450"/>
  <c r="Q103" i="450"/>
  <c r="Z103" i="450"/>
  <c r="X103" i="450"/>
  <c r="AF103" i="450"/>
  <c r="AN103" i="450"/>
  <c r="N7" i="450"/>
  <c r="O65" i="450"/>
  <c r="AD65" i="450"/>
  <c r="K65" i="450"/>
  <c r="AJ65" i="450"/>
  <c r="M65" i="450"/>
  <c r="AL65" i="450"/>
  <c r="S65" i="450"/>
  <c r="X65" i="450"/>
  <c r="Q65" i="450"/>
  <c r="Z65" i="450"/>
  <c r="V65" i="450"/>
  <c r="AB65" i="450"/>
  <c r="AF65" i="450"/>
  <c r="AN65" i="450"/>
  <c r="O57" i="450"/>
  <c r="M163" i="450"/>
  <c r="O163" i="450"/>
  <c r="AD163" i="450"/>
  <c r="S163" i="450"/>
  <c r="K163" i="450"/>
  <c r="Z163" i="450"/>
  <c r="AJ163" i="450"/>
  <c r="AF163" i="450"/>
  <c r="AL163" i="450"/>
  <c r="Q163" i="450"/>
  <c r="AB163" i="450"/>
  <c r="X163" i="450"/>
  <c r="V163" i="450"/>
  <c r="AN163" i="450"/>
  <c r="AH146" i="450"/>
  <c r="AH130" i="450"/>
  <c r="M198" i="450"/>
  <c r="O198" i="450"/>
  <c r="AL198" i="450"/>
  <c r="X198" i="450"/>
  <c r="AD198" i="450"/>
  <c r="K198" i="450"/>
  <c r="AJ198" i="450"/>
  <c r="AF198" i="450"/>
  <c r="Z198" i="450"/>
  <c r="Q198" i="450"/>
  <c r="AB198" i="450"/>
  <c r="S198" i="450"/>
  <c r="V198" i="450"/>
  <c r="AN198" i="450"/>
  <c r="AH220" i="450"/>
  <c r="M126" i="450"/>
  <c r="O126" i="450"/>
  <c r="S126" i="450"/>
  <c r="AD126" i="450"/>
  <c r="K126" i="450"/>
  <c r="AJ126" i="450"/>
  <c r="Z126" i="450"/>
  <c r="AL126" i="450"/>
  <c r="Q126" i="450"/>
  <c r="X126" i="450"/>
  <c r="AB126" i="450"/>
  <c r="V126" i="450"/>
  <c r="AF126" i="450"/>
  <c r="AN126" i="450"/>
  <c r="AH172" i="450"/>
  <c r="AL88" i="450"/>
  <c r="Q88" i="450"/>
  <c r="X88" i="450"/>
  <c r="Z88" i="450"/>
  <c r="AB88" i="450"/>
  <c r="M88" i="450"/>
  <c r="O88" i="450"/>
  <c r="S88" i="450"/>
  <c r="AD88" i="450"/>
  <c r="K88" i="450"/>
  <c r="AJ88" i="450"/>
  <c r="AF88" i="450"/>
  <c r="V88" i="450"/>
  <c r="AN88" i="450"/>
  <c r="M92" i="450"/>
  <c r="O92" i="450"/>
  <c r="AL92" i="450"/>
  <c r="Q92" i="450"/>
  <c r="X92" i="450"/>
  <c r="AB92" i="450"/>
  <c r="S92" i="450"/>
  <c r="AD92" i="450"/>
  <c r="Z92" i="450"/>
  <c r="K92" i="450"/>
  <c r="AJ92" i="450"/>
  <c r="V92" i="450"/>
  <c r="AF92" i="450"/>
  <c r="AN92" i="450"/>
  <c r="AH218" i="450"/>
  <c r="I217" i="450"/>
  <c r="AH149" i="450"/>
  <c r="AH30" i="450"/>
  <c r="AH40" i="450"/>
  <c r="M87" i="450"/>
  <c r="Z87" i="450"/>
  <c r="AB87" i="450"/>
  <c r="O87" i="450"/>
  <c r="S87" i="450"/>
  <c r="AD87" i="450"/>
  <c r="K87" i="450"/>
  <c r="AJ87" i="450"/>
  <c r="Q87" i="450"/>
  <c r="AL87" i="450"/>
  <c r="X87" i="450"/>
  <c r="V87" i="450"/>
  <c r="AF87" i="450"/>
  <c r="AN87" i="450"/>
  <c r="AH52" i="450"/>
  <c r="O121" i="450"/>
  <c r="K121" i="450"/>
  <c r="AJ121" i="450"/>
  <c r="Z121" i="450"/>
  <c r="AL121" i="450"/>
  <c r="Q121" i="450"/>
  <c r="X121" i="450"/>
  <c r="AB121" i="450"/>
  <c r="AD121" i="450"/>
  <c r="S121" i="450"/>
  <c r="M121" i="450"/>
  <c r="AF121" i="450"/>
  <c r="V121" i="450"/>
  <c r="AN121" i="450"/>
  <c r="O69" i="450"/>
  <c r="Z69" i="450"/>
  <c r="AD69" i="450"/>
  <c r="K69" i="450"/>
  <c r="AJ69" i="450"/>
  <c r="AL69" i="450"/>
  <c r="S69" i="450"/>
  <c r="X69" i="450"/>
  <c r="Q69" i="450"/>
  <c r="M69" i="450"/>
  <c r="AF69" i="450"/>
  <c r="AB69" i="450"/>
  <c r="V69" i="450"/>
  <c r="AN69" i="450"/>
  <c r="AH156" i="450"/>
  <c r="M195" i="450"/>
  <c r="Z195" i="450"/>
  <c r="AJ195" i="450"/>
  <c r="AL195" i="450"/>
  <c r="X195" i="450"/>
  <c r="AD195" i="450"/>
  <c r="AF195" i="450"/>
  <c r="Q195" i="450"/>
  <c r="S195" i="450"/>
  <c r="AB195" i="450"/>
  <c r="K195" i="450"/>
  <c r="O195" i="450"/>
  <c r="V195" i="450"/>
  <c r="AN195" i="450"/>
  <c r="M221" i="450"/>
  <c r="AB221" i="450"/>
  <c r="K221" i="450"/>
  <c r="AJ221" i="450"/>
  <c r="O221" i="450"/>
  <c r="AL221" i="450"/>
  <c r="X221" i="450"/>
  <c r="Z221" i="450"/>
  <c r="Q221" i="450"/>
  <c r="AD221" i="450"/>
  <c r="V221" i="450"/>
  <c r="AF221" i="450"/>
  <c r="S221" i="450"/>
  <c r="AN221" i="450"/>
  <c r="O129" i="450"/>
  <c r="AJ129" i="450"/>
  <c r="AL129" i="450"/>
  <c r="Q129" i="450"/>
  <c r="X129" i="450"/>
  <c r="M129" i="450"/>
  <c r="S129" i="450"/>
  <c r="AB129" i="450"/>
  <c r="AD129" i="450"/>
  <c r="K129" i="450"/>
  <c r="AF129" i="450"/>
  <c r="AN129" i="450"/>
  <c r="V129" i="450"/>
  <c r="Z129" i="450"/>
  <c r="Z39" i="450"/>
  <c r="O39" i="450"/>
  <c r="AL39" i="450"/>
  <c r="Q39" i="450"/>
  <c r="K39" i="450"/>
  <c r="X39" i="450"/>
  <c r="X44" i="450"/>
  <c r="M39" i="450"/>
  <c r="S39" i="450"/>
  <c r="AB39" i="450"/>
  <c r="AF39" i="450"/>
  <c r="V39" i="450"/>
  <c r="AD39" i="450"/>
  <c r="AJ39" i="450"/>
  <c r="AJ44" i="450"/>
  <c r="AN39" i="450"/>
  <c r="C158" i="450"/>
  <c r="C161" i="450"/>
  <c r="V57" i="450"/>
  <c r="AH47" i="450"/>
  <c r="AN83" i="450"/>
  <c r="AD83" i="450"/>
  <c r="AH80" i="450"/>
  <c r="AB83" i="450"/>
  <c r="AL83" i="450"/>
  <c r="AF83" i="450"/>
  <c r="M83" i="450"/>
  <c r="Z83" i="450"/>
  <c r="X83" i="450"/>
  <c r="S83" i="450"/>
  <c r="AH212" i="450"/>
  <c r="AD75" i="450"/>
  <c r="AN75" i="450"/>
  <c r="AB75" i="450"/>
  <c r="V63" i="450"/>
  <c r="AF75" i="450"/>
  <c r="M75" i="450"/>
  <c r="X75" i="450"/>
  <c r="O75" i="450"/>
  <c r="Q63" i="450"/>
  <c r="K113" i="450"/>
  <c r="AN113" i="450"/>
  <c r="V75" i="450"/>
  <c r="AH75" i="450"/>
  <c r="AJ75" i="450"/>
  <c r="Q75" i="450"/>
  <c r="AF63" i="450"/>
  <c r="AH63" i="450"/>
  <c r="AH95" i="450"/>
  <c r="AH186" i="450"/>
  <c r="AH138" i="450"/>
  <c r="AH61" i="450"/>
  <c r="I204" i="450"/>
  <c r="O204" i="450"/>
  <c r="AL75" i="450"/>
  <c r="K75" i="450"/>
  <c r="AH21" i="450"/>
  <c r="AH85" i="450"/>
  <c r="C6" i="269"/>
  <c r="AH48" i="450"/>
  <c r="AH216" i="450"/>
  <c r="AF113" i="450"/>
  <c r="AH187" i="450"/>
  <c r="X113" i="450"/>
  <c r="O113" i="450"/>
  <c r="AJ113" i="450"/>
  <c r="AD113" i="450"/>
  <c r="AJ63" i="450"/>
  <c r="Z63" i="450"/>
  <c r="AD63" i="450"/>
  <c r="AL63" i="450"/>
  <c r="M63" i="450"/>
  <c r="S63" i="450"/>
  <c r="AB63" i="450"/>
  <c r="AN63" i="450"/>
  <c r="X63" i="450"/>
  <c r="K63" i="450"/>
  <c r="AD132" i="450"/>
  <c r="AF132" i="450"/>
  <c r="I202" i="450"/>
  <c r="O202" i="450"/>
  <c r="I178" i="450"/>
  <c r="Z178" i="450"/>
  <c r="I201" i="450"/>
  <c r="AD201" i="450"/>
  <c r="AH73" i="450"/>
  <c r="K21" i="476"/>
  <c r="AH175" i="450"/>
  <c r="Z132" i="450"/>
  <c r="M132" i="450"/>
  <c r="X132" i="450"/>
  <c r="AN132" i="450"/>
  <c r="O132" i="450"/>
  <c r="AH160" i="450"/>
  <c r="V113" i="450"/>
  <c r="AH113" i="450"/>
  <c r="S113" i="450"/>
  <c r="AB113" i="450"/>
  <c r="AL132" i="450"/>
  <c r="V132" i="450"/>
  <c r="S132" i="450"/>
  <c r="AH207" i="450"/>
  <c r="AH192" i="450"/>
  <c r="S120" i="450"/>
  <c r="M113" i="450"/>
  <c r="Q113" i="450"/>
  <c r="AL113" i="450"/>
  <c r="AB132" i="450"/>
  <c r="AJ132" i="450"/>
  <c r="K132" i="450"/>
  <c r="AH67" i="450"/>
  <c r="C10" i="269"/>
  <c r="I199" i="450"/>
  <c r="O199" i="450"/>
  <c r="J67" i="476"/>
  <c r="K67" i="476"/>
  <c r="O29" i="450"/>
  <c r="S29" i="450"/>
  <c r="K29" i="450"/>
  <c r="AD29" i="450"/>
  <c r="X29" i="450"/>
  <c r="AJ29" i="450"/>
  <c r="V29" i="450"/>
  <c r="M29" i="450"/>
  <c r="AF29" i="450"/>
  <c r="Z29" i="450"/>
  <c r="Q29" i="450"/>
  <c r="AB29" i="450"/>
  <c r="AN29" i="450"/>
  <c r="AL29" i="450"/>
  <c r="J49" i="476"/>
  <c r="K49" i="476"/>
  <c r="K60" i="476"/>
  <c r="J66" i="476"/>
  <c r="K66" i="476"/>
  <c r="X120" i="450"/>
  <c r="AF120" i="450"/>
  <c r="AH66" i="450"/>
  <c r="AH70" i="450"/>
  <c r="AH94" i="450"/>
  <c r="AH51" i="450"/>
  <c r="AH50" i="450"/>
  <c r="I200" i="450"/>
  <c r="X200" i="450"/>
  <c r="AH174" i="450"/>
  <c r="AH147" i="450"/>
  <c r="AH127" i="450"/>
  <c r="V120" i="450"/>
  <c r="AD120" i="450"/>
  <c r="AB120" i="450"/>
  <c r="Z120" i="450"/>
  <c r="AJ120" i="450"/>
  <c r="O120" i="450"/>
  <c r="Q120" i="450"/>
  <c r="AD171" i="450"/>
  <c r="AJ171" i="450"/>
  <c r="Q171" i="450"/>
  <c r="AL171" i="450"/>
  <c r="S171" i="450"/>
  <c r="X171" i="450"/>
  <c r="AB171" i="450"/>
  <c r="M171" i="450"/>
  <c r="AF171" i="450"/>
  <c r="O171" i="450"/>
  <c r="Z171" i="450"/>
  <c r="V171" i="450"/>
  <c r="AN171" i="450"/>
  <c r="K171" i="450"/>
  <c r="AN120" i="450"/>
  <c r="K120" i="450"/>
  <c r="M120" i="450"/>
  <c r="AH64" i="450"/>
  <c r="Q219" i="450"/>
  <c r="K219" i="450"/>
  <c r="V219" i="450"/>
  <c r="M219" i="450"/>
  <c r="AD219" i="450"/>
  <c r="AJ219" i="450"/>
  <c r="AF219" i="450"/>
  <c r="O219" i="450"/>
  <c r="S219" i="450"/>
  <c r="AL219" i="450"/>
  <c r="AN219" i="450"/>
  <c r="Z219" i="450"/>
  <c r="AB219" i="450"/>
  <c r="X219" i="450"/>
  <c r="I183" i="450"/>
  <c r="K183" i="450"/>
  <c r="AH170" i="450"/>
  <c r="AH68" i="450"/>
  <c r="I115" i="450"/>
  <c r="V115" i="450"/>
  <c r="AH103" i="450"/>
  <c r="I98" i="450"/>
  <c r="AH214" i="450"/>
  <c r="AH101" i="450"/>
  <c r="AH131" i="450"/>
  <c r="AF44" i="450"/>
  <c r="AD44" i="450"/>
  <c r="Q44" i="450"/>
  <c r="AB44" i="450"/>
  <c r="K44" i="450"/>
  <c r="Z44" i="450"/>
  <c r="O44" i="450"/>
  <c r="S44" i="450"/>
  <c r="M44" i="450"/>
  <c r="AL44" i="450"/>
  <c r="AN44" i="450"/>
  <c r="AH36" i="450"/>
  <c r="Z76" i="450"/>
  <c r="AH55" i="450"/>
  <c r="AH57" i="450"/>
  <c r="AH69" i="450"/>
  <c r="AH213" i="450"/>
  <c r="I97" i="450"/>
  <c r="I116" i="450"/>
  <c r="AN141" i="450"/>
  <c r="O141" i="450"/>
  <c r="AL141" i="450"/>
  <c r="AD141" i="450"/>
  <c r="AF141" i="450"/>
  <c r="Z141" i="450"/>
  <c r="Q141" i="450"/>
  <c r="S141" i="450"/>
  <c r="AJ141" i="450"/>
  <c r="AB141" i="450"/>
  <c r="K141" i="450"/>
  <c r="M141" i="450"/>
  <c r="X141" i="450"/>
  <c r="V141" i="450"/>
  <c r="K109" i="450"/>
  <c r="AL109" i="450"/>
  <c r="AF109" i="450"/>
  <c r="AN109" i="450"/>
  <c r="X109" i="450"/>
  <c r="AD109" i="450"/>
  <c r="Z109" i="450"/>
  <c r="V109" i="450"/>
  <c r="AJ109" i="450"/>
  <c r="Q109" i="450"/>
  <c r="S109" i="450"/>
  <c r="M109" i="450"/>
  <c r="AB109" i="450"/>
  <c r="O109" i="450"/>
  <c r="I114" i="450"/>
  <c r="AJ76" i="450"/>
  <c r="Q76" i="450"/>
  <c r="AH125" i="450"/>
  <c r="I117" i="450"/>
  <c r="I110" i="450"/>
  <c r="AH126" i="450"/>
  <c r="AH143" i="450"/>
  <c r="X76" i="450"/>
  <c r="O76" i="450"/>
  <c r="I112" i="450"/>
  <c r="AH39" i="450"/>
  <c r="AH129" i="450"/>
  <c r="S76" i="450"/>
  <c r="M76" i="450"/>
  <c r="AH198" i="450"/>
  <c r="AL76" i="450"/>
  <c r="AH185" i="450"/>
  <c r="AH154" i="450"/>
  <c r="AH62" i="450"/>
  <c r="AH78" i="450"/>
  <c r="V83" i="450"/>
  <c r="I111" i="450"/>
  <c r="AF76" i="450"/>
  <c r="AB76" i="450"/>
  <c r="V76" i="450"/>
  <c r="AH87" i="450"/>
  <c r="AB217" i="450"/>
  <c r="K217" i="450"/>
  <c r="K226" i="450"/>
  <c r="AJ217" i="450"/>
  <c r="AJ226" i="450"/>
  <c r="AL217" i="450"/>
  <c r="AL226" i="450"/>
  <c r="X217" i="450"/>
  <c r="X226" i="450"/>
  <c r="M217" i="450"/>
  <c r="M226" i="450"/>
  <c r="Z217" i="450"/>
  <c r="Q217" i="450"/>
  <c r="AD217" i="450"/>
  <c r="S217" i="450"/>
  <c r="S226" i="450"/>
  <c r="O217" i="450"/>
  <c r="O226" i="450"/>
  <c r="V217" i="450"/>
  <c r="AF217" i="450"/>
  <c r="AF226" i="450"/>
  <c r="AN217" i="450"/>
  <c r="AN226" i="450"/>
  <c r="AH121" i="450"/>
  <c r="AH88" i="450"/>
  <c r="AD76" i="450"/>
  <c r="AH41" i="450"/>
  <c r="I180" i="450"/>
  <c r="AH157" i="450"/>
  <c r="I99" i="450"/>
  <c r="I122" i="450"/>
  <c r="AH197" i="450"/>
  <c r="M108" i="450"/>
  <c r="O108" i="450"/>
  <c r="Z108" i="450"/>
  <c r="AL108" i="450"/>
  <c r="Q108" i="450"/>
  <c r="X108" i="450"/>
  <c r="AB108" i="450"/>
  <c r="S108" i="450"/>
  <c r="AD108" i="450"/>
  <c r="AF108" i="450"/>
  <c r="K108" i="450"/>
  <c r="AJ108" i="450"/>
  <c r="V108" i="450"/>
  <c r="AN108" i="450"/>
  <c r="O133" i="450"/>
  <c r="Z133" i="450"/>
  <c r="AJ133" i="450"/>
  <c r="M133" i="450"/>
  <c r="AL133" i="450"/>
  <c r="Q133" i="450"/>
  <c r="AB133" i="450"/>
  <c r="X133" i="450"/>
  <c r="AD133" i="450"/>
  <c r="AF133" i="450"/>
  <c r="K133" i="450"/>
  <c r="S133" i="450"/>
  <c r="V133" i="450"/>
  <c r="AN133" i="450"/>
  <c r="V44" i="450"/>
  <c r="AH86" i="450"/>
  <c r="AL176" i="450"/>
  <c r="Q176" i="450"/>
  <c r="AB176" i="450"/>
  <c r="X176" i="450"/>
  <c r="AD176" i="450"/>
  <c r="M176" i="450"/>
  <c r="S176" i="450"/>
  <c r="K176" i="450"/>
  <c r="V176" i="450"/>
  <c r="O176" i="450"/>
  <c r="AJ176" i="450"/>
  <c r="Z176" i="450"/>
  <c r="AF176" i="450"/>
  <c r="AN176" i="450"/>
  <c r="I100" i="450"/>
  <c r="I181" i="450"/>
  <c r="I177" i="450"/>
  <c r="AH221" i="450"/>
  <c r="AH195" i="450"/>
  <c r="I124" i="450"/>
  <c r="AH92" i="450"/>
  <c r="I96" i="450"/>
  <c r="AH163" i="450"/>
  <c r="AH65" i="450"/>
  <c r="AN76" i="450"/>
  <c r="K76" i="450"/>
  <c r="M179" i="450"/>
  <c r="O179" i="450"/>
  <c r="AD179" i="450"/>
  <c r="S179" i="450"/>
  <c r="K179" i="450"/>
  <c r="Z179" i="450"/>
  <c r="AJ179" i="450"/>
  <c r="Q179" i="450"/>
  <c r="AB179" i="450"/>
  <c r="AF179" i="450"/>
  <c r="AL179" i="450"/>
  <c r="X179" i="450"/>
  <c r="V179" i="450"/>
  <c r="AN179" i="450"/>
  <c r="I182" i="450"/>
  <c r="AH196" i="450"/>
  <c r="AH222" i="450"/>
  <c r="I118" i="450"/>
  <c r="C159" i="450"/>
  <c r="C160" i="450"/>
  <c r="C162" i="450"/>
  <c r="C163" i="450"/>
  <c r="AH83" i="450"/>
  <c r="X204" i="450"/>
  <c r="AN204" i="450"/>
  <c r="X202" i="450"/>
  <c r="AB204" i="450"/>
  <c r="AL204" i="450"/>
  <c r="V204" i="450"/>
  <c r="AD204" i="450"/>
  <c r="AJ204" i="450"/>
  <c r="S204" i="450"/>
  <c r="M202" i="450"/>
  <c r="Q204" i="450"/>
  <c r="Z204" i="450"/>
  <c r="V202" i="450"/>
  <c r="M204" i="450"/>
  <c r="AF204" i="450"/>
  <c r="K204" i="450"/>
  <c r="Z202" i="450"/>
  <c r="AB201" i="450"/>
  <c r="AL201" i="450"/>
  <c r="O201" i="450"/>
  <c r="S201" i="450"/>
  <c r="AF178" i="450"/>
  <c r="Q202" i="450"/>
  <c r="K202" i="450"/>
  <c r="AD202" i="450"/>
  <c r="S178" i="450"/>
  <c r="Q178" i="450"/>
  <c r="K201" i="450"/>
  <c r="V201" i="450"/>
  <c r="M201" i="450"/>
  <c r="Q201" i="450"/>
  <c r="X201" i="450"/>
  <c r="AN201" i="450"/>
  <c r="Z201" i="450"/>
  <c r="AJ201" i="450"/>
  <c r="AF201" i="450"/>
  <c r="AD199" i="450"/>
  <c r="AJ200" i="450"/>
  <c r="AN178" i="450"/>
  <c r="AL178" i="450"/>
  <c r="AB199" i="450"/>
  <c r="AD178" i="450"/>
  <c r="K178" i="450"/>
  <c r="M199" i="450"/>
  <c r="M178" i="450"/>
  <c r="X178" i="450"/>
  <c r="AJ178" i="450"/>
  <c r="O178" i="450"/>
  <c r="S199" i="450"/>
  <c r="V178" i="450"/>
  <c r="AB178" i="450"/>
  <c r="AN202" i="450"/>
  <c r="AB202" i="450"/>
  <c r="S202" i="450"/>
  <c r="AL202" i="450"/>
  <c r="C9" i="269"/>
  <c r="AF202" i="450"/>
  <c r="AJ202" i="450"/>
  <c r="Z200" i="450"/>
  <c r="AH132" i="450"/>
  <c r="V199" i="450"/>
  <c r="Q199" i="450"/>
  <c r="X199" i="450"/>
  <c r="AF199" i="450"/>
  <c r="AL199" i="450"/>
  <c r="Z199" i="450"/>
  <c r="AN199" i="450"/>
  <c r="K199" i="450"/>
  <c r="AJ199" i="450"/>
  <c r="K200" i="450"/>
  <c r="AH120" i="450"/>
  <c r="K73" i="476"/>
  <c r="K85" i="476"/>
  <c r="AH29" i="450"/>
  <c r="C4" i="269"/>
  <c r="AF200" i="450"/>
  <c r="AB200" i="450"/>
  <c r="M200" i="450"/>
  <c r="V200" i="450"/>
  <c r="AL200" i="450"/>
  <c r="Q200" i="450"/>
  <c r="AN200" i="450"/>
  <c r="AD200" i="450"/>
  <c r="O200" i="450"/>
  <c r="S200" i="450"/>
  <c r="AF183" i="450"/>
  <c r="AN183" i="450"/>
  <c r="O183" i="450"/>
  <c r="Z183" i="450"/>
  <c r="M183" i="450"/>
  <c r="V183" i="450"/>
  <c r="Q183" i="450"/>
  <c r="AD183" i="450"/>
  <c r="AB183" i="450"/>
  <c r="AJ183" i="450"/>
  <c r="S183" i="450"/>
  <c r="X183" i="450"/>
  <c r="AL183" i="450"/>
  <c r="AD115" i="450"/>
  <c r="Z226" i="450"/>
  <c r="AN115" i="450"/>
  <c r="AH171" i="450"/>
  <c r="AD226" i="450"/>
  <c r="AB226" i="450"/>
  <c r="K115" i="450"/>
  <c r="Q226" i="450"/>
  <c r="AH219" i="450"/>
  <c r="AF115" i="450"/>
  <c r="AH115" i="450"/>
  <c r="AL115" i="450"/>
  <c r="Q115" i="450"/>
  <c r="AJ115" i="450"/>
  <c r="X115" i="450"/>
  <c r="O115" i="450"/>
  <c r="S115" i="450"/>
  <c r="AB115" i="450"/>
  <c r="M115" i="450"/>
  <c r="Z115" i="450"/>
  <c r="O98" i="450"/>
  <c r="AJ98" i="450"/>
  <c r="X98" i="450"/>
  <c r="AN98" i="450"/>
  <c r="K98" i="450"/>
  <c r="S98" i="450"/>
  <c r="Z98" i="450"/>
  <c r="AB98" i="450"/>
  <c r="M98" i="450"/>
  <c r="AF98" i="450"/>
  <c r="AD98" i="450"/>
  <c r="AL98" i="450"/>
  <c r="V98" i="450"/>
  <c r="Q98" i="450"/>
  <c r="O209" i="450"/>
  <c r="K209" i="450"/>
  <c r="Z209" i="450"/>
  <c r="AF209" i="450"/>
  <c r="AJ209" i="450"/>
  <c r="M209" i="450"/>
  <c r="AH179" i="450"/>
  <c r="AH44" i="450"/>
  <c r="AL209" i="450"/>
  <c r="AH109" i="450"/>
  <c r="AH141" i="450"/>
  <c r="AN209" i="450"/>
  <c r="S209" i="450"/>
  <c r="Q209" i="450"/>
  <c r="O114" i="450"/>
  <c r="AJ114" i="450"/>
  <c r="X114" i="450"/>
  <c r="AN114" i="450"/>
  <c r="S114" i="450"/>
  <c r="Z114" i="450"/>
  <c r="AB114" i="450"/>
  <c r="AD114" i="450"/>
  <c r="AL114" i="450"/>
  <c r="AF114" i="450"/>
  <c r="M114" i="450"/>
  <c r="K114" i="450"/>
  <c r="Q114" i="450"/>
  <c r="V114" i="450"/>
  <c r="Z97" i="450"/>
  <c r="Q97" i="450"/>
  <c r="S97" i="450"/>
  <c r="AN97" i="450"/>
  <c r="K97" i="450"/>
  <c r="X97" i="450"/>
  <c r="AD97" i="450"/>
  <c r="AJ97" i="450"/>
  <c r="AB97" i="450"/>
  <c r="V97" i="450"/>
  <c r="O97" i="450"/>
  <c r="AL97" i="450"/>
  <c r="M97" i="450"/>
  <c r="AF97" i="450"/>
  <c r="M116" i="450"/>
  <c r="Q116" i="450"/>
  <c r="AD116" i="450"/>
  <c r="K116" i="450"/>
  <c r="O116" i="450"/>
  <c r="X116" i="450"/>
  <c r="V116" i="450"/>
  <c r="AN116" i="450"/>
  <c r="Z116" i="450"/>
  <c r="AB116" i="450"/>
  <c r="AJ116" i="450"/>
  <c r="AL116" i="450"/>
  <c r="S116" i="450"/>
  <c r="AF116" i="450"/>
  <c r="AD209" i="450"/>
  <c r="AB209" i="450"/>
  <c r="X209" i="450"/>
  <c r="O110" i="450"/>
  <c r="AJ110" i="450"/>
  <c r="X110" i="450"/>
  <c r="AN110" i="450"/>
  <c r="S110" i="450"/>
  <c r="Z110" i="450"/>
  <c r="V110" i="450"/>
  <c r="AD110" i="450"/>
  <c r="AL110" i="450"/>
  <c r="AB110" i="450"/>
  <c r="M110" i="450"/>
  <c r="K110" i="450"/>
  <c r="Q110" i="450"/>
  <c r="AF110" i="450"/>
  <c r="S111" i="450"/>
  <c r="X111" i="450"/>
  <c r="Q111" i="450"/>
  <c r="M111" i="450"/>
  <c r="AD111" i="450"/>
  <c r="Z111" i="450"/>
  <c r="AF111" i="450"/>
  <c r="AB111" i="450"/>
  <c r="K111" i="450"/>
  <c r="AL111" i="450"/>
  <c r="AN111" i="450"/>
  <c r="O111" i="450"/>
  <c r="AJ111" i="450"/>
  <c r="V111" i="450"/>
  <c r="Q112" i="450"/>
  <c r="O112" i="450"/>
  <c r="K112" i="450"/>
  <c r="X112" i="450"/>
  <c r="S112" i="450"/>
  <c r="AJ112" i="450"/>
  <c r="Z112" i="450"/>
  <c r="AB112" i="450"/>
  <c r="AD112" i="450"/>
  <c r="V112" i="450"/>
  <c r="AL112" i="450"/>
  <c r="M112" i="450"/>
  <c r="AF112" i="450"/>
  <c r="AN112" i="450"/>
  <c r="K117" i="450"/>
  <c r="AL117" i="450"/>
  <c r="AD117" i="450"/>
  <c r="AN117" i="450"/>
  <c r="AJ117" i="450"/>
  <c r="Q117" i="450"/>
  <c r="S117" i="450"/>
  <c r="M117" i="450"/>
  <c r="X117" i="450"/>
  <c r="AF117" i="450"/>
  <c r="O117" i="450"/>
  <c r="Z117" i="450"/>
  <c r="AB117" i="450"/>
  <c r="V117" i="450"/>
  <c r="AH76" i="450"/>
  <c r="O177" i="450"/>
  <c r="Z177" i="450"/>
  <c r="AJ177" i="450"/>
  <c r="AL177" i="450"/>
  <c r="Q177" i="450"/>
  <c r="AB177" i="450"/>
  <c r="X177" i="450"/>
  <c r="AD177" i="450"/>
  <c r="S177" i="450"/>
  <c r="V177" i="450"/>
  <c r="M177" i="450"/>
  <c r="K177" i="450"/>
  <c r="AF177" i="450"/>
  <c r="AN177" i="450"/>
  <c r="AL96" i="450"/>
  <c r="Q96" i="450"/>
  <c r="X96" i="450"/>
  <c r="Z96" i="450"/>
  <c r="AB96" i="450"/>
  <c r="M96" i="450"/>
  <c r="O96" i="450"/>
  <c r="S96" i="450"/>
  <c r="AD96" i="450"/>
  <c r="AF96" i="450"/>
  <c r="K96" i="450"/>
  <c r="AJ96" i="450"/>
  <c r="V96" i="450"/>
  <c r="AN96" i="450"/>
  <c r="M100" i="450"/>
  <c r="O100" i="450"/>
  <c r="Z100" i="450"/>
  <c r="AL100" i="450"/>
  <c r="Q100" i="450"/>
  <c r="X100" i="450"/>
  <c r="AB100" i="450"/>
  <c r="S100" i="450"/>
  <c r="AD100" i="450"/>
  <c r="AF100" i="450"/>
  <c r="V100" i="450"/>
  <c r="K100" i="450"/>
  <c r="AJ100" i="450"/>
  <c r="AN100" i="450"/>
  <c r="AH217" i="450"/>
  <c r="AH226" i="450"/>
  <c r="V226" i="450"/>
  <c r="O181" i="450"/>
  <c r="M181" i="450"/>
  <c r="Z181" i="450"/>
  <c r="AJ181" i="450"/>
  <c r="AL181" i="450"/>
  <c r="Q181" i="450"/>
  <c r="AB181" i="450"/>
  <c r="X181" i="450"/>
  <c r="AD181" i="450"/>
  <c r="S181" i="450"/>
  <c r="AF181" i="450"/>
  <c r="V181" i="450"/>
  <c r="K181" i="450"/>
  <c r="AN181" i="450"/>
  <c r="AH133" i="450"/>
  <c r="AH108" i="450"/>
  <c r="M99" i="450"/>
  <c r="AB99" i="450"/>
  <c r="S99" i="450"/>
  <c r="AD99" i="450"/>
  <c r="K99" i="450"/>
  <c r="AJ99" i="450"/>
  <c r="Q99" i="450"/>
  <c r="V99" i="450"/>
  <c r="O99" i="450"/>
  <c r="X99" i="450"/>
  <c r="Z99" i="450"/>
  <c r="AL99" i="450"/>
  <c r="AF99" i="450"/>
  <c r="AN99" i="450"/>
  <c r="I119" i="450"/>
  <c r="O182" i="450"/>
  <c r="S182" i="450"/>
  <c r="K182" i="450"/>
  <c r="M182" i="450"/>
  <c r="Z182" i="450"/>
  <c r="AJ182" i="450"/>
  <c r="AL182" i="450"/>
  <c r="Q182" i="450"/>
  <c r="AB182" i="450"/>
  <c r="X182" i="450"/>
  <c r="AD182" i="450"/>
  <c r="AF182" i="450"/>
  <c r="V182" i="450"/>
  <c r="AN182" i="450"/>
  <c r="M122" i="450"/>
  <c r="O122" i="450"/>
  <c r="S122" i="450"/>
  <c r="AD122" i="450"/>
  <c r="K122" i="450"/>
  <c r="AJ122" i="450"/>
  <c r="Z122" i="450"/>
  <c r="AL122" i="450"/>
  <c r="Q122" i="450"/>
  <c r="X122" i="450"/>
  <c r="AB122" i="450"/>
  <c r="AF122" i="450"/>
  <c r="V122" i="450"/>
  <c r="AN122" i="450"/>
  <c r="M118" i="450"/>
  <c r="O118" i="450"/>
  <c r="S118" i="450"/>
  <c r="AD118" i="450"/>
  <c r="K118" i="450"/>
  <c r="AJ118" i="450"/>
  <c r="Z118" i="450"/>
  <c r="AL118" i="450"/>
  <c r="Q118" i="450"/>
  <c r="X118" i="450"/>
  <c r="AB118" i="450"/>
  <c r="V118" i="450"/>
  <c r="AF118" i="450"/>
  <c r="AN118" i="450"/>
  <c r="I123" i="450"/>
  <c r="M124" i="450"/>
  <c r="O124" i="450"/>
  <c r="Z124" i="450"/>
  <c r="AL124" i="450"/>
  <c r="Q124" i="450"/>
  <c r="X124" i="450"/>
  <c r="AB124" i="450"/>
  <c r="S124" i="450"/>
  <c r="AD124" i="450"/>
  <c r="AF124" i="450"/>
  <c r="K124" i="450"/>
  <c r="AJ124" i="450"/>
  <c r="V124" i="450"/>
  <c r="AN124" i="450"/>
  <c r="V209" i="450"/>
  <c r="AH176" i="450"/>
  <c r="M180" i="450"/>
  <c r="AL180" i="450"/>
  <c r="Q180" i="450"/>
  <c r="AB180" i="450"/>
  <c r="X180" i="450"/>
  <c r="O180" i="450"/>
  <c r="AD180" i="450"/>
  <c r="S180" i="450"/>
  <c r="K180" i="450"/>
  <c r="AJ180" i="450"/>
  <c r="Z180" i="450"/>
  <c r="AF180" i="450"/>
  <c r="V180" i="450"/>
  <c r="AN180" i="450"/>
  <c r="C164" i="450"/>
  <c r="C165" i="450"/>
  <c r="C166" i="450"/>
  <c r="C167" i="450"/>
  <c r="C168" i="450"/>
  <c r="C169" i="450"/>
  <c r="C170" i="450"/>
  <c r="C171" i="450"/>
  <c r="C172" i="450"/>
  <c r="C173" i="450"/>
  <c r="AH204" i="450"/>
  <c r="AH114" i="450"/>
  <c r="AH202" i="450"/>
  <c r="AH199" i="450"/>
  <c r="AH178" i="450"/>
  <c r="AH201" i="450"/>
  <c r="AH200" i="450"/>
  <c r="K96" i="476"/>
  <c r="K87" i="476"/>
  <c r="O14" i="476"/>
  <c r="O16" i="476"/>
  <c r="O27" i="476"/>
  <c r="O43" i="476"/>
  <c r="O56" i="476"/>
  <c r="O57" i="476"/>
  <c r="O63" i="476"/>
  <c r="O47" i="476"/>
  <c r="O32" i="476"/>
  <c r="O64" i="476"/>
  <c r="O50" i="476"/>
  <c r="O23" i="476"/>
  <c r="O72" i="476"/>
  <c r="O62" i="476"/>
  <c r="O70" i="476"/>
  <c r="O54" i="476"/>
  <c r="O48" i="476"/>
  <c r="O24" i="476"/>
  <c r="O85" i="476"/>
  <c r="O44" i="476"/>
  <c r="O65" i="476"/>
  <c r="O59" i="476"/>
  <c r="O41" i="476"/>
  <c r="O30" i="476"/>
  <c r="O51" i="476"/>
  <c r="O53" i="476"/>
  <c r="O68" i="476"/>
  <c r="O45" i="476"/>
  <c r="O33" i="476"/>
  <c r="O55" i="476"/>
  <c r="O17" i="476"/>
  <c r="O26" i="476"/>
  <c r="O71" i="476"/>
  <c r="O25" i="476"/>
  <c r="O46" i="476"/>
  <c r="O82" i="476"/>
  <c r="O67" i="476"/>
  <c r="O42" i="476"/>
  <c r="M86" i="476"/>
  <c r="O69" i="476"/>
  <c r="N85" i="476"/>
  <c r="O31" i="476"/>
  <c r="O66" i="476"/>
  <c r="O52" i="476"/>
  <c r="O58" i="476"/>
  <c r="O15" i="476"/>
  <c r="AH117" i="450"/>
  <c r="AH183" i="450"/>
  <c r="AH98" i="450"/>
  <c r="AH112" i="450"/>
  <c r="AH124" i="450"/>
  <c r="AH209" i="450"/>
  <c r="AH97" i="450"/>
  <c r="AH180" i="450"/>
  <c r="AH111" i="450"/>
  <c r="AH116" i="450"/>
  <c r="AH110" i="450"/>
  <c r="AH182" i="450"/>
  <c r="AH118" i="450"/>
  <c r="AH99" i="450"/>
  <c r="AH181" i="450"/>
  <c r="I128" i="450"/>
  <c r="M123" i="450"/>
  <c r="AB123" i="450"/>
  <c r="S123" i="450"/>
  <c r="AD123" i="450"/>
  <c r="K123" i="450"/>
  <c r="AJ123" i="450"/>
  <c r="Z123" i="450"/>
  <c r="AL123" i="450"/>
  <c r="X123" i="450"/>
  <c r="O123" i="450"/>
  <c r="Q123" i="450"/>
  <c r="AF123" i="450"/>
  <c r="V123" i="450"/>
  <c r="AN123" i="450"/>
  <c r="AH122" i="450"/>
  <c r="M119" i="450"/>
  <c r="AB119" i="450"/>
  <c r="O119" i="450"/>
  <c r="S119" i="450"/>
  <c r="AD119" i="450"/>
  <c r="K119" i="450"/>
  <c r="AJ119" i="450"/>
  <c r="AF119" i="450"/>
  <c r="AL119" i="450"/>
  <c r="Q119" i="450"/>
  <c r="X119" i="450"/>
  <c r="Z119" i="450"/>
  <c r="V119" i="450"/>
  <c r="AN119" i="450"/>
  <c r="AH100" i="450"/>
  <c r="AH177" i="450"/>
  <c r="AH96" i="450"/>
  <c r="C174" i="450"/>
  <c r="C176" i="450"/>
  <c r="C177" i="450"/>
  <c r="C178" i="450"/>
  <c r="C179" i="450"/>
  <c r="C180" i="450"/>
  <c r="C181" i="450"/>
  <c r="C182" i="450"/>
  <c r="C183" i="450"/>
  <c r="C184" i="450"/>
  <c r="C185" i="450"/>
  <c r="C186" i="450"/>
  <c r="C187" i="450"/>
  <c r="C188" i="450"/>
  <c r="C189" i="450"/>
  <c r="C190" i="450"/>
  <c r="C191" i="450"/>
  <c r="C192" i="450"/>
  <c r="C195" i="450"/>
  <c r="C196" i="450"/>
  <c r="C197" i="450"/>
  <c r="C198" i="450"/>
  <c r="C199" i="450"/>
  <c r="C200" i="450"/>
  <c r="C175" i="450"/>
  <c r="K89" i="476"/>
  <c r="K90" i="476"/>
  <c r="K91" i="476"/>
  <c r="K97" i="476"/>
  <c r="M103" i="476"/>
  <c r="AH119" i="450"/>
  <c r="C8" i="269"/>
  <c r="AH123" i="450"/>
  <c r="Z128" i="450"/>
  <c r="Z193" i="450"/>
  <c r="Z232" i="450"/>
  <c r="AL128" i="450"/>
  <c r="AL193" i="450"/>
  <c r="AL232" i="450"/>
  <c r="AL234" i="450"/>
  <c r="AL236" i="450"/>
  <c r="AL237" i="450"/>
  <c r="AL238" i="450"/>
  <c r="AL244" i="450"/>
  <c r="Q128" i="450"/>
  <c r="Q193" i="450"/>
  <c r="Q232" i="450"/>
  <c r="X128" i="450"/>
  <c r="X193" i="450"/>
  <c r="X232" i="450"/>
  <c r="AB128" i="450"/>
  <c r="AB193" i="450"/>
  <c r="AB232" i="450"/>
  <c r="AB234" i="450"/>
  <c r="AB236" i="450"/>
  <c r="AB237" i="450"/>
  <c r="AB238" i="450"/>
  <c r="AB244" i="450"/>
  <c r="AB256" i="450"/>
  <c r="M128" i="450"/>
  <c r="M193" i="450"/>
  <c r="M232" i="450"/>
  <c r="M234" i="450"/>
  <c r="M236" i="450"/>
  <c r="M237" i="450"/>
  <c r="M238" i="450"/>
  <c r="M244" i="450"/>
  <c r="O128" i="450"/>
  <c r="O193" i="450"/>
  <c r="O232" i="450"/>
  <c r="O234" i="450"/>
  <c r="O236" i="450"/>
  <c r="O237" i="450"/>
  <c r="O238" i="450"/>
  <c r="O244" i="450"/>
  <c r="S128" i="450"/>
  <c r="S193" i="450"/>
  <c r="S232" i="450"/>
  <c r="AD128" i="450"/>
  <c r="AD193" i="450"/>
  <c r="AD232" i="450"/>
  <c r="V128" i="450"/>
  <c r="K128" i="450"/>
  <c r="K193" i="450"/>
  <c r="K232" i="450"/>
  <c r="AJ128" i="450"/>
  <c r="AJ193" i="450"/>
  <c r="AJ232" i="450"/>
  <c r="AJ234" i="450"/>
  <c r="AJ236" i="450"/>
  <c r="AJ237" i="450"/>
  <c r="AJ238" i="450"/>
  <c r="AJ244" i="450"/>
  <c r="AJ256" i="450"/>
  <c r="AF128" i="450"/>
  <c r="AF193" i="450"/>
  <c r="AF232" i="450"/>
  <c r="AN128" i="450"/>
  <c r="AN193" i="450"/>
  <c r="AN232" i="450"/>
  <c r="C202" i="450"/>
  <c r="C203" i="450"/>
  <c r="C204" i="450"/>
  <c r="C205" i="450"/>
  <c r="C206" i="450"/>
  <c r="C207" i="450"/>
  <c r="C208" i="450"/>
  <c r="C211" i="450"/>
  <c r="C212" i="450"/>
  <c r="C213" i="450"/>
  <c r="C214" i="450"/>
  <c r="C215" i="450"/>
  <c r="C216" i="450"/>
  <c r="C217" i="450"/>
  <c r="C218" i="450"/>
  <c r="C219" i="450"/>
  <c r="C220" i="450"/>
  <c r="C221" i="450"/>
  <c r="C222" i="450"/>
  <c r="C223" i="450"/>
  <c r="C224" i="450"/>
  <c r="C225" i="450"/>
  <c r="C228" i="450"/>
  <c r="C229" i="450"/>
  <c r="C230" i="450"/>
  <c r="C201" i="450"/>
  <c r="M98" i="476"/>
  <c r="M101" i="476"/>
  <c r="X234" i="450"/>
  <c r="X236" i="450"/>
  <c r="X237" i="450"/>
  <c r="X238" i="450"/>
  <c r="X244" i="450"/>
  <c r="AN269" i="450"/>
  <c r="C16" i="269"/>
  <c r="AH128" i="450"/>
  <c r="AH193" i="450"/>
  <c r="AH232" i="450"/>
  <c r="AP232" i="450"/>
  <c r="AD234" i="450"/>
  <c r="AD236" i="450"/>
  <c r="AD237" i="450"/>
  <c r="AD238" i="450"/>
  <c r="AD244" i="450"/>
  <c r="AN243" i="450"/>
  <c r="AN234" i="450"/>
  <c r="AN264" i="450"/>
  <c r="M256" i="450"/>
  <c r="S234" i="450"/>
  <c r="S236" i="450"/>
  <c r="S237" i="450"/>
  <c r="S238" i="450"/>
  <c r="S244" i="450"/>
  <c r="K234" i="450"/>
  <c r="K236" i="450"/>
  <c r="K237" i="450"/>
  <c r="K238" i="450"/>
  <c r="K244" i="450"/>
  <c r="AP233" i="450"/>
  <c r="V233" i="450"/>
  <c r="Z234" i="450"/>
  <c r="O256" i="450"/>
  <c r="AN266" i="450"/>
  <c r="Q234" i="450"/>
  <c r="Q236" i="450"/>
  <c r="Q237" i="450"/>
  <c r="Q238" i="450"/>
  <c r="Q244" i="450"/>
  <c r="V193" i="450"/>
  <c r="V232" i="450"/>
  <c r="C17" i="269"/>
  <c r="C13" i="269"/>
  <c r="AH243" i="450"/>
  <c r="AD252" i="450"/>
  <c r="AD256" i="450"/>
  <c r="S256" i="450"/>
  <c r="AN267" i="450"/>
  <c r="AQ266" i="450"/>
  <c r="AO266" i="450"/>
  <c r="AF234" i="450"/>
  <c r="AO264" i="450"/>
  <c r="AQ264" i="450"/>
  <c r="AN236" i="450"/>
  <c r="AN237" i="450"/>
  <c r="AN238" i="450"/>
  <c r="AN244" i="450"/>
  <c r="Z236" i="450"/>
  <c r="Z237" i="450"/>
  <c r="Z238" i="450"/>
  <c r="Z244" i="450"/>
  <c r="AN263" i="450"/>
  <c r="K256" i="450"/>
  <c r="V234" i="450"/>
  <c r="V236" i="450"/>
  <c r="V237" i="450"/>
  <c r="V238" i="450"/>
  <c r="V244" i="450"/>
  <c r="Z256" i="450"/>
  <c r="AN265" i="450"/>
  <c r="AN268" i="450"/>
  <c r="AQ267" i="450"/>
  <c r="AO267" i="450"/>
  <c r="AH234" i="450"/>
  <c r="AH236" i="450"/>
  <c r="AH237" i="450"/>
  <c r="AH238" i="450"/>
  <c r="AF236" i="450"/>
  <c r="AF237" i="450"/>
  <c r="AF238" i="450"/>
  <c r="AF244" i="450"/>
  <c r="C12" i="269"/>
  <c r="C18" i="269"/>
  <c r="AQ263" i="450"/>
  <c r="AO263" i="450"/>
  <c r="AN270" i="450"/>
  <c r="AN272" i="450"/>
  <c r="AO265" i="450"/>
  <c r="AQ265" i="450"/>
  <c r="AH244" i="450"/>
  <c r="AP238" i="450"/>
  <c r="D18" i="269"/>
</calcChain>
</file>

<file path=xl/comments1.xml><?xml version="1.0" encoding="utf-8"?>
<comments xmlns="http://schemas.openxmlformats.org/spreadsheetml/2006/main">
  <authors>
    <author>Wilson Rene Corredor Parra</author>
    <author>Lenovo</author>
  </authors>
  <commentList>
    <comment ref="I20" authorId="0" shapeId="0">
      <text>
        <r>
          <rPr>
            <b/>
            <sz val="9"/>
            <color indexed="81"/>
            <rFont val="Tahoma"/>
            <family val="2"/>
          </rPr>
          <t>SE QUITO 4860</t>
        </r>
      </text>
    </comment>
    <comment ref="G59" authorId="1" shapeId="0">
      <text>
        <r>
          <rPr>
            <b/>
            <sz val="9"/>
            <color indexed="81"/>
            <rFont val="Tahoma"/>
            <family val="2"/>
          </rPr>
          <t>GEODREN PLANAR H=1M CON TUBERIA DE 4" verificar</t>
        </r>
      </text>
    </comment>
  </commentList>
</comments>
</file>

<file path=xl/comments2.xml><?xml version="1.0" encoding="utf-8"?>
<comments xmlns="http://schemas.openxmlformats.org/spreadsheetml/2006/main">
  <authors>
    <author>Wilson Rene Corredor Parra</author>
    <author>Lenovo</author>
  </authors>
  <commentList>
    <comment ref="J14" authorId="0" shapeId="0">
      <text>
        <r>
          <rPr>
            <b/>
            <sz val="9"/>
            <color indexed="81"/>
            <rFont val="Tahoma"/>
            <family val="2"/>
          </rPr>
          <t>no va en el alcance invias</t>
        </r>
      </text>
    </comment>
    <comment ref="N14" authorId="0" shapeId="0">
      <text>
        <r>
          <rPr>
            <b/>
            <sz val="9"/>
            <color indexed="81"/>
            <rFont val="Tahoma"/>
            <family val="2"/>
          </rPr>
          <t>Wilson Rene Corredor Parra:</t>
        </r>
        <r>
          <rPr>
            <sz val="9"/>
            <color indexed="81"/>
            <rFont val="Tahoma"/>
            <family val="2"/>
          </rPr>
          <t xml:space="preserve">
</t>
        </r>
      </text>
    </comment>
    <comment ref="O14" authorId="0" shapeId="0">
      <text>
        <r>
          <rPr>
            <b/>
            <sz val="9"/>
            <color indexed="81"/>
            <rFont val="Tahoma"/>
            <family val="2"/>
          </rPr>
          <t>TRAMO SE ENCUENTRA EN EXCAVACION Y CUERPO DE RELLENO</t>
        </r>
      </text>
    </comment>
    <comment ref="P14" authorId="0" shapeId="0">
      <text>
        <r>
          <rPr>
            <b/>
            <sz val="9"/>
            <color indexed="81"/>
            <rFont val="Tahoma"/>
            <family val="2"/>
          </rPr>
          <t>EN CORONA DE TERRPLEN</t>
        </r>
      </text>
    </comment>
    <comment ref="S14" authorId="0" shapeId="0">
      <text>
        <r>
          <rPr>
            <b/>
            <sz val="9"/>
            <color indexed="81"/>
            <rFont val="Tahoma"/>
            <family val="2"/>
          </rPr>
          <t>BASE</t>
        </r>
      </text>
    </comment>
    <comment ref="AA14" authorId="0" shapeId="0">
      <text>
        <r>
          <rPr>
            <b/>
            <sz val="9"/>
            <color indexed="81"/>
            <rFont val="Tahoma"/>
            <family val="2"/>
          </rPr>
          <t>SIN INTERVENIR</t>
        </r>
      </text>
    </comment>
    <comment ref="AC14" authorId="0" shapeId="0">
      <text>
        <r>
          <rPr>
            <b/>
            <sz val="9"/>
            <color indexed="81"/>
            <rFont val="Tahoma"/>
            <family val="2"/>
          </rPr>
          <t>SIN INTERVENIR</t>
        </r>
      </text>
    </comment>
    <comment ref="N15" authorId="0" shapeId="0">
      <text>
        <r>
          <rPr>
            <b/>
            <sz val="9"/>
            <color indexed="81"/>
            <rFont val="Tahoma"/>
            <family val="2"/>
          </rPr>
          <t>SE ECUENTRA EN CUERPO DE RELLENO Y CORONA DE TERRAPLEN</t>
        </r>
        <r>
          <rPr>
            <sz val="9"/>
            <color indexed="81"/>
            <rFont val="Tahoma"/>
            <family val="2"/>
          </rPr>
          <t xml:space="preserve">
</t>
        </r>
      </text>
    </comment>
    <comment ref="P15" authorId="0" shapeId="0">
      <text>
        <r>
          <rPr>
            <b/>
            <sz val="9"/>
            <color indexed="81"/>
            <rFont val="Tahoma"/>
            <family val="2"/>
          </rPr>
          <t>CORONA DE TERRAPLEN</t>
        </r>
      </text>
    </comment>
    <comment ref="AA15" authorId="0" shapeId="0">
      <text>
        <r>
          <rPr>
            <b/>
            <sz val="9"/>
            <color indexed="81"/>
            <rFont val="Tahoma"/>
            <family val="2"/>
          </rPr>
          <t>SIN INTERVENIR</t>
        </r>
      </text>
    </comment>
    <comment ref="AC15" authorId="0" shapeId="0">
      <text>
        <r>
          <rPr>
            <b/>
            <sz val="9"/>
            <color indexed="81"/>
            <rFont val="Tahoma"/>
            <family val="2"/>
          </rPr>
          <t>SIN INTERVENIR</t>
        </r>
      </text>
    </comment>
    <comment ref="N16" authorId="0" shapeId="0">
      <text>
        <r>
          <rPr>
            <b/>
            <sz val="9"/>
            <color indexed="81"/>
            <rFont val="Tahoma"/>
            <family val="2"/>
          </rPr>
          <t>TRAMO SIN INTERVENIR</t>
        </r>
      </text>
    </comment>
    <comment ref="P16" authorId="0" shapeId="0">
      <text>
        <r>
          <rPr>
            <b/>
            <sz val="9"/>
            <color indexed="81"/>
            <rFont val="Tahoma"/>
            <family val="2"/>
          </rPr>
          <t>DESCAPOTE Y EXCAVACION</t>
        </r>
      </text>
    </comment>
    <comment ref="R16" authorId="0" shapeId="0">
      <text>
        <r>
          <rPr>
            <b/>
            <sz val="9"/>
            <color indexed="81"/>
            <rFont val="Tahoma"/>
            <family val="2"/>
          </rPr>
          <t>BASE</t>
        </r>
        <r>
          <rPr>
            <sz val="9"/>
            <color indexed="81"/>
            <rFont val="Tahoma"/>
            <family val="2"/>
          </rPr>
          <t xml:space="preserve">
</t>
        </r>
      </text>
    </comment>
    <comment ref="S16" authorId="0" shapeId="0">
      <text>
        <r>
          <rPr>
            <b/>
            <sz val="9"/>
            <color indexed="81"/>
            <rFont val="Tahoma"/>
            <family val="2"/>
          </rPr>
          <t>CORONA TERRAPLE</t>
        </r>
      </text>
    </comment>
    <comment ref="AA16" authorId="0" shapeId="0">
      <text>
        <r>
          <rPr>
            <b/>
            <sz val="9"/>
            <color indexed="81"/>
            <rFont val="Tahoma"/>
            <family val="2"/>
          </rPr>
          <t>SIN INTERVENIR</t>
        </r>
        <r>
          <rPr>
            <sz val="9"/>
            <color indexed="81"/>
            <rFont val="Tahoma"/>
            <family val="2"/>
          </rPr>
          <t xml:space="preserve">
</t>
        </r>
      </text>
    </comment>
    <comment ref="R17" authorId="0" shapeId="0">
      <text>
        <r>
          <rPr>
            <b/>
            <sz val="9"/>
            <color indexed="81"/>
            <rFont val="Tahoma"/>
            <family val="2"/>
          </rPr>
          <t>SE ENCUENTRA EN BASE</t>
        </r>
        <r>
          <rPr>
            <sz val="9"/>
            <color indexed="81"/>
            <rFont val="Tahoma"/>
            <family val="2"/>
          </rPr>
          <t xml:space="preserve">
</t>
        </r>
      </text>
    </comment>
    <comment ref="AJ17" authorId="0" shapeId="0">
      <text>
        <r>
          <rPr>
            <b/>
            <sz val="9"/>
            <color indexed="81"/>
            <rFont val="Tahoma"/>
            <family val="2"/>
          </rPr>
          <t>TRAMO EN DESCAPOTE</t>
        </r>
      </text>
    </comment>
    <comment ref="AL17" authorId="0" shapeId="0">
      <text>
        <r>
          <rPr>
            <b/>
            <sz val="9"/>
            <color indexed="81"/>
            <rFont val="Tahoma"/>
            <family val="2"/>
          </rPr>
          <t>TRAMO EN DESCAPOTE</t>
        </r>
      </text>
    </comment>
    <comment ref="J18" authorId="0" shapeId="0">
      <text>
        <r>
          <rPr>
            <b/>
            <sz val="9"/>
            <color indexed="81"/>
            <rFont val="Tahoma"/>
            <family val="2"/>
          </rPr>
          <t xml:space="preserve">TERMINAR DE PAVIMENTAR SE ENCUENTRA EN CORONA SUPERIOR INFERIOR DE TERRAPLEN </t>
        </r>
      </text>
    </comment>
    <comment ref="L18" authorId="0" shapeId="0">
      <text>
        <r>
          <rPr>
            <b/>
            <sz val="9"/>
            <color indexed="81"/>
            <rFont val="Tahoma"/>
            <family val="2"/>
          </rPr>
          <t>TRAMOS FALTANTES POR PAVIMENTAR SE ENCUENTRAN EN CORONA DE TERRAPLEN, SUBBASE Y BASE</t>
        </r>
        <r>
          <rPr>
            <sz val="9"/>
            <color indexed="81"/>
            <rFont val="Tahoma"/>
            <family val="2"/>
          </rPr>
          <t xml:space="preserve">
</t>
        </r>
      </text>
    </comment>
    <comment ref="N18" authorId="0" shapeId="0">
      <text>
        <r>
          <rPr>
            <b/>
            <sz val="9"/>
            <color indexed="81"/>
            <rFont val="Tahoma"/>
            <family val="2"/>
          </rPr>
          <t>SE ENCUENTRA EN EXCAVACION, CUERPO DE RELLENO, CORONA DE TERRAOPLEN Y TRAMO SIN INTERVENIR</t>
        </r>
      </text>
    </comment>
    <comment ref="Z18" authorId="0" shapeId="0">
      <text>
        <r>
          <rPr>
            <b/>
            <sz val="9"/>
            <color indexed="81"/>
            <rFont val="Tahoma"/>
            <family val="2"/>
          </rPr>
          <t>TRAMO EN DESCAPOTE</t>
        </r>
      </text>
    </comment>
    <comment ref="AB18" authorId="0" shapeId="0">
      <text>
        <r>
          <rPr>
            <b/>
            <sz val="9"/>
            <color indexed="81"/>
            <rFont val="Tahoma"/>
            <family val="2"/>
          </rPr>
          <t>SIN INTERVENIR</t>
        </r>
      </text>
    </comment>
    <comment ref="AJ18" authorId="0" shapeId="0">
      <text>
        <r>
          <rPr>
            <b/>
            <sz val="9"/>
            <color indexed="81"/>
            <rFont val="Tahoma"/>
            <family val="2"/>
          </rPr>
          <t>TRAMO EN DESCAPOTE</t>
        </r>
      </text>
    </comment>
    <comment ref="AL18" authorId="0" shapeId="0">
      <text>
        <r>
          <rPr>
            <b/>
            <sz val="9"/>
            <color indexed="81"/>
            <rFont val="Tahoma"/>
            <family val="2"/>
          </rPr>
          <t>TRAMO EN DESCAPOTE</t>
        </r>
      </text>
    </comment>
    <comment ref="J30" authorId="1" shapeId="0">
      <text>
        <r>
          <rPr>
            <b/>
            <sz val="9"/>
            <color indexed="81"/>
            <rFont val="Tahoma"/>
            <family val="2"/>
          </rPr>
          <t>NO HAY CORTES ???????</t>
        </r>
      </text>
    </comment>
    <comment ref="G32" authorId="1" shapeId="0">
      <text>
        <r>
          <rPr>
            <b/>
            <sz val="9"/>
            <color indexed="81"/>
            <rFont val="Tahoma"/>
            <family val="2"/>
          </rPr>
          <t>verificar el material de terraplen seleccionado</t>
        </r>
      </text>
    </comment>
    <comment ref="G188" authorId="1" shapeId="0">
      <text>
        <r>
          <rPr>
            <b/>
            <sz val="9"/>
            <color indexed="81"/>
            <rFont val="Tahoma"/>
            <family val="2"/>
          </rPr>
          <t>GEODREN PLANAR H=1M CON TUBERIA DE 4" verificar</t>
        </r>
      </text>
    </comment>
  </commentList>
</comments>
</file>

<file path=xl/comments3.xml><?xml version="1.0" encoding="utf-8"?>
<comments xmlns="http://schemas.openxmlformats.org/spreadsheetml/2006/main">
  <authors>
    <author>Wilson Rene Corredor Parra</author>
  </authors>
  <commentList>
    <comment ref="F4" authorId="0" shapeId="0">
      <text>
        <r>
          <rPr>
            <b/>
            <sz val="9"/>
            <color indexed="81"/>
            <rFont val="Tahoma"/>
            <family val="2"/>
          </rPr>
          <t>CANTIDADES ADICIONALES FASE 2 NO ESTAN CONTEMPLADAS ALCANCE INVIAS</t>
        </r>
      </text>
    </comment>
    <comment ref="I4" authorId="0" shapeId="0">
      <text>
        <r>
          <rPr>
            <b/>
            <sz val="9"/>
            <color indexed="81"/>
            <rFont val="Tahoma"/>
            <family val="2"/>
          </rPr>
          <t>CANTIDADES ADICIONALES FASE 2 NO ESTAN CONTEMPLADAS ALCANCE INVIAS</t>
        </r>
        <r>
          <rPr>
            <sz val="9"/>
            <color indexed="81"/>
            <rFont val="Tahoma"/>
            <family val="2"/>
          </rPr>
          <t xml:space="preserve">
</t>
        </r>
      </text>
    </comment>
    <comment ref="K4" authorId="0" shapeId="0">
      <text>
        <r>
          <rPr>
            <b/>
            <sz val="9"/>
            <color indexed="81"/>
            <rFont val="Tahoma"/>
            <family val="2"/>
          </rPr>
          <t xml:space="preserve">OK CANTIDADES CONTEMPLADAS DENTRO DEL ALCANCE QUE FALTABA POR CUANTIFICAR </t>
        </r>
        <r>
          <rPr>
            <sz val="9"/>
            <color indexed="81"/>
            <rFont val="Tahoma"/>
            <family val="2"/>
          </rPr>
          <t xml:space="preserve">
PENDIENTE CANTIDAD DESDE 19+350 AL 20+000</t>
        </r>
      </text>
    </comment>
    <comment ref="N4" authorId="0" shapeId="0">
      <text>
        <r>
          <rPr>
            <b/>
            <sz val="9"/>
            <color indexed="81"/>
            <rFont val="Tahoma"/>
            <family val="2"/>
          </rPr>
          <t>CANTIDADES ADICIONALES FASE 2 NO ESTAN CONTEMPLADAS ALCANCE INVIAS</t>
        </r>
      </text>
    </comment>
    <comment ref="Q4" authorId="0" shapeId="0">
      <text>
        <r>
          <rPr>
            <sz val="9"/>
            <color indexed="81"/>
            <rFont val="Tahoma"/>
            <family val="2"/>
          </rPr>
          <t>OK CANTIDAD QUE FALTABA PARA DAR CONTINUIDAD DE ACUERDO AL ALCANCE PERO FALTARIAN  LAS CANTIDADES
DEL 41+100AL 41+595</t>
        </r>
      </text>
    </comment>
    <comment ref="R4" authorId="0" shapeId="0">
      <text>
        <r>
          <rPr>
            <b/>
            <sz val="9"/>
            <color indexed="81"/>
            <rFont val="Tahoma"/>
            <family val="2"/>
          </rPr>
          <t>OK NO ESTA CONTEMPLADO PERO DA CONTINUIDAD</t>
        </r>
        <r>
          <rPr>
            <sz val="9"/>
            <color indexed="81"/>
            <rFont val="Tahoma"/>
            <family val="2"/>
          </rPr>
          <t xml:space="preserve">
</t>
        </r>
      </text>
    </comment>
    <comment ref="T4" authorId="0" shapeId="0">
      <text>
        <r>
          <rPr>
            <b/>
            <sz val="9"/>
            <color indexed="81"/>
            <rFont val="Tahoma"/>
            <family val="2"/>
          </rPr>
          <t>CANTIDADES ADICIONALES FASE 2 NO ESTAN CONTEMPLADAS ALCANCE INVIAS</t>
        </r>
      </text>
    </comment>
    <comment ref="X4" authorId="0" shapeId="0">
      <text>
        <r>
          <rPr>
            <b/>
            <sz val="9"/>
            <color indexed="81"/>
            <rFont val="Tahoma"/>
            <family val="2"/>
          </rPr>
          <t>NO ESTA CONTEMPLADO EN LOS ALCANCES no hay continuidad desde 32+080 al 38+660</t>
        </r>
        <r>
          <rPr>
            <sz val="9"/>
            <color indexed="81"/>
            <rFont val="Tahoma"/>
            <family val="2"/>
          </rPr>
          <t xml:space="preserve">
</t>
        </r>
      </text>
    </comment>
    <comment ref="Z4" authorId="0" shapeId="0">
      <text>
        <r>
          <rPr>
            <b/>
            <sz val="9"/>
            <color indexed="81"/>
            <rFont val="Tahoma"/>
            <family val="2"/>
          </rPr>
          <t>no hay continuidad desde 32+080 al 38+660</t>
        </r>
        <r>
          <rPr>
            <sz val="9"/>
            <color indexed="81"/>
            <rFont val="Tahoma"/>
            <family val="2"/>
          </rPr>
          <t xml:space="preserve">
</t>
        </r>
      </text>
    </comment>
    <comment ref="AB4" authorId="0" shapeId="0">
      <text>
        <r>
          <rPr>
            <b/>
            <sz val="9"/>
            <color indexed="81"/>
            <rFont val="Tahoma"/>
            <family val="2"/>
          </rPr>
          <t>OK SE TIENE CONTEMPLADO EN EL ALCANCE MANTENIMIENTO DEL H 18E AL H 36 E</t>
        </r>
        <r>
          <rPr>
            <sz val="9"/>
            <color indexed="81"/>
            <rFont val="Tahoma"/>
            <family val="2"/>
          </rPr>
          <t xml:space="preserve">
</t>
        </r>
      </text>
    </comment>
    <comment ref="AE4" authorId="0" shapeId="0">
      <text>
        <r>
          <rPr>
            <b/>
            <sz val="9"/>
            <color indexed="81"/>
            <rFont val="Tahoma"/>
            <family val="2"/>
          </rPr>
          <t>OK SE TIENE CONTEMPLADO EN EL ALCANCE MANTENIMIENTO DEL H 18E AL H 36 E</t>
        </r>
      </text>
    </comment>
    <comment ref="AG4" authorId="0" shapeId="0">
      <text>
        <r>
          <rPr>
            <b/>
            <sz val="9"/>
            <color indexed="81"/>
            <rFont val="Tahoma"/>
            <family val="2"/>
          </rPr>
          <t>OK SE TIENE CONTEMPLADO EN EL ALCANCE MANTENIMIENTO DEL H 18E AL H 36 E</t>
        </r>
        <r>
          <rPr>
            <sz val="9"/>
            <color indexed="81"/>
            <rFont val="Tahoma"/>
            <family val="2"/>
          </rPr>
          <t xml:space="preserve">
</t>
        </r>
      </text>
    </comment>
    <comment ref="AI4" authorId="0" shapeId="0">
      <text>
        <r>
          <rPr>
            <b/>
            <sz val="9"/>
            <color indexed="81"/>
            <rFont val="Tahoma"/>
            <family val="2"/>
          </rPr>
          <t>OK CANTIDAD QUE FALTABA PARA DAR CONTINUIDAD DE ACUERDO AL ALCANCE</t>
        </r>
        <r>
          <rPr>
            <sz val="9"/>
            <color indexed="81"/>
            <rFont val="Tahoma"/>
            <family val="2"/>
          </rPr>
          <t xml:space="preserve">
</t>
        </r>
      </text>
    </comment>
    <comment ref="AJ4" authorId="0" shapeId="0">
      <text>
        <r>
          <rPr>
            <b/>
            <sz val="9"/>
            <color indexed="81"/>
            <rFont val="Tahoma"/>
            <family val="2"/>
          </rPr>
          <t>OK NO ESTA CONTEMPADO DENTRO DEL ALCANCE PERO SE DA CONTINUIDAD</t>
        </r>
        <r>
          <rPr>
            <sz val="9"/>
            <color indexed="81"/>
            <rFont val="Tahoma"/>
            <family val="2"/>
          </rPr>
          <t xml:space="preserve">
</t>
        </r>
      </text>
    </comment>
    <comment ref="AK4" authorId="0" shapeId="0">
      <text>
        <r>
          <rPr>
            <b/>
            <sz val="9"/>
            <color indexed="81"/>
            <rFont val="Tahoma"/>
            <family val="2"/>
          </rPr>
          <t>OK NO ESTA CONTEMPLADO DENTRO DEL ALCANCE  PERO DA CONTINUIDAD</t>
        </r>
        <r>
          <rPr>
            <sz val="9"/>
            <color indexed="81"/>
            <rFont val="Tahoma"/>
            <family val="2"/>
          </rPr>
          <t xml:space="preserve">
</t>
        </r>
      </text>
    </comment>
    <comment ref="AL4" authorId="0" shapeId="0">
      <text>
        <r>
          <rPr>
            <b/>
            <sz val="9"/>
            <color indexed="81"/>
            <rFont val="Tahoma"/>
            <family val="2"/>
          </rPr>
          <t>NO HAY CONTINUIDAD DEL 67+552 AL 67+578</t>
        </r>
      </text>
    </comment>
    <comment ref="AM4" authorId="0" shapeId="0">
      <text>
        <r>
          <rPr>
            <b/>
            <sz val="9"/>
            <color indexed="81"/>
            <rFont val="Tahoma"/>
            <family val="2"/>
          </rPr>
          <t>INICIALMENTE NO ESTAN CONTEMPLADAS</t>
        </r>
        <r>
          <rPr>
            <sz val="9"/>
            <color indexed="81"/>
            <rFont val="Tahoma"/>
            <family val="2"/>
          </rPr>
          <t xml:space="preserve">
</t>
        </r>
      </text>
    </comment>
    <comment ref="AP4" authorId="0" shapeId="0">
      <text>
        <r>
          <rPr>
            <b/>
            <sz val="9"/>
            <color indexed="81"/>
            <rFont val="Tahoma"/>
            <family val="2"/>
          </rPr>
          <t>OK SE TIENE CONTEMPLADO EN EL ALCANCE MANTENIMIENTO DEL H 18E AL H 36 E</t>
        </r>
        <r>
          <rPr>
            <sz val="9"/>
            <color indexed="81"/>
            <rFont val="Tahoma"/>
            <family val="2"/>
          </rPr>
          <t xml:space="preserve">
</t>
        </r>
      </text>
    </comment>
    <comment ref="AR4" authorId="0" shapeId="0">
      <text>
        <r>
          <rPr>
            <b/>
            <sz val="9"/>
            <color indexed="81"/>
            <rFont val="Tahoma"/>
            <family val="2"/>
          </rPr>
          <t>ok da continuidad , NO  se contemplada anteriormente em el alcance</t>
        </r>
        <r>
          <rPr>
            <sz val="9"/>
            <color indexed="81"/>
            <rFont val="Tahoma"/>
            <family val="2"/>
          </rPr>
          <t xml:space="preserve">
</t>
        </r>
      </text>
    </comment>
    <comment ref="AS4" authorId="0" shapeId="0">
      <text>
        <r>
          <rPr>
            <b/>
            <sz val="9"/>
            <color indexed="81"/>
            <rFont val="Tahoma"/>
            <family val="2"/>
          </rPr>
          <t>no hay continuidad falta del 79+200 al 79+994</t>
        </r>
        <r>
          <rPr>
            <sz val="9"/>
            <color indexed="81"/>
            <rFont val="Tahoma"/>
            <family val="2"/>
          </rPr>
          <t xml:space="preserve">
</t>
        </r>
      </text>
    </comment>
    <comment ref="AT4" authorId="0" shapeId="0">
      <text>
        <r>
          <rPr>
            <b/>
            <sz val="9"/>
            <color indexed="81"/>
            <rFont val="Tahoma"/>
            <family val="2"/>
          </rPr>
          <t>esta dentro del alcance y da continuidad</t>
        </r>
        <r>
          <rPr>
            <sz val="9"/>
            <color indexed="81"/>
            <rFont val="Tahoma"/>
            <family val="2"/>
          </rPr>
          <t xml:space="preserve">
</t>
        </r>
      </text>
    </comment>
    <comment ref="AV4" authorId="0" shapeId="0">
      <text>
        <r>
          <rPr>
            <b/>
            <sz val="9"/>
            <color indexed="81"/>
            <rFont val="Tahoma"/>
            <family val="2"/>
          </rPr>
          <t>CANTIDADES ADICIONALES FASE 2 NO ESTAN CONTEMPLADAS ALCANCE INVIAS</t>
        </r>
        <r>
          <rPr>
            <sz val="9"/>
            <color indexed="81"/>
            <rFont val="Tahoma"/>
            <family val="2"/>
          </rPr>
          <t xml:space="preserve">
</t>
        </r>
      </text>
    </comment>
    <comment ref="AY4" authorId="0" shapeId="0">
      <text>
        <r>
          <rPr>
            <b/>
            <sz val="9"/>
            <color indexed="81"/>
            <rFont val="Tahoma"/>
            <family val="2"/>
          </rPr>
          <t>ok da continuidad pero no se contemplaba en el alcance</t>
        </r>
        <r>
          <rPr>
            <sz val="9"/>
            <color indexed="81"/>
            <rFont val="Tahoma"/>
            <family val="2"/>
          </rPr>
          <t xml:space="preserve">
</t>
        </r>
      </text>
    </comment>
    <comment ref="BA4" authorId="0" shapeId="0">
      <text>
        <r>
          <rPr>
            <b/>
            <sz val="9"/>
            <color indexed="81"/>
            <rFont val="Tahoma"/>
            <family val="2"/>
          </rPr>
          <t>CANTIDADES ADICIONALES FASE 2 NO ESTAN CONTEMPLADAS ALCANCE INVIAS</t>
        </r>
        <r>
          <rPr>
            <sz val="9"/>
            <color indexed="81"/>
            <rFont val="Tahoma"/>
            <family val="2"/>
          </rPr>
          <t xml:space="preserve">
</t>
        </r>
      </text>
    </comment>
    <comment ref="BH4" authorId="0" shapeId="0">
      <text>
        <r>
          <rPr>
            <sz val="9"/>
            <color indexed="81"/>
            <rFont val="Tahoma"/>
            <family val="2"/>
          </rPr>
          <t xml:space="preserve">OK DE ACUERDO ALCANCE
</t>
        </r>
      </text>
    </comment>
    <comment ref="BI4" authorId="0" shapeId="0">
      <text>
        <r>
          <rPr>
            <b/>
            <sz val="9"/>
            <color indexed="81"/>
            <rFont val="Tahoma"/>
            <family val="2"/>
          </rPr>
          <t xml:space="preserve">OK DA CONTINUIDAD REVISAR ALCANCE </t>
        </r>
        <r>
          <rPr>
            <sz val="9"/>
            <color indexed="81"/>
            <rFont val="Tahoma"/>
            <family val="2"/>
          </rPr>
          <t xml:space="preserve">
</t>
        </r>
      </text>
    </comment>
    <comment ref="BM4" authorId="0" shapeId="0">
      <text>
        <r>
          <rPr>
            <b/>
            <sz val="9"/>
            <color indexed="81"/>
            <rFont val="Tahoma"/>
            <family val="2"/>
          </rPr>
          <t>NO ESTAN ESTAN CONTEMPLADAS DENTRO DEL ALCANCE???</t>
        </r>
        <r>
          <rPr>
            <sz val="9"/>
            <color indexed="81"/>
            <rFont val="Tahoma"/>
            <family val="2"/>
          </rPr>
          <t xml:space="preserve">
</t>
        </r>
      </text>
    </comment>
    <comment ref="BQ4" authorId="0" shapeId="0">
      <text>
        <r>
          <rPr>
            <sz val="9"/>
            <color indexed="81"/>
            <rFont val="Tahoma"/>
            <family val="2"/>
          </rPr>
          <t xml:space="preserve">NO COINCIDEN LAS ABSCISAS CON EL ALCANCE???
</t>
        </r>
      </text>
    </comment>
    <comment ref="BS4" authorId="0" shapeId="0">
      <text>
        <r>
          <rPr>
            <b/>
            <sz val="9"/>
            <color indexed="81"/>
            <rFont val="Tahoma"/>
            <family val="2"/>
          </rPr>
          <t>VERIFICAR ABSCISAS</t>
        </r>
        <r>
          <rPr>
            <sz val="9"/>
            <color indexed="81"/>
            <rFont val="Tahoma"/>
            <family val="2"/>
          </rPr>
          <t xml:space="preserve">
</t>
        </r>
      </text>
    </comment>
    <comment ref="BV4" authorId="0" shapeId="0">
      <text>
        <r>
          <rPr>
            <b/>
            <sz val="9"/>
            <color indexed="81"/>
            <rFont val="Tahoma"/>
            <family val="2"/>
          </rPr>
          <t>OK COINCIDE ALCANCE</t>
        </r>
        <r>
          <rPr>
            <sz val="9"/>
            <color indexed="81"/>
            <rFont val="Tahoma"/>
            <family val="2"/>
          </rPr>
          <t xml:space="preserve">
</t>
        </r>
      </text>
    </comment>
    <comment ref="BX4" authorId="0" shapeId="0">
      <text>
        <r>
          <rPr>
            <b/>
            <sz val="9"/>
            <color indexed="81"/>
            <rFont val="Tahoma"/>
            <family val="2"/>
          </rPr>
          <t>OK COINCIDE ALCANCE</t>
        </r>
        <r>
          <rPr>
            <sz val="9"/>
            <color indexed="81"/>
            <rFont val="Tahoma"/>
            <family val="2"/>
          </rPr>
          <t xml:space="preserve">
</t>
        </r>
      </text>
    </comment>
    <comment ref="BY4" authorId="0" shapeId="0">
      <text>
        <r>
          <rPr>
            <b/>
            <sz val="9"/>
            <color indexed="81"/>
            <rFont val="Tahoma"/>
            <family val="2"/>
          </rPr>
          <t>NO ESTAN CONTEMPLADOS DENTRO DEL ALCANCE  REVISAR ???</t>
        </r>
        <r>
          <rPr>
            <sz val="9"/>
            <color indexed="81"/>
            <rFont val="Tahoma"/>
            <family val="2"/>
          </rPr>
          <t xml:space="preserve">
</t>
        </r>
      </text>
    </comment>
    <comment ref="BF5" authorId="0" shapeId="0">
      <text>
        <r>
          <rPr>
            <b/>
            <sz val="9"/>
            <color indexed="81"/>
            <rFont val="Tahoma"/>
            <family val="2"/>
          </rPr>
          <t>dentro del alcance se mencionan los puentes Simaña y San Alonso???</t>
        </r>
        <r>
          <rPr>
            <sz val="9"/>
            <color indexed="81"/>
            <rFont val="Tahoma"/>
            <family val="2"/>
          </rPr>
          <t xml:space="preserve">
</t>
        </r>
      </text>
    </comment>
    <comment ref="Z83" authorId="0" shapeId="0">
      <text>
        <r>
          <rPr>
            <b/>
            <sz val="9"/>
            <color indexed="81"/>
            <rFont val="Tahoma"/>
            <family val="2"/>
          </rPr>
          <t xml:space="preserve">182.644
</t>
        </r>
        <r>
          <rPr>
            <sz val="9"/>
            <color indexed="81"/>
            <rFont val="Tahoma"/>
            <family val="2"/>
          </rPr>
          <t xml:space="preserve">
</t>
        </r>
      </text>
    </comment>
    <comment ref="AI83" authorId="0" shapeId="0">
      <text>
        <r>
          <rPr>
            <b/>
            <sz val="9"/>
            <color indexed="81"/>
            <rFont val="Tahoma"/>
            <family val="2"/>
          </rPr>
          <t xml:space="preserve">227.92
</t>
        </r>
        <r>
          <rPr>
            <sz val="9"/>
            <color indexed="81"/>
            <rFont val="Tahoma"/>
            <family val="2"/>
          </rPr>
          <t xml:space="preserve">
</t>
        </r>
      </text>
    </comment>
    <comment ref="AT83" authorId="0" shapeId="0">
      <text>
        <r>
          <rPr>
            <b/>
            <sz val="9"/>
            <color indexed="81"/>
            <rFont val="Tahoma"/>
            <family val="2"/>
          </rPr>
          <t xml:space="preserve">0
</t>
        </r>
        <r>
          <rPr>
            <sz val="9"/>
            <color indexed="81"/>
            <rFont val="Tahoma"/>
            <family val="2"/>
          </rPr>
          <t xml:space="preserve">
</t>
        </r>
      </text>
    </comment>
    <comment ref="AY83" authorId="0" shapeId="0">
      <text>
        <r>
          <rPr>
            <b/>
            <sz val="9"/>
            <color indexed="81"/>
            <rFont val="Tahoma"/>
            <family val="2"/>
          </rPr>
          <t xml:space="preserve">0
</t>
        </r>
        <r>
          <rPr>
            <sz val="9"/>
            <color indexed="81"/>
            <rFont val="Tahoma"/>
            <family val="2"/>
          </rPr>
          <t xml:space="preserve">
</t>
        </r>
      </text>
    </comment>
    <comment ref="Z84" authorId="0" shapeId="0">
      <text>
        <r>
          <rPr>
            <b/>
            <sz val="9"/>
            <color indexed="81"/>
            <rFont val="Tahoma"/>
            <family val="2"/>
          </rPr>
          <t xml:space="preserve">166.04
</t>
        </r>
        <r>
          <rPr>
            <sz val="9"/>
            <color indexed="81"/>
            <rFont val="Tahoma"/>
            <family val="2"/>
          </rPr>
          <t xml:space="preserve">
</t>
        </r>
      </text>
    </comment>
    <comment ref="AI84" authorId="0" shapeId="0">
      <text>
        <r>
          <rPr>
            <b/>
            <sz val="9"/>
            <color indexed="81"/>
            <rFont val="Tahoma"/>
            <family val="2"/>
          </rPr>
          <t xml:space="preserve">207.2
</t>
        </r>
        <r>
          <rPr>
            <sz val="9"/>
            <color indexed="81"/>
            <rFont val="Tahoma"/>
            <family val="2"/>
          </rPr>
          <t xml:space="preserve">
</t>
        </r>
      </text>
    </comment>
    <comment ref="AT84" authorId="0" shapeId="0">
      <text>
        <r>
          <rPr>
            <b/>
            <sz val="9"/>
            <color indexed="81"/>
            <rFont val="Tahoma"/>
            <family val="2"/>
          </rPr>
          <t>0</t>
        </r>
        <r>
          <rPr>
            <sz val="9"/>
            <color indexed="81"/>
            <rFont val="Tahoma"/>
            <family val="2"/>
          </rPr>
          <t xml:space="preserve">
</t>
        </r>
      </text>
    </comment>
    <comment ref="AY84" authorId="0" shapeId="0">
      <text>
        <r>
          <rPr>
            <b/>
            <sz val="9"/>
            <color indexed="81"/>
            <rFont val="Tahoma"/>
            <family val="2"/>
          </rPr>
          <t>0</t>
        </r>
        <r>
          <rPr>
            <sz val="9"/>
            <color indexed="81"/>
            <rFont val="Tahoma"/>
            <family val="2"/>
          </rPr>
          <t xml:space="preserve">
</t>
        </r>
      </text>
    </comment>
    <comment ref="Z85" authorId="0" shapeId="0">
      <text>
        <r>
          <rPr>
            <b/>
            <sz val="9"/>
            <color indexed="81"/>
            <rFont val="Tahoma"/>
            <family val="2"/>
          </rPr>
          <t>1914.624</t>
        </r>
        <r>
          <rPr>
            <sz val="9"/>
            <color indexed="81"/>
            <rFont val="Tahoma"/>
            <family val="2"/>
          </rPr>
          <t xml:space="preserve">
</t>
        </r>
      </text>
    </comment>
    <comment ref="AI85" authorId="0" shapeId="0">
      <text>
        <r>
          <rPr>
            <b/>
            <sz val="9"/>
            <color indexed="81"/>
            <rFont val="Tahoma"/>
            <family val="2"/>
          </rPr>
          <t xml:space="preserve">6655.0912
</t>
        </r>
        <r>
          <rPr>
            <sz val="9"/>
            <color indexed="81"/>
            <rFont val="Tahoma"/>
            <family val="2"/>
          </rPr>
          <t xml:space="preserve">
</t>
        </r>
      </text>
    </comment>
    <comment ref="Z87" authorId="0" shapeId="0">
      <text>
        <r>
          <rPr>
            <b/>
            <sz val="9"/>
            <color indexed="81"/>
            <rFont val="Tahoma"/>
            <family val="2"/>
          </rPr>
          <t xml:space="preserve">84434.9184
</t>
        </r>
        <r>
          <rPr>
            <sz val="9"/>
            <color indexed="81"/>
            <rFont val="Tahoma"/>
            <family val="2"/>
          </rPr>
          <t xml:space="preserve">
</t>
        </r>
      </text>
    </comment>
    <comment ref="AI87" authorId="0" shapeId="0">
      <text>
        <r>
          <rPr>
            <b/>
            <sz val="9"/>
            <color indexed="81"/>
            <rFont val="Tahoma"/>
            <family val="2"/>
          </rPr>
          <t xml:space="preserve">293489.52192
</t>
        </r>
        <r>
          <rPr>
            <sz val="9"/>
            <color indexed="81"/>
            <rFont val="Tahoma"/>
            <family val="2"/>
          </rPr>
          <t xml:space="preserve">
</t>
        </r>
      </text>
    </comment>
    <comment ref="Z93" authorId="0" shapeId="0">
      <text>
        <r>
          <rPr>
            <b/>
            <sz val="9"/>
            <color indexed="81"/>
            <rFont val="Tahoma"/>
            <family val="2"/>
          </rPr>
          <t xml:space="preserve">524.88
</t>
        </r>
        <r>
          <rPr>
            <sz val="9"/>
            <color indexed="81"/>
            <rFont val="Tahoma"/>
            <family val="2"/>
          </rPr>
          <t xml:space="preserve">
</t>
        </r>
      </text>
    </comment>
  </commentList>
</comments>
</file>

<file path=xl/sharedStrings.xml><?xml version="1.0" encoding="utf-8"?>
<sst xmlns="http://schemas.openxmlformats.org/spreadsheetml/2006/main" count="13687" uniqueCount="1510">
  <si>
    <t>VALOR UNITARIO</t>
  </si>
  <si>
    <t>OBREROS (6)</t>
  </si>
  <si>
    <t>VIBRADOR DE CONCRETO</t>
  </si>
  <si>
    <t>OBREROS (7)</t>
  </si>
  <si>
    <t>CONCRETO CLASE F</t>
  </si>
  <si>
    <t>EXPLOSIVOS 75% (INDUGEL)</t>
  </si>
  <si>
    <t>COMPACTADOR MANUAL VIBRATORIO (RANA)</t>
  </si>
  <si>
    <t>FORMALETA</t>
  </si>
  <si>
    <t>MAESTRO</t>
  </si>
  <si>
    <t>630.6</t>
  </si>
  <si>
    <t>CONCRETO CLASE D</t>
  </si>
  <si>
    <t>ml</t>
  </si>
  <si>
    <t>CIZALLA</t>
  </si>
  <si>
    <t>TRANSPORTE</t>
  </si>
  <si>
    <t>DIFERENCIAL</t>
  </si>
  <si>
    <t>FORMALETA PARA JUNTAS</t>
  </si>
  <si>
    <t>630.4</t>
  </si>
  <si>
    <t>OFICIAL (1)</t>
  </si>
  <si>
    <t>VEHICULO DELINEADOR</t>
  </si>
  <si>
    <t>ESFERAS REFLECTIVAS</t>
  </si>
  <si>
    <t>PINTURA ACRILICA PURA PARA TRAFICO</t>
  </si>
  <si>
    <t>TACHA REFLECTIVA</t>
  </si>
  <si>
    <t>CAMIONETA</t>
  </si>
  <si>
    <t>POSTES</t>
  </si>
  <si>
    <t>ALAMBRE DE PUAS</t>
  </si>
  <si>
    <t>POSTE DE CONCRETO</t>
  </si>
  <si>
    <t>CESPEDONES</t>
  </si>
  <si>
    <t>TIERRA NEGRA ABONADA</t>
  </si>
  <si>
    <t>m2</t>
  </si>
  <si>
    <t>ITEM</t>
  </si>
  <si>
    <t>DESCRIPCION</t>
  </si>
  <si>
    <t>ML</t>
  </si>
  <si>
    <t>U</t>
  </si>
  <si>
    <t>KG</t>
  </si>
  <si>
    <t>LT</t>
  </si>
  <si>
    <t>200.2</t>
  </si>
  <si>
    <t>MATERIAL DE COBERTURA</t>
  </si>
  <si>
    <t>POSTE DE KILOMETRAJE</t>
  </si>
  <si>
    <t>UNIDAD</t>
  </si>
  <si>
    <t>TARIFA</t>
  </si>
  <si>
    <t>M3</t>
  </si>
  <si>
    <t>GALON</t>
  </si>
  <si>
    <t>GLOBAL</t>
  </si>
  <si>
    <t>LB</t>
  </si>
  <si>
    <t>ADMINISTRACION</t>
  </si>
  <si>
    <t>UTILIDAD</t>
  </si>
  <si>
    <t>PRESTACIONES</t>
  </si>
  <si>
    <t>KM</t>
  </si>
  <si>
    <t>OFICIAL</t>
  </si>
  <si>
    <t>I. EQUIPO</t>
  </si>
  <si>
    <t>Descripción</t>
  </si>
  <si>
    <t>III. TRANSPORTES</t>
  </si>
  <si>
    <t>IV. MANO DE OBRA</t>
  </si>
  <si>
    <t>V. COSTOS INDIRECTOS</t>
  </si>
  <si>
    <t>Porcentaje</t>
  </si>
  <si>
    <t>Valor Total</t>
  </si>
  <si>
    <t xml:space="preserve">IMPREVISTOS </t>
  </si>
  <si>
    <t>MOTOSIERRA</t>
  </si>
  <si>
    <t>HERRAMIENTA MENOR (10%MO)</t>
  </si>
  <si>
    <t>MATERIAL DESMONTADO</t>
  </si>
  <si>
    <t>GUADAÑADORA</t>
  </si>
  <si>
    <t>OBREROS (2)</t>
  </si>
  <si>
    <t>OBREROS (3)</t>
  </si>
  <si>
    <t>OBREROS (4)</t>
  </si>
  <si>
    <t>CORDON DETONANTE</t>
  </si>
  <si>
    <t>EXPLOSIVOS 75%</t>
  </si>
  <si>
    <t>FULMINANTES</t>
  </si>
  <si>
    <t>MECHA LENTA</t>
  </si>
  <si>
    <t>M2</t>
  </si>
  <si>
    <t>INSTITUTO NACIONAL DE VIAS</t>
  </si>
  <si>
    <t>COMPRESOR BARRIDO Y SOPLADO</t>
  </si>
  <si>
    <t>EQUIPO DE PERFORACION TRACKDRILL</t>
  </si>
  <si>
    <t>OBREROS (1)</t>
  </si>
  <si>
    <t>AGUA</t>
  </si>
  <si>
    <t>HERRAMIENTA MENOR (10%)</t>
  </si>
  <si>
    <t>HERRAMIENTA MENOR (5%)</t>
  </si>
  <si>
    <t>CARROTANQUE IRRIGADOR DE ASFALTO</t>
  </si>
  <si>
    <t>HERRAMIENTA MENOR (5%MO)</t>
  </si>
  <si>
    <t>Kg</t>
  </si>
  <si>
    <t>kg</t>
  </si>
  <si>
    <t>HERRAMIENTA MENOR (1%MO)</t>
  </si>
  <si>
    <t>m</t>
  </si>
  <si>
    <t>u</t>
  </si>
  <si>
    <t>201.15</t>
  </si>
  <si>
    <t>201.16</t>
  </si>
  <si>
    <t>201.7</t>
  </si>
  <si>
    <t>210.2.1</t>
  </si>
  <si>
    <t>210.2.2</t>
  </si>
  <si>
    <t>211.1</t>
  </si>
  <si>
    <t>220.1</t>
  </si>
  <si>
    <t>330.1</t>
  </si>
  <si>
    <t>500.1</t>
  </si>
  <si>
    <t>610.1</t>
  </si>
  <si>
    <t>630.3</t>
  </si>
  <si>
    <t>661.1</t>
  </si>
  <si>
    <t>673.1</t>
  </si>
  <si>
    <t>673.2</t>
  </si>
  <si>
    <t>673.3</t>
  </si>
  <si>
    <t>681.1</t>
  </si>
  <si>
    <t>720.1</t>
  </si>
  <si>
    <t>730.1</t>
  </si>
  <si>
    <t>740.1</t>
  </si>
  <si>
    <t>800.2</t>
  </si>
  <si>
    <t>Ha</t>
  </si>
  <si>
    <t>900.2</t>
  </si>
  <si>
    <t>900.3</t>
  </si>
  <si>
    <t>CEMENTO ASFALTICO 60-70</t>
  </si>
  <si>
    <t>FRESADORA DE PAVIMENTO</t>
  </si>
  <si>
    <t>BARREDORA MECANICA DE CEPILLO</t>
  </si>
  <si>
    <t>MATERIAL FRESADO</t>
  </si>
  <si>
    <t>640.1</t>
  </si>
  <si>
    <t>m3</t>
  </si>
  <si>
    <t>PRESUPUESTO OFICIAL</t>
  </si>
  <si>
    <t>FORMULARIO 1</t>
  </si>
  <si>
    <t>Nº</t>
  </si>
  <si>
    <t>CANTIDAD</t>
  </si>
  <si>
    <t>PORCENTAJE</t>
  </si>
  <si>
    <t>A=</t>
  </si>
  <si>
    <t>I=</t>
  </si>
  <si>
    <t>U=</t>
  </si>
  <si>
    <t>TOTAL A.I.U</t>
  </si>
  <si>
    <t>A.I.U.=</t>
  </si>
  <si>
    <t>ITEM DE PAGO</t>
  </si>
  <si>
    <t>UND.</t>
  </si>
  <si>
    <t xml:space="preserve">VALOR TOTAL                                </t>
  </si>
  <si>
    <t>EXPLANACIONES</t>
  </si>
  <si>
    <t>Desmonte y limpieza en zonas no boscosas</t>
  </si>
  <si>
    <t>Remoción de Derrumbes</t>
  </si>
  <si>
    <t>Conformación de la calzada existente</t>
  </si>
  <si>
    <t>Terraplenes</t>
  </si>
  <si>
    <t>Excavaciones varias sin clasificar</t>
  </si>
  <si>
    <t>Captafaros</t>
  </si>
  <si>
    <t>OBRAS VARIAS</t>
  </si>
  <si>
    <t>TRANSPORTES</t>
  </si>
  <si>
    <t>Cerca de Alambre de Púas con postes de concreto</t>
  </si>
  <si>
    <t xml:space="preserve"> ACTIVIDAD </t>
  </si>
  <si>
    <t>COSTO EN EL TRAMO</t>
  </si>
  <si>
    <t>TOTAL COSTO TRAMO</t>
  </si>
  <si>
    <t>OBRERO (2)</t>
  </si>
  <si>
    <t>Conformación de sitios de disposicion de sobrantes</t>
  </si>
  <si>
    <t>1P</t>
  </si>
  <si>
    <t xml:space="preserve">Demolición de Estructuras </t>
  </si>
  <si>
    <t>Geotextil para separación de suelos de subrasante y capas granulares</t>
  </si>
  <si>
    <t>231.1</t>
  </si>
  <si>
    <t>Acero de refuerzo Fy=420 Mpa.</t>
  </si>
  <si>
    <t>lt</t>
  </si>
  <si>
    <t xml:space="preserve">Remoción de alcantarillas   </t>
  </si>
  <si>
    <t xml:space="preserve">Localización y replanteo </t>
  </si>
  <si>
    <t>2P</t>
  </si>
  <si>
    <t xml:space="preserve">ESCOLTA Y TRANSPORTE </t>
  </si>
  <si>
    <t>ESCOLTA Y TRANSPORTE</t>
  </si>
  <si>
    <t xml:space="preserve">Defensa metalica </t>
  </si>
  <si>
    <t>RASTRILLEROS (2)</t>
  </si>
  <si>
    <t>Excavaciones varias en roca en seco</t>
  </si>
  <si>
    <t xml:space="preserve">Excavaciones varias en material comun bajo agua </t>
  </si>
  <si>
    <t>COMPACTADOR MANUAL (RANA)</t>
  </si>
  <si>
    <t>m3-km</t>
  </si>
  <si>
    <t>EMULSION ASFALTICA CRL-1</t>
  </si>
  <si>
    <t>801.6P</t>
  </si>
  <si>
    <t>IVA (16% DE LA UTILIDAD)</t>
  </si>
  <si>
    <t>VALOR TOTAL</t>
  </si>
  <si>
    <t>BASES, SUBBASES Y AFIRMADOS</t>
  </si>
  <si>
    <t>PAVIMENTOS DE CONCRETO</t>
  </si>
  <si>
    <t>Pavimento de concreto Hidraulico</t>
  </si>
  <si>
    <t>ESTRUCTURAS Y DRENAJES</t>
  </si>
  <si>
    <t>Excavaciones varias en material comun en seco</t>
  </si>
  <si>
    <t>SEÑALIZACIÓN Y SEGURIDAD</t>
  </si>
  <si>
    <t>Poste de referencia</t>
  </si>
  <si>
    <t>Limpieza a mano de alcantarillas de tubo de 600 ó 900 mm</t>
  </si>
  <si>
    <t>Protección de Taludes con bloques de césped</t>
  </si>
  <si>
    <t>Subtotal</t>
  </si>
  <si>
    <t xml:space="preserve">Remoción de cercas de alambre     </t>
  </si>
  <si>
    <t>Excavaciones en material común de la Explanación y Canales</t>
  </si>
  <si>
    <t>DESCRIPCIÓN</t>
  </si>
  <si>
    <t>VALOR BASICO DEL CONTRATO INCLUYE OBRAS COMPLEMENTARIAS Y AJUSTES</t>
  </si>
  <si>
    <t>NO MODIFICAR</t>
  </si>
  <si>
    <t>MEZCLA DE CONCRETO</t>
  </si>
  <si>
    <t>CARGADOR</t>
  </si>
  <si>
    <t>GESTION SOCIAL Y PREDIAL  (Incluye  IVA 16%)</t>
  </si>
  <si>
    <t>GESTION AMBIENTAL (Incluye PAGA e IVA 16%)</t>
  </si>
  <si>
    <t>Baranda Metalica</t>
  </si>
  <si>
    <t>Berma cuneta en concreto clase D (incluye sello de juntas)</t>
  </si>
  <si>
    <t>Lecho drenante - Capa filtrante</t>
  </si>
  <si>
    <t>Geomalla</t>
  </si>
  <si>
    <t>TIPO</t>
  </si>
  <si>
    <t>TARIFA/HORA</t>
  </si>
  <si>
    <t>RENDIMIENTO</t>
  </si>
  <si>
    <t>BOMBA DE COLOCACION DE CONCRETO</t>
  </si>
  <si>
    <t>SUBTOTAL $</t>
  </si>
  <si>
    <t>II. MATERIALES</t>
  </si>
  <si>
    <t>PRECIO UNIT.</t>
  </si>
  <si>
    <t>Vr. UNITARIO</t>
  </si>
  <si>
    <t>MATERIAL</t>
  </si>
  <si>
    <t>VOL. o PESO</t>
  </si>
  <si>
    <t>DISTANCIA</t>
  </si>
  <si>
    <t>TRABAJADOR</t>
  </si>
  <si>
    <t>JORNAL</t>
  </si>
  <si>
    <t>JORNAL TOTAL</t>
  </si>
  <si>
    <t>TOTAL COSTO DIRECTO $</t>
  </si>
  <si>
    <t>Precio Unitario Total Aproximado al peso $</t>
  </si>
  <si>
    <t>OFICIAL (2)</t>
  </si>
  <si>
    <t>GL</t>
  </si>
  <si>
    <t>und</t>
  </si>
  <si>
    <t>MAESTRO (1)</t>
  </si>
  <si>
    <t>Lt</t>
  </si>
  <si>
    <t>OBREROS (8)</t>
  </si>
  <si>
    <t>OBRERO (3)</t>
  </si>
  <si>
    <t>OBRERO (4)</t>
  </si>
  <si>
    <t>HERRAMIENTA MENOR (2%MO)</t>
  </si>
  <si>
    <t>Apoyo elastomerico de 70cm x 70cm x 19cm con 10 de3/16</t>
  </si>
  <si>
    <t>Apoyo elastomerico de 120cm x 120cm x 7,2cm con 4 de 3/16"</t>
  </si>
  <si>
    <t>Apoyo elastomerico de 80cm x 130cm x 7,2cm con 4 de 3/16</t>
  </si>
  <si>
    <t>Apoyo elastomerico de 50cm x 50cm x 10cm con 3 de 3/16</t>
  </si>
  <si>
    <t>Apoyo elastomerico de 40cm x 40cm x 5cm con 3 de 3/16</t>
  </si>
  <si>
    <t>Apoyo elastomerico de 35cm x 45cm x 3,9cm con 4 de 1/8"</t>
  </si>
  <si>
    <t>Apoyo elastomerico de 30cm x 30cm x 4cm con 4 de 1/8"</t>
  </si>
  <si>
    <t>Apoyo elastomerico de 25cm x 40cm x 2cm con 2 de 1/8"</t>
  </si>
  <si>
    <t>Apoyo elastomerico de 30cm x 40cm x 3cm con 3 de 1/8"</t>
  </si>
  <si>
    <t>UN</t>
  </si>
  <si>
    <t>M</t>
  </si>
  <si>
    <t>CONCRETO CLASE A</t>
  </si>
  <si>
    <t>m3-E</t>
  </si>
  <si>
    <t>Geotextil para estabilización de suelos de la subrasante y capas granulares</t>
  </si>
  <si>
    <t>Juntas Transversales</t>
  </si>
  <si>
    <t>Excavación en roca de la explanación y canales</t>
  </si>
  <si>
    <t>810.1</t>
  </si>
  <si>
    <t>Transporte de materiales provenientes de la excavación de la explanación, canales y préstamos, entre cien metros(100 m) y mil metros(1.000 m) de distancia.</t>
  </si>
  <si>
    <t>MINISTERIO DE TRANSPORTE</t>
  </si>
  <si>
    <t>CÓDIGO</t>
  </si>
  <si>
    <t>MSE--FR-14</t>
  </si>
  <si>
    <t>VERSIÓN</t>
  </si>
  <si>
    <t>PROCESO SUPERVISION, EJECUCION Y SEGUIMIENTO A PROYECTOS</t>
  </si>
  <si>
    <t>PÁGINA</t>
  </si>
  <si>
    <t>DE</t>
  </si>
  <si>
    <t xml:space="preserve">ANALISIS DE PRECIOS UNITARIOS </t>
  </si>
  <si>
    <t>FECHA</t>
  </si>
  <si>
    <t>DD</t>
  </si>
  <si>
    <t>MM</t>
  </si>
  <si>
    <t>AA</t>
  </si>
  <si>
    <t xml:space="preserve">UNIDAD EJECUTORA: </t>
  </si>
  <si>
    <t>DIRECCIÓN TERRITORIAL:</t>
  </si>
  <si>
    <t>CONTRATO No.</t>
  </si>
  <si>
    <t>OBJETO DEL CONTRATO</t>
  </si>
  <si>
    <t>INTERVENTOR</t>
  </si>
  <si>
    <t>GESTOR TECNICO DE CONTRATO</t>
  </si>
  <si>
    <t xml:space="preserve">FECHA CIERRE DE LICITACIÓN Y/O SELECCIÓN ABREVIADA  </t>
  </si>
  <si>
    <t>DATOS ESPECÍFICOS</t>
  </si>
  <si>
    <t>GRUPO DE AJUSTE</t>
  </si>
  <si>
    <t>MARCA</t>
  </si>
  <si>
    <t>Firma</t>
  </si>
  <si>
    <t>Nombre:</t>
  </si>
  <si>
    <t>Representante Legal del Contratista o su Apoderado</t>
  </si>
  <si>
    <t>Matricula No. :</t>
  </si>
  <si>
    <t xml:space="preserve"> </t>
  </si>
  <si>
    <t>OBSERVACIONES INTERVENTORÍA</t>
  </si>
  <si>
    <t>Representante Legal del Interventor o su Apoderado</t>
  </si>
  <si>
    <t xml:space="preserve">MECHA LENTA </t>
  </si>
  <si>
    <t>PALETEROS(2)</t>
  </si>
  <si>
    <t>CARROTANQUE DE AGUA 1000 LITROS</t>
  </si>
  <si>
    <t>BOMBA DE CONCRETO</t>
  </si>
  <si>
    <t>MATERIAL DE BASE</t>
  </si>
  <si>
    <t>CEMENTO PORTLAND</t>
  </si>
  <si>
    <t>COMPRESOR (BARRIDO Y SOPLADO)</t>
  </si>
  <si>
    <t>TERMINADORA DE ASFALTO</t>
  </si>
  <si>
    <t>HERRAMIENTA MENOR  (10%MO)</t>
  </si>
  <si>
    <t>CEMENTO ASFALTICO 60 - 70</t>
  </si>
  <si>
    <t xml:space="preserve">TRANSPORTE DE MATERIAL </t>
  </si>
  <si>
    <t>FULMINANTES O STOPIN</t>
  </si>
  <si>
    <t>632.1P</t>
  </si>
  <si>
    <t>671.1P</t>
  </si>
  <si>
    <t>MATERIALES SELECCIONADOS</t>
  </si>
  <si>
    <t>OFICIALES(2)</t>
  </si>
  <si>
    <t>CONCRETO CLASE C</t>
  </si>
  <si>
    <t xml:space="preserve">OFICIAL </t>
  </si>
  <si>
    <t>MORTERO 1:3 PARA ANILLOS</t>
  </si>
  <si>
    <t>MATERIAL DE COBERTURA (MATERIAL TIPO SUBBASE GRANULAR)</t>
  </si>
  <si>
    <t>GEODREN CON TUBERIA CIRCULAR D=100MM</t>
  </si>
  <si>
    <t>DISOLVENTE (3%) TINER</t>
  </si>
  <si>
    <t>MAQUINA TERMICA (PEGATACHAS)</t>
  </si>
  <si>
    <t>RESINA TERMOPLASTICA (PEGANTE EPOXICO)</t>
  </si>
  <si>
    <t>TABLERO EN LAMINA GALVANIZADA DE 75CM*75CM, CALIBRE 16 REFLECTIVO TIPO 1 INCLUYE POSTE EN ANGULO DE 2*2*1/14 DE 3,5M</t>
  </si>
  <si>
    <t>CAMION</t>
  </si>
  <si>
    <t>DEFENSAS METALICAS</t>
  </si>
  <si>
    <t xml:space="preserve">SECCION FINAL </t>
  </si>
  <si>
    <t>CAPTAFARO (INC. TUERCA,GUASA,ARANDELA Y PEGANTE)</t>
  </si>
  <si>
    <t>TIERRA ORGANICA DE YALI</t>
  </si>
  <si>
    <t>SEMILLA</t>
  </si>
  <si>
    <t>RETENEDORDE AGUA</t>
  </si>
  <si>
    <t>FIJADOR O AGLOMERANTE</t>
  </si>
  <si>
    <t>Arena</t>
  </si>
  <si>
    <t>AJUSTE ESTUDIOS Y DISEÑOS</t>
  </si>
  <si>
    <t>IVA AJUSTE  ESTUDIOS Y DISEÑOS</t>
  </si>
  <si>
    <t>CONTRATISTA :</t>
  </si>
  <si>
    <t>XXXXXXXXXX</t>
  </si>
  <si>
    <t>XXX</t>
  </si>
  <si>
    <t>642,2P</t>
  </si>
  <si>
    <t>320.1</t>
  </si>
  <si>
    <t>PAVIMENTOS ASFALTICOS</t>
  </si>
  <si>
    <t>450.2P</t>
  </si>
  <si>
    <t>630.7</t>
  </si>
  <si>
    <t>671.1</t>
  </si>
  <si>
    <t>730.2</t>
  </si>
  <si>
    <t>Sección final</t>
  </si>
  <si>
    <t>DIRECCION OPERATIVA</t>
  </si>
  <si>
    <t>MANUAL DE INTERVENTORÍA OBRA PUBLICA</t>
  </si>
  <si>
    <t>PROVISION PARA AJUSTES, OBRAS COMPLEMENTARIAS Y/O ADICIONALES</t>
  </si>
  <si>
    <t>LICITACIÓN PÚBLICA</t>
  </si>
  <si>
    <t>GENERAL</t>
  </si>
  <si>
    <t>PARTICULAR</t>
  </si>
  <si>
    <t xml:space="preserve">VALOR TOTAL EN LETRAS: </t>
  </si>
  <si>
    <r>
      <t>M</t>
    </r>
    <r>
      <rPr>
        <b/>
        <vertAlign val="superscript"/>
        <sz val="8"/>
        <rFont val="Arial Narrow"/>
        <family val="2"/>
      </rPr>
      <t>3</t>
    </r>
    <r>
      <rPr>
        <b/>
        <sz val="8"/>
        <rFont val="Arial Narrow"/>
        <family val="2"/>
      </rPr>
      <t xml:space="preserve"> o Ton/Km</t>
    </r>
  </si>
  <si>
    <t>Desmonte y limpieza en bosque</t>
  </si>
  <si>
    <t>200.1</t>
  </si>
  <si>
    <t>221.1</t>
  </si>
  <si>
    <t>Pedraplen compacto</t>
  </si>
  <si>
    <t>221.1P</t>
  </si>
  <si>
    <t>Material para Pedraplen</t>
  </si>
  <si>
    <t>232.1P</t>
  </si>
  <si>
    <t xml:space="preserve">Geotextil tipo TR 4000 ó similar para refuerzo de muros en tierra armada  </t>
  </si>
  <si>
    <t>Suministro e instalación geomalla Triax TX 160 o similar</t>
  </si>
  <si>
    <t>Suministro e instalación geomalla Uniaxial UX 100 o similar</t>
  </si>
  <si>
    <t>3P</t>
  </si>
  <si>
    <t>Suministro e instalacion de bolsacretos</t>
  </si>
  <si>
    <t>Afirmado</t>
  </si>
  <si>
    <t>Suministro de cemento portland tipo 1 para la estabilizacion de bases granulares (incluye mezclado)</t>
  </si>
  <si>
    <t>421.1</t>
  </si>
  <si>
    <t>Riego de liga con emulsión asfáltica CRR-1</t>
  </si>
  <si>
    <t>450.7P</t>
  </si>
  <si>
    <t>Suministro e instalación base tratada con asfalto en caliente</t>
  </si>
  <si>
    <t>Suministro e instalación de manto asfáltico impermeabilizante</t>
  </si>
  <si>
    <t>460.1P</t>
  </si>
  <si>
    <t>Fresado de pavimento asfaltico</t>
  </si>
  <si>
    <t>461.1P</t>
  </si>
  <si>
    <t>Reciclaje de pavimento asfaltico (Incluye cereo)</t>
  </si>
  <si>
    <t>500.2P</t>
  </si>
  <si>
    <t>Pavimento de concreto Hidraulico acelerado a 7 dias</t>
  </si>
  <si>
    <t>Excavación en Roca bajo agua a mano</t>
  </si>
  <si>
    <t>Excavación en Roca en seco a mano</t>
  </si>
  <si>
    <t>Relleno detrás de las cunetas con material de excavacion</t>
  </si>
  <si>
    <t>623.1,1</t>
  </si>
  <si>
    <t>Anclajes pasivos con barra de acero corrugada Ø 3/4" y longitud variable</t>
  </si>
  <si>
    <t>623.1.2</t>
  </si>
  <si>
    <t>Anclajes activos de 30 toneladas (Longitud variable)</t>
  </si>
  <si>
    <t>623.1.3</t>
  </si>
  <si>
    <t>Anclajes activos de 40 toneladas (Longitud variable)</t>
  </si>
  <si>
    <t>Concreto lanzado para pantallas ancladas (f'c = 21 Mpa)</t>
  </si>
  <si>
    <t>630.1</t>
  </si>
  <si>
    <t>Caissons concreto clase C fc=280 kg/cm2 (diámetro 1.2 m, incluye excavaciones, formaleta (bien sea metálica o anillos de concreto) soporte temporal, concreto tremie bombeo, no incluye acero de refuerzo) caissons</t>
  </si>
  <si>
    <t>Caissons concreto clase C diametro interno 1,30 m, con anillos de 0,10 M (incluye escavacion y concreto)</t>
  </si>
  <si>
    <t>Malla de refuerzo  Fy = 459,2 Mpa.</t>
  </si>
  <si>
    <t>Junta para puentes T-40</t>
  </si>
  <si>
    <t>Junta FREYSINET M80 o similar</t>
  </si>
  <si>
    <t>Junta de dilatacion</t>
  </si>
  <si>
    <t>Apoyo en neopreno seccion 30cmx40cmx6,3cm dureza 60</t>
  </si>
  <si>
    <t>Anclaje activo con tres (3) cables o torones de 1/2"</t>
  </si>
  <si>
    <t>Anclaje activo con cuatro (4) cables o torones de 1/2"</t>
  </si>
  <si>
    <t>Anclaje activo con cinco (5) cables o torones de 1/2"</t>
  </si>
  <si>
    <t>640.1P</t>
  </si>
  <si>
    <t>Anclaje acero de refuerzo D=1/2" L=0.2 m.</t>
  </si>
  <si>
    <t>641.1</t>
  </si>
  <si>
    <t>Acero de Preesfuerzo</t>
  </si>
  <si>
    <t>Suministro, fabricación, montaje y pintura de estructura metálica en acero estructural A588 (No Incluye Transporte)</t>
  </si>
  <si>
    <t>650.1P</t>
  </si>
  <si>
    <t>Elementos metalicos para Apoyos de cables</t>
  </si>
  <si>
    <t>Tubería para filtro PVC RDE 21 ø 6"</t>
  </si>
  <si>
    <t>Lloraderos en tubería PVC con filtro  ø 65 mm L = variable.</t>
  </si>
  <si>
    <t>Canales de corona y canales intermedios revestidos en concreto clase E (Concreto vaciado a alturas mayores a 2 metros, utilizando bombeo)</t>
  </si>
  <si>
    <t>671.2P</t>
  </si>
  <si>
    <t>Torrenteras revestidas en concreto clase D (Concreto vaciado a alturas mayores a 2 metros, utilizando bombeo)</t>
  </si>
  <si>
    <t>Disipadores de energia en concreto clase D Lmax=30m</t>
  </si>
  <si>
    <t>Mortero de alta resistencia para apoyos y juntas</t>
  </si>
  <si>
    <t>673.3P</t>
  </si>
  <si>
    <t>Geodren</t>
  </si>
  <si>
    <t>Dren horizontal de longitud mayor a diez (10) metros.</t>
  </si>
  <si>
    <t>Gaviones fuera de la zona de via</t>
  </si>
  <si>
    <t>800.1</t>
  </si>
  <si>
    <t>Cerca de Alambre de Púas con postes de madera</t>
  </si>
  <si>
    <t>810.2</t>
  </si>
  <si>
    <t>812.1</t>
  </si>
  <si>
    <t>Recubrimento con malla y mortero 1:3 e = 3 cms, taludes terraplenes y  muros en tierra armada</t>
  </si>
  <si>
    <t>Reubicacion de Cercas existentes</t>
  </si>
  <si>
    <t>Tala de arbol clase V h mayor a 30 mts ( incluye desenraíce, retiro y disposición final)</t>
  </si>
  <si>
    <t>Tala de arbol clase IV h=20 a 30 mts ( incluye desenraíce, retiro y disposición final)</t>
  </si>
  <si>
    <t>Alquiler de Motoniveladora</t>
  </si>
  <si>
    <t>Hr</t>
  </si>
  <si>
    <t>Alquiler de Vibrocompactador</t>
  </si>
  <si>
    <t>Alquiler de Carrotanque</t>
  </si>
  <si>
    <t>4P</t>
  </si>
  <si>
    <t>5P</t>
  </si>
  <si>
    <t>6P</t>
  </si>
  <si>
    <t>642.3P</t>
  </si>
  <si>
    <t>642.4P</t>
  </si>
  <si>
    <t>623-13</t>
  </si>
  <si>
    <t>670.5P</t>
  </si>
  <si>
    <t>432.1P</t>
  </si>
  <si>
    <t>800P</t>
  </si>
  <si>
    <t>610.1P</t>
  </si>
  <si>
    <t>632.1</t>
  </si>
  <si>
    <t xml:space="preserve">Baranda de concreto </t>
  </si>
  <si>
    <t>681.1P</t>
  </si>
  <si>
    <t>650.2P</t>
  </si>
  <si>
    <t>630.1.1P</t>
  </si>
  <si>
    <t>Mejoramiento de la subrasante con adición de materiales</t>
  </si>
  <si>
    <t>233.2P</t>
  </si>
  <si>
    <t>233.1P</t>
  </si>
  <si>
    <t>310.1</t>
  </si>
  <si>
    <t>311.1</t>
  </si>
  <si>
    <t>Subbase Granular clase A</t>
  </si>
  <si>
    <t>Base granular clase A</t>
  </si>
  <si>
    <t>501.1</t>
  </si>
  <si>
    <t>Riego de imprimación con emulsión  asfáltica  CRL‐1</t>
  </si>
  <si>
    <t>420.2</t>
  </si>
  <si>
    <t>Mezcla densa en caliente Tipo MDC-25 para capa intermedia</t>
  </si>
  <si>
    <t>Mezcla densa en caliente Tipo MDC-19</t>
  </si>
  <si>
    <t>465.1</t>
  </si>
  <si>
    <t>600.1.1</t>
  </si>
  <si>
    <t>600.2.1</t>
  </si>
  <si>
    <t>600.2.3</t>
  </si>
  <si>
    <t>600.2.4</t>
  </si>
  <si>
    <t>600.2.1P</t>
  </si>
  <si>
    <t>600.2.2P</t>
  </si>
  <si>
    <t>630.3.1P</t>
  </si>
  <si>
    <t>630.3.2P</t>
  </si>
  <si>
    <t>630.3.3P</t>
  </si>
  <si>
    <t>630.3.4P</t>
  </si>
  <si>
    <t>630.4.1P</t>
  </si>
  <si>
    <t>673,2P</t>
  </si>
  <si>
    <t>683.2</t>
  </si>
  <si>
    <t>802.1.1P</t>
  </si>
  <si>
    <t>802.1.2P</t>
  </si>
  <si>
    <t>200-13</t>
  </si>
  <si>
    <t>630.1.2P</t>
  </si>
  <si>
    <t>663.1P</t>
  </si>
  <si>
    <t>663.2P</t>
  </si>
  <si>
    <t>201-13</t>
  </si>
  <si>
    <t>201.13</t>
  </si>
  <si>
    <t>210-13</t>
  </si>
  <si>
    <t>211-13</t>
  </si>
  <si>
    <t>220-13</t>
  </si>
  <si>
    <t>221-13</t>
  </si>
  <si>
    <t>231-13</t>
  </si>
  <si>
    <t>232-13</t>
  </si>
  <si>
    <t>310-13</t>
  </si>
  <si>
    <t>311-13</t>
  </si>
  <si>
    <t>320-13</t>
  </si>
  <si>
    <t>330-13</t>
  </si>
  <si>
    <t>501-13</t>
  </si>
  <si>
    <t>420-13</t>
  </si>
  <si>
    <t>421-13</t>
  </si>
  <si>
    <t>465-13</t>
  </si>
  <si>
    <t>500-13</t>
  </si>
  <si>
    <t>600-13</t>
  </si>
  <si>
    <t>610-13</t>
  </si>
  <si>
    <t>630-13</t>
  </si>
  <si>
    <t>632-13</t>
  </si>
  <si>
    <t>640-13</t>
  </si>
  <si>
    <t>642-13</t>
  </si>
  <si>
    <t>671-13</t>
  </si>
  <si>
    <t>641-13</t>
  </si>
  <si>
    <t>661-13</t>
  </si>
  <si>
    <t>673-13</t>
  </si>
  <si>
    <t>672-13</t>
  </si>
  <si>
    <t>683-13</t>
  </si>
  <si>
    <t>674-13</t>
  </si>
  <si>
    <t>681-13</t>
  </si>
  <si>
    <t>720-13</t>
  </si>
  <si>
    <t>730-13</t>
  </si>
  <si>
    <t>740-13</t>
  </si>
  <si>
    <t>800-13</t>
  </si>
  <si>
    <t>810-13</t>
  </si>
  <si>
    <t>812-13</t>
  </si>
  <si>
    <t>900-13</t>
  </si>
  <si>
    <t>623,1.4</t>
  </si>
  <si>
    <t>623,1,5</t>
  </si>
  <si>
    <t>623,1,6</t>
  </si>
  <si>
    <t xml:space="preserve">ESPECIFICACIONES </t>
  </si>
  <si>
    <t>SUBTOTAL OBRAS (INCLUYE IVA)</t>
  </si>
  <si>
    <t xml:space="preserve">SUBTOTAL OBRAS </t>
  </si>
  <si>
    <t>MEZCLA DENSA MDC-25</t>
  </si>
  <si>
    <t>MEZCLA DENSA MDC-19</t>
  </si>
  <si>
    <t>630.4.2P</t>
  </si>
  <si>
    <t>Anclaje pasivo diámetro 1/2 pulgada (incluye acero roscado, platilla 0.20m*0.20m*1/2", tuerca 7/8" y manguera de polietino)</t>
  </si>
  <si>
    <t>623,1,7</t>
  </si>
  <si>
    <t>Tuberia  para filtro PVC perforada diametro 100 mm</t>
  </si>
  <si>
    <t>663.3P</t>
  </si>
  <si>
    <t>EMULSIÓN  ASFALTICA CRL-1</t>
  </si>
  <si>
    <t>Mezcla densa en caliente Tipo MDC-19 para bacheos</t>
  </si>
  <si>
    <t>450.9P</t>
  </si>
  <si>
    <t>TABLERO EN LAMINA GALVANIZADA TIPO V</t>
  </si>
  <si>
    <t xml:space="preserve">RETROEXCAVADORA </t>
  </si>
  <si>
    <t xml:space="preserve">MOTONIVELADORA </t>
  </si>
  <si>
    <t xml:space="preserve">Apoyo elastomerico </t>
  </si>
  <si>
    <t>EQUIPO DE SOLDADURA</t>
  </si>
  <si>
    <t>AMORTIGUADORES</t>
  </si>
  <si>
    <t>642,6P</t>
  </si>
  <si>
    <t>Sello para juntas para puentes</t>
  </si>
  <si>
    <t>340.1</t>
  </si>
  <si>
    <t>340-13</t>
  </si>
  <si>
    <t>MAQUINA PILOTEADORA</t>
  </si>
  <si>
    <t>PALA AUXILIAR</t>
  </si>
  <si>
    <t>GRUA CON TORRE</t>
  </si>
  <si>
    <t>BENTONITA</t>
  </si>
  <si>
    <t>ACERO PDR-60 Y/O A-37</t>
  </si>
  <si>
    <t>621-13</t>
  </si>
  <si>
    <t>500.1P</t>
  </si>
  <si>
    <t>Pavimento Rigido Tipo Mr - 45, Resistencia a 28 dias mejorado con macrofibra sintetica</t>
  </si>
  <si>
    <t>621.1</t>
  </si>
  <si>
    <t>Apoyo en neopreno seccion 60cmx60cmx10,9cm dureza 60</t>
  </si>
  <si>
    <t>Apoyo en neopreno seccion 55cmx40cmx6,1cm dureza 60</t>
  </si>
  <si>
    <t>Caisson concreto Clase D- 3000 PSI fc=210 kg/cm2 (diametro 1.0 m incluye excavaciones, formaleta (bien sea metalica o anillos de concreto) soporte temporal, concreto tremie bombeo, no incluye acero de refuerzo) caissons (nucleo D=0.80m y anillos e=0.10m)</t>
  </si>
  <si>
    <t>Caisson concreto clase D fc=210 Kg/cm2 (diametro 1.5m, incluye excavaciones, formaleta bien sea metalica o anillos de concreto e=0.15 soporte temporal, concreto tremie bombeo, no incluye acero de refuerzo)</t>
  </si>
  <si>
    <t>630.1.3P</t>
  </si>
  <si>
    <t>Apoyo elastomerico  de 35cm*45cm*5cm</t>
  </si>
  <si>
    <t>Pavimento en concreto hidraulico con modulacion de 2,13X2,13 m</t>
  </si>
  <si>
    <t>620.P</t>
  </si>
  <si>
    <t xml:space="preserve">Pilotes de madera con diametro de 30 cms </t>
  </si>
  <si>
    <t>CAMISA PARA PILOTES</t>
  </si>
  <si>
    <t>201.8</t>
  </si>
  <si>
    <t>Demolición de pavimentos rigidos</t>
  </si>
  <si>
    <t>201.9</t>
  </si>
  <si>
    <t>Demoliciónde pisos y andenes de concreto</t>
  </si>
  <si>
    <t>201.10</t>
  </si>
  <si>
    <t>Demolición de bordillos de concreto</t>
  </si>
  <si>
    <t>EQUIPO MANUAL DE ASPERSIÓN</t>
  </si>
  <si>
    <t>351.1P</t>
  </si>
  <si>
    <t>Base estabilizada con cemento, 70 % material fresado de la via + 20% agregado petreo (3/4) + 10% arena lavada+ 4% cemento</t>
  </si>
  <si>
    <t>Base estabilizada con cemento,  45 % material demolición de placas, 20% material seleccionado de excavación + 4% de cemento</t>
  </si>
  <si>
    <t>351.2P</t>
  </si>
  <si>
    <t>Mezcla densa en frioTipo MDF-25</t>
  </si>
  <si>
    <t>440.2P</t>
  </si>
  <si>
    <t>810.1P</t>
  </si>
  <si>
    <t>ARBOL DE 0,60 M. DE ALTURA PROMEDIO A LA SIEMBRA</t>
  </si>
  <si>
    <t>ABONO ORGANICO</t>
  </si>
  <si>
    <t>ABONO QUIMICO</t>
  </si>
  <si>
    <t xml:space="preserve">INSECTICIDA </t>
  </si>
  <si>
    <t>820.1</t>
  </si>
  <si>
    <t>640,2P</t>
  </si>
  <si>
    <t>Rejilla para carcamo en hierro fundido de 50 x70 x 3   cm</t>
  </si>
  <si>
    <t>Cinta pvc, para junta de construcción estructuras en concreto</t>
  </si>
  <si>
    <t>230.1P</t>
  </si>
  <si>
    <t xml:space="preserve">COMPACTADOR VIBRATORIO </t>
  </si>
  <si>
    <t>ALAMBRE NEGRO PARA AMARRE PUESTO EN OBRA</t>
  </si>
  <si>
    <t xml:space="preserve">VIBROCOMPACTADOR </t>
  </si>
  <si>
    <t xml:space="preserve">COMPACTADOR NEUMATICO </t>
  </si>
  <si>
    <t>Material granular drenante</t>
  </si>
  <si>
    <t>Señal vertical de Tránsito Tipo V con lamina retroreflectiva de   SI-05 Y SI-06</t>
  </si>
  <si>
    <t>COMPRESOR CON MARTILLO</t>
  </si>
  <si>
    <t>COMPRESOR  CON MARTILLO</t>
  </si>
  <si>
    <t>Rellenos para Estructuras con suelo</t>
  </si>
  <si>
    <t>201.17</t>
  </si>
  <si>
    <t>Traslado de postes</t>
  </si>
  <si>
    <t>Rejilla sumidero 1*0,3 m</t>
  </si>
  <si>
    <t>Rejilla sumidero 1*0,6 m</t>
  </si>
  <si>
    <t>640,3P</t>
  </si>
  <si>
    <t>640,4P</t>
  </si>
  <si>
    <t>Tapas cámaras</t>
  </si>
  <si>
    <t>640,5P</t>
  </si>
  <si>
    <t>5640,P</t>
  </si>
  <si>
    <t>662.1</t>
  </si>
  <si>
    <t>662.1.1</t>
  </si>
  <si>
    <t>662.1.2</t>
  </si>
  <si>
    <t>662.1.3</t>
  </si>
  <si>
    <t>662.1.4</t>
  </si>
  <si>
    <t>662-13</t>
  </si>
  <si>
    <t>Tubería corrugada de acero galvanizado, de lamina diámetro 10 pulgadas</t>
  </si>
  <si>
    <t>Tubería corrugada de acero galvanizado, de lamina diámetro 12 pulgadas</t>
  </si>
  <si>
    <t>Tubería corrugada de acero galvanizado, de lamina diámetro 14 pulgadas</t>
  </si>
  <si>
    <t>Tubería corrugada de acero galvanizado, de lamina diámetro 16 pulgadas</t>
  </si>
  <si>
    <t>Tubería corrugada de acero galvanizado, de lamina diámetro 20 pulgadas</t>
  </si>
  <si>
    <t>671.3P</t>
  </si>
  <si>
    <t>Base estabilizada con emulsión tipo  BEE-38</t>
  </si>
  <si>
    <t xml:space="preserve">Revegetalización con grama </t>
  </si>
  <si>
    <t xml:space="preserve">Plantación de arboles </t>
  </si>
  <si>
    <t>500.3P</t>
  </si>
  <si>
    <t>621,1.1</t>
  </si>
  <si>
    <t>621,1.2</t>
  </si>
  <si>
    <t>621.1.3</t>
  </si>
  <si>
    <t>630.3.5P</t>
  </si>
  <si>
    <t>630.3.6P</t>
  </si>
  <si>
    <t>630.4.4P</t>
  </si>
  <si>
    <t>671.4P</t>
  </si>
  <si>
    <t>Caja de inspección 80x80 cm</t>
  </si>
  <si>
    <t>642,5P</t>
  </si>
  <si>
    <t>642.6P</t>
  </si>
  <si>
    <t>642,1.1P</t>
  </si>
  <si>
    <t>642,1.2P</t>
  </si>
  <si>
    <t>642,1.3P</t>
  </si>
  <si>
    <t>642,1.4P</t>
  </si>
  <si>
    <t>642,1.5P</t>
  </si>
  <si>
    <t>642,1.6P</t>
  </si>
  <si>
    <t>642,1.7P</t>
  </si>
  <si>
    <t>642,1.8P</t>
  </si>
  <si>
    <t>642,1.9P</t>
  </si>
  <si>
    <t>642,1.10P</t>
  </si>
  <si>
    <t>642.1.11P</t>
  </si>
  <si>
    <t>642.1.12P</t>
  </si>
  <si>
    <t>642.1.13P</t>
  </si>
  <si>
    <t>624-13</t>
  </si>
  <si>
    <t>EMULSION ASFALTICA CRR-1</t>
  </si>
  <si>
    <t>Excavación para reparación de pavimento asfáltico existente incluyendo el corte y la remoción de las capas asfálticas y de las subyacentes.</t>
  </si>
  <si>
    <t>Material de cobertura tipo SBG</t>
  </si>
  <si>
    <t>Proteccion de taludes con tierra organica</t>
  </si>
  <si>
    <t>Transporte de materiales provenientes de la excavación de la explanación, canales y préstamos para distancias mayores de mil metros (1000 m), medido a partir de cien metros (100 m)</t>
  </si>
  <si>
    <t>Transporte de materiales provenientes de derrumbes, medido a partir de cien metros (100m)</t>
  </si>
  <si>
    <t>VOLQUETA DOBLETROQUE</t>
  </si>
  <si>
    <t>450.1.2P</t>
  </si>
  <si>
    <t>Pilote de concreto vaciado in situ, de diámetro 1,0 m  (incluye excavación y refuerzo)</t>
  </si>
  <si>
    <t>Pilote de concreto vaciado in situ de diametro 1,20 m. (incluye excavación y refuerzo)</t>
  </si>
  <si>
    <t>Pilote de concreto vaciado in situ de diametro 1,50 m. (incluye excavación y refuerzo)</t>
  </si>
  <si>
    <t>Pilote de concreto vaciado in situ, de diámetro 2 m. (incluye excavación y refuerzo)</t>
  </si>
  <si>
    <t>411.2</t>
  </si>
  <si>
    <t>411-13</t>
  </si>
  <si>
    <t>Emulsión asfáltica de rotura lenta CRL-1 ARD</t>
  </si>
  <si>
    <t>466.1</t>
  </si>
  <si>
    <t>466-13</t>
  </si>
  <si>
    <t>Sello de grietas en pavimento asfaltico sin ruteo</t>
  </si>
  <si>
    <t>467.13P</t>
  </si>
  <si>
    <t>Mezclas asfálticas en caliente con cemento asfáltico modificado con grano de caucho reciclado (GCR) (M-GCR-19)</t>
  </si>
  <si>
    <t>610.2</t>
  </si>
  <si>
    <t>Relleno para estructuras con recebo</t>
  </si>
  <si>
    <t>Tf-m</t>
  </si>
  <si>
    <t>610.3</t>
  </si>
  <si>
    <t>Rellenos  para estructuras con material granular tipo SBG.</t>
  </si>
  <si>
    <t xml:space="preserve">PROVISION PARA AJUSTES, OBRAS COMPLEMENTARIAS Y/O ADICIONALES </t>
  </si>
  <si>
    <t>PROVISION PARA JORNADAS DE TRABAJO 24 HORAS DIARIAS 7 DIAS DE LA SEMANA</t>
  </si>
  <si>
    <t>REVISIÓN, AJUSTE Y/O ACTUALIZACIÓN Y/O MODIFICACIÓN Y/O COMPLEMENTACIÓN DE ESTUDIOS Y DISEÑOS</t>
  </si>
  <si>
    <t>IVA - REVISIÓN, AJUSTE Y/O ACTUALIZACIÓN Y/O MODIFICACIÓN Y/O COMPLEMENTACIÓN DE ESTUDIOS Y DISEÑOS</t>
  </si>
  <si>
    <t>Especificacion Particular</t>
  </si>
  <si>
    <t>TOTAL ESTUDIOS Y DISEÑOS, REVISIÓN, AJUSTE Y/O ACTUALIZACIÓN Y/O MODIFICACIÓN Y/O COMPLEMENTACIÓN DE ESTUDIOS Y DISEÑOS</t>
  </si>
  <si>
    <t>GESTION SOCIAL Y PREDIAL  (Incluye  IVA16%)</t>
  </si>
  <si>
    <t>GESTION AMBIENTAL (Incluye PAGA e IVA)</t>
  </si>
  <si>
    <r>
      <rPr>
        <b/>
        <sz val="12"/>
        <rFont val="Arial Narrow"/>
        <family val="2"/>
      </rPr>
      <t>NOTA 3:</t>
    </r>
    <r>
      <rPr>
        <sz val="12"/>
        <rFont val="Arial Narrow"/>
        <family val="2"/>
      </rPr>
      <t xml:space="preserve"> Se debe tener en cuenta que el PRECIO UNITARIO incluye el valor de A.I.U. </t>
    </r>
  </si>
  <si>
    <r>
      <t xml:space="preserve">IMPREVISTO
</t>
    </r>
    <r>
      <rPr>
        <b/>
        <sz val="12"/>
        <color rgb="FFFF0000"/>
        <rFont val="Arial Narrow"/>
        <family val="2"/>
      </rPr>
      <t>(MINIMO 5%)</t>
    </r>
  </si>
  <si>
    <r>
      <rPr>
        <b/>
        <sz val="12"/>
        <rFont val="Arial Narrow"/>
        <family val="2"/>
      </rPr>
      <t>NOTA 4:</t>
    </r>
    <r>
      <rPr>
        <sz val="12"/>
        <rFont val="Arial Narrow"/>
        <family val="2"/>
      </rPr>
      <t xml:space="preserve"> Si el valor del A.I.U. presentado es menor al NOVENTA por ciento (90%) o mayor al Ciento diez por ciento (110%) del Valor Oficial  del Porcentaje de A.I.U.,  establecido en el formulario No 1 "presupuesto oficial", la propuesta será rechazada</t>
    </r>
  </si>
  <si>
    <t xml:space="preserve">UTILIDAD
</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</si>
  <si>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</si>
  <si>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 xml:space="preserve">NOTA 6: </t>
    </r>
    <r>
      <rPr>
        <sz val="12"/>
        <rFont val="Arial Narrow"/>
        <family val="2"/>
      </rPr>
      <t xml:space="preserve">El A.I.U y su discriminación deben estar en porcentaje (%). </t>
    </r>
  </si>
  <si>
    <t xml:space="preserve">NOMBRE DEL PROPONENTE: ______________________________________                           REPRESENTANTE LEGAL (nombre y firma):_________________________                                   FECHA:_________________________                    </t>
  </si>
  <si>
    <r>
      <rPr>
        <b/>
        <sz val="12"/>
        <rFont val="Arial Narrow"/>
        <family val="2"/>
      </rPr>
      <t xml:space="preserve">NOTA 7: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</si>
  <si>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t>Concreto clase 21MPA</t>
  </si>
  <si>
    <t>Concreto Clase 35 MPA</t>
  </si>
  <si>
    <t>Concreto clase  35 MPA, para vigas puentes tipo 1.</t>
  </si>
  <si>
    <t>Concreto clase  35 MPA, para placa superior puentes tipo 1.</t>
  </si>
  <si>
    <t xml:space="preserve">Concreto clase  35 MPA, para dóvelas sucesivas de puentes </t>
  </si>
  <si>
    <t>Concreto clase  28 MPA</t>
  </si>
  <si>
    <t xml:space="preserve">Concreto clase 28 MPA para pilas de puentes </t>
  </si>
  <si>
    <t>Concreto clase 28 MPA para tablero y anden</t>
  </si>
  <si>
    <t>Concreto clase 28 MPA para caisson (No incluye refuerzo)</t>
  </si>
  <si>
    <t>Concreto clase 14 MPA</t>
  </si>
  <si>
    <t>Concreto clase 14 MPA Ciclòpeo</t>
  </si>
  <si>
    <t xml:space="preserve">Cuneta de concreto vaciada insitu, no incluye la conformacion de la superficie de apoyo </t>
  </si>
  <si>
    <t>Geotextil Tipo II no tejido</t>
  </si>
  <si>
    <t>Manual de Señalización Vial 2015</t>
  </si>
  <si>
    <t>Suministro y aplicación de pintura en frío acrílica pura base agua para líneas de demarcación de pavimentos</t>
  </si>
  <si>
    <t>Suministro y aplicación de pintura en frío acrílica pura base agua para marca Vial con pintura en frío</t>
  </si>
  <si>
    <t>Suministro e instalación de tachas reflectiva bidireccionales</t>
  </si>
  <si>
    <t>Suministro e instalación de señal vertical de transito sp, sr y si  (75cm*75cm) con lamina acero galvanizado retroreflectiva</t>
  </si>
  <si>
    <t xml:space="preserve">Suministro e instalación de  Señal delineador horizontal con lamina acero galvanizado retroreflectiva 60x 75 cm </t>
  </si>
  <si>
    <t>ACERO DE REFUERZO Fy= 420 Mpa (incluye transporte)</t>
  </si>
  <si>
    <t>CONCRETO CLASE 14 MPA (incluye transporte)</t>
  </si>
  <si>
    <t>GEOTEXTIL TIPO II NO TEJIDO (incluye trasnporte)</t>
  </si>
  <si>
    <t>Base granular  para bacheo clase A</t>
  </si>
  <si>
    <t>330.4</t>
  </si>
  <si>
    <t>VIBROCOMPACTADOR TIPO BENITIN.</t>
  </si>
  <si>
    <t>MATERIAL DE BASE PROCESADO EN PLANTA CLASE A</t>
  </si>
  <si>
    <t>450.10P</t>
  </si>
  <si>
    <t>Mezcla densa en caliente Tipo MSC-25 para bacheos</t>
  </si>
  <si>
    <t>Geotextil para repavimentación</t>
  </si>
  <si>
    <t>464.1</t>
  </si>
  <si>
    <t>464-13</t>
  </si>
  <si>
    <t>Suministro y aplicación de pintura en frío acrílica pura base agua para marca vial con resina termoplástica</t>
  </si>
  <si>
    <t>7P</t>
  </si>
  <si>
    <t>3P.</t>
  </si>
  <si>
    <t xml:space="preserve">EQUIPO DE PINTURA (COMPRESOR) </t>
  </si>
  <si>
    <t>8P</t>
  </si>
  <si>
    <t>Iluminación</t>
  </si>
  <si>
    <t>Torre-mes</t>
  </si>
  <si>
    <t>671.3</t>
  </si>
  <si>
    <t>Cuneta de concreto  vaciada in situ; incluye la conformación de la superficie  de apoyo.</t>
  </si>
  <si>
    <t>730.4</t>
  </si>
  <si>
    <t>Elemento especial tipo estoperol</t>
  </si>
  <si>
    <t>ESTOPEROL</t>
  </si>
  <si>
    <t>810.1P.</t>
  </si>
  <si>
    <t>Empedrado para protección de taludes</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</si>
  <si>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</si>
  <si>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</si>
  <si>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621.1.2.</t>
  </si>
  <si>
    <t>Pilote de concreto vaciado in situ, de diámetro 0,8 m  (incluye excavación y refuerzo)</t>
  </si>
  <si>
    <t>623,1,</t>
  </si>
  <si>
    <t>Anclaje activo con cinco (6) cables o torones de 1/2"</t>
  </si>
  <si>
    <t>650.2</t>
  </si>
  <si>
    <t>650.3</t>
  </si>
  <si>
    <t>Transporte de estructura metalica</t>
  </si>
  <si>
    <t>650.4</t>
  </si>
  <si>
    <t>650-13</t>
  </si>
  <si>
    <t>650.4P</t>
  </si>
  <si>
    <t>Tubería de Concreto Reforzado CLASE III, de 900mm de diámetro interior</t>
  </si>
  <si>
    <t>TUBO DE CONCRETO REFORZADO D=900MM CLASE III (incluye transporte)</t>
  </si>
  <si>
    <t>670.2</t>
  </si>
  <si>
    <t>670-13</t>
  </si>
  <si>
    <t>Disipadores de energía  y sedimentadores en gaviones  de alambre  de acero entrelazado clase 2: recubrimiento de aleación  Zn‐5A1‐MM</t>
  </si>
  <si>
    <t xml:space="preserve">Bordillos en concreto vaciado in situ, incluye la preparación de la superficie de apoyo </t>
  </si>
  <si>
    <t>Gaviones de malla de alambre de acero entrelazado clase 1: recubrimiento de zinc (galvanizado)</t>
  </si>
  <si>
    <t>650.5P</t>
  </si>
  <si>
    <t>Conector de Cortante Tipo Nelson stud 3/4'' 8''</t>
  </si>
  <si>
    <t>650.2P.</t>
  </si>
  <si>
    <t>Suministro acero estructural A-588 y fabricaciòn de la estructura metalica</t>
  </si>
  <si>
    <t>Fabricación de la estructura  metálica Acero A-36</t>
  </si>
  <si>
    <t>Montaje  y pintura de estructura  metálica Acero A-36</t>
  </si>
  <si>
    <t>Montaje  de estructura  metálica Acero A-588</t>
  </si>
  <si>
    <t>Suministro e instalación de  Señal vertical de transito SP,SR y SI (90 cm *90 cm) con lamina acero galvanizado retroreflectiva</t>
  </si>
  <si>
    <t>5P.</t>
  </si>
  <si>
    <t xml:space="preserve">Concreto clase  28 MPA  para Zapatas, Estribos y Aletas </t>
  </si>
  <si>
    <t>PILOTE DE CONCRETO VACIADO IN SITU, DE DIÁMETRO 1,5 m, NÚCLEO DE DIÁMETRO 1,3 m, ANILLO E = 0,10 m, concreto f'c = 210 Kg/cm2, incluye escavaciones, anillos de concreto, soporte lateral, concreto bombeado, no incluye acero de refuerzo.</t>
  </si>
  <si>
    <t>621.1P</t>
  </si>
  <si>
    <t>PROCESO GESTIÓN DE LA INFRAESTRUCTURA VIAL</t>
  </si>
  <si>
    <t>MINFRA-MN-IN-10-FR-1</t>
  </si>
  <si>
    <t>ITEMS DE LA PROPUESTA ECONÓMICA</t>
  </si>
  <si>
    <t>ITEMS NO PREVISTOS</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</si>
  <si>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</si>
  <si>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</si>
  <si>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</si>
  <si>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</si>
  <si>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</si>
  <si>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Base tratada con cemento,  resistencia R3.5 (incluye suministro  del cemento)</t>
  </si>
  <si>
    <t>351-13</t>
  </si>
  <si>
    <t>341,1P</t>
  </si>
  <si>
    <t>Base  estabilizada con cemento, (no incluye suministro  del cemento)</t>
  </si>
  <si>
    <t>450.2.1P</t>
  </si>
  <si>
    <t>Mezcla densa en caliente Tipo MDC-19  (MODIFICADA CON POLIMEROS)</t>
  </si>
  <si>
    <t>LAS CANTIDADES DE REPARACION</t>
  </si>
  <si>
    <t>CANTIDAD H31N</t>
  </si>
  <si>
    <t>VALOR IVA  (OBRA) (19% SOBRE  UTILIDAD OBRA )</t>
  </si>
  <si>
    <t xml:space="preserve">VALOR TOTAL   H31 N                             </t>
  </si>
  <si>
    <t>CANTIDAD H32N</t>
  </si>
  <si>
    <t xml:space="preserve">VALOR TOTAL   H32N                             </t>
  </si>
  <si>
    <t>CANTIDAD H36N</t>
  </si>
  <si>
    <t xml:space="preserve">VALOR TOTAL   H36N                             </t>
  </si>
  <si>
    <t>VALOR TOTAL   MANTENIMIENTO H18E AL H36 E</t>
  </si>
  <si>
    <t>CANTIDAD H34N</t>
  </si>
  <si>
    <t xml:space="preserve">VALOR TOTAL H34N                             </t>
  </si>
  <si>
    <t>CANTIDAD H35N</t>
  </si>
  <si>
    <t xml:space="preserve">VALOR TOTAL H35N                             </t>
  </si>
  <si>
    <t>CANTIDAD ACUMULADO ANI</t>
  </si>
  <si>
    <t xml:space="preserve">VALOR TOTAL   ANI                          </t>
  </si>
  <si>
    <t>CANTIDAD TOTAL</t>
  </si>
  <si>
    <t>CANTIDAD MANTENIMIENTO H18E AL H36E CALCULADAS APROX TRAMOS FALTANTES</t>
  </si>
  <si>
    <t xml:space="preserve">CANTIDAD H 34N CALCULADAS APROX </t>
  </si>
  <si>
    <t xml:space="preserve">CANTIDAD ACUMULADO CALCULADAS APROX </t>
  </si>
  <si>
    <t xml:space="preserve">VALOR TOTAL   CALCULADAS APROX </t>
  </si>
  <si>
    <t>RIEGO DE LIGA</t>
  </si>
  <si>
    <t>MATERIAL GRANULAR FILTRANTE</t>
  </si>
  <si>
    <t>HITO 34N</t>
  </si>
  <si>
    <t xml:space="preserve">CANTIDAD H 35N CALCULADAS APROX </t>
  </si>
  <si>
    <t>VALOR TOTAL   H34 N CALCULADAS APROX (PR 61+360 AL 63+227)</t>
  </si>
  <si>
    <t>HITO 35N</t>
  </si>
  <si>
    <t>HITO 36N</t>
  </si>
  <si>
    <t xml:space="preserve">CANTIDAD TOTALCALCULADAS APROX </t>
  </si>
  <si>
    <t xml:space="preserve">Planta de Asfalto, Planta de Concreto y Planta de Suelos  </t>
  </si>
  <si>
    <t xml:space="preserve">Agregados petreos </t>
  </si>
  <si>
    <t>VALOR TOTAL   H36 N CALCULADAS APROX (PR 86+420 AL 87+900; PR 90+150 AL 90+715)</t>
  </si>
  <si>
    <t>VALOR TOTAL (ANI + INVIAS)</t>
  </si>
  <si>
    <t>VALOR TOTAL  PROPUESTA INVIAS</t>
  </si>
  <si>
    <t xml:space="preserve">VALOR TOTAL  </t>
  </si>
  <si>
    <t>CANTIDAD TOTAL PROPUESTA INVIAS</t>
  </si>
  <si>
    <t>Subbase Granular estabilizada con cemento, (no incluye suministro  del cemento)</t>
  </si>
  <si>
    <t>320.1P</t>
  </si>
  <si>
    <t>VALOR KM</t>
  </si>
  <si>
    <t>ok</t>
  </si>
  <si>
    <t>no lo tienen en las cantidades ani</t>
  </si>
  <si>
    <t>CONSTRUCCION</t>
  </si>
  <si>
    <t>REHABILTAR</t>
  </si>
  <si>
    <t>CONSTRUCION</t>
  </si>
  <si>
    <t>TOTAL KM REHABILITACION</t>
  </si>
  <si>
    <t>TOTAL KM CONSTRUCION</t>
  </si>
  <si>
    <t>DIFERENCIA H31N</t>
  </si>
  <si>
    <t>LONG INTERVENIR</t>
  </si>
  <si>
    <t>REHABILITACION</t>
  </si>
  <si>
    <t>CONTRUCCION H31 N</t>
  </si>
  <si>
    <t>COMPLEMENTO H 32N</t>
  </si>
  <si>
    <t>CONTRUCCION H34 N</t>
  </si>
  <si>
    <t>CONTRUCCION H35 N</t>
  </si>
  <si>
    <t>VALOR TOTAL   H35 N CALCULADAS APROX (; PR 76+800 AL 77+700; 83+500 A 84+170; 84240 AL 84+285)</t>
  </si>
  <si>
    <t>CONTRUCCION H36 N</t>
  </si>
  <si>
    <t>VALOR PRESUPUESTO</t>
  </si>
  <si>
    <t>ACTIVIDAD</t>
  </si>
  <si>
    <t>U. Med</t>
  </si>
  <si>
    <t>HITO 7E</t>
  </si>
  <si>
    <t>HITO 10E</t>
  </si>
  <si>
    <t>HITO 11N</t>
  </si>
  <si>
    <t>HITO 13N</t>
  </si>
  <si>
    <t>HITO 16N</t>
  </si>
  <si>
    <t>TOTAL
TRAMO
 2</t>
  </si>
  <si>
    <t>HITO 31N</t>
  </si>
  <si>
    <t>HITO 32N</t>
  </si>
  <si>
    <t>TOTAL
TRAMO
 4</t>
  </si>
  <si>
    <t>HITO48E</t>
  </si>
  <si>
    <t>HITO 49N</t>
  </si>
  <si>
    <t>H50E</t>
  </si>
  <si>
    <t>HITO 51N</t>
  </si>
  <si>
    <t>HITO 53N</t>
  </si>
  <si>
    <t>HITO 54N</t>
  </si>
  <si>
    <t>TOTAL
TRAMO  
7</t>
  </si>
  <si>
    <t>HITO 57</t>
  </si>
  <si>
    <t>HITO 59</t>
  </si>
  <si>
    <t>TOTAL
TRAMO 8</t>
  </si>
  <si>
    <t>TOTAL
CANT
RDS2</t>
  </si>
  <si>
    <t>SEGMENTO</t>
  </si>
  <si>
    <t>TOTAL 
HITO</t>
  </si>
  <si>
    <t>TOTAL
 HITO</t>
  </si>
  <si>
    <t>Total Hito</t>
  </si>
  <si>
    <t>RUTA DEL SOL SECTOR 2</t>
  </si>
  <si>
    <t>I.  PRECONTRACTUAL</t>
  </si>
  <si>
    <t>1  Pólizas</t>
  </si>
  <si>
    <t>II.  PRECONSTRUCCIÓN</t>
  </si>
  <si>
    <t>1  Elaboración de diseños de detalle</t>
  </si>
  <si>
    <t/>
  </si>
  <si>
    <t>2  Licencias ambientales</t>
  </si>
  <si>
    <t>3  Permisos, autorizaciones y concesiones</t>
  </si>
  <si>
    <t>4  Plan de Intervención prioritaria</t>
  </si>
  <si>
    <t>III.  CONSTRUCCIÓN</t>
  </si>
  <si>
    <t>1  Preliminares</t>
  </si>
  <si>
    <t>201.4.5</t>
  </si>
  <si>
    <t>REMOCION DE CERCAS DE ALAMBRE</t>
  </si>
  <si>
    <t>201.4.8</t>
  </si>
  <si>
    <t xml:space="preserve">REMOCION DE DUCTOS DE SERVICIOS EXISTENTES </t>
  </si>
  <si>
    <t>201.14P1</t>
  </si>
  <si>
    <t>Und</t>
  </si>
  <si>
    <t>DEMOLICION DE ESTRUCTURAS</t>
  </si>
  <si>
    <t>m³</t>
  </si>
  <si>
    <t>2  Explanaciones</t>
  </si>
  <si>
    <t xml:space="preserve">DESMONTE Y LIMPIEZA EN ZONAS NO BOSCOSAS           </t>
  </si>
  <si>
    <t xml:space="preserve"> Ha</t>
  </si>
  <si>
    <t xml:space="preserve">EXCAVACION EN MATERIAL COMUN DE LA EXPLANACION Y CANALES        </t>
  </si>
  <si>
    <t>210.2.1P</t>
  </si>
  <si>
    <t xml:space="preserve">EXCAVACION EN ROCA DE LA EXPLANACION, CANALES Y PRESTAMOS (sin explosivos)        </t>
  </si>
  <si>
    <t>210.1.1</t>
  </si>
  <si>
    <t>EXCAVACIÓN SIN CLASIFICAR DE LA EXPLANACIÓN Y CANALES</t>
  </si>
  <si>
    <t>TERRAPLENES</t>
  </si>
  <si>
    <t>220.1P</t>
  </si>
  <si>
    <t>TERRAPLENES CON MATERIAL SELECCIONADO</t>
  </si>
  <si>
    <t>230.1</t>
  </si>
  <si>
    <t>MEJORAMIENTO DE LA SUBRASANTE INVOLUCRANDO EL SUELO EXISTENTE</t>
  </si>
  <si>
    <t>m²</t>
  </si>
  <si>
    <t>230.2</t>
  </si>
  <si>
    <t>MEJORAMIENTO DE LA SUBRASANTE EMPLEANDO UNICAMENTE MATERIAL ADICIONADO</t>
  </si>
  <si>
    <t>CONFORMACIÓN DE TALUDES EXISTENTES</t>
  </si>
  <si>
    <t>225P</t>
  </si>
  <si>
    <t xml:space="preserve">CONFORMACION DE BOTADERO O ESCOMBRERAS </t>
  </si>
  <si>
    <t>900.1</t>
  </si>
  <si>
    <t>TRANSPORTE DE MATERIALES PROVENIENTES DE LA EXPLAN, CANAL, PRESTA ENTRE 100 Y 1000 M</t>
  </si>
  <si>
    <r>
      <t>m</t>
    </r>
    <r>
      <rPr>
        <vertAlign val="superscript"/>
        <sz val="11"/>
        <color theme="1"/>
        <rFont val="Calibri"/>
        <family val="2"/>
        <scheme val="minor"/>
      </rPr>
      <t>3</t>
    </r>
    <r>
      <rPr>
        <sz val="10"/>
        <rFont val="Arial"/>
        <family val="2"/>
      </rPr>
      <t>-E</t>
    </r>
  </si>
  <si>
    <t>T0010060</t>
  </si>
  <si>
    <t xml:space="preserve">TRANSPORTE DE MATERIALES SELECCIONADOS </t>
  </si>
  <si>
    <t>m³-Km</t>
  </si>
  <si>
    <t>3  Estructuras de Drenajes</t>
  </si>
  <si>
    <t>3.1  Alcantarillas circulares</t>
  </si>
  <si>
    <t>600.1</t>
  </si>
  <si>
    <t>EXCAVACIONES VARIAS SIN CLASIFICAR</t>
  </si>
  <si>
    <t>600.2</t>
  </si>
  <si>
    <t>EXCAVACIONES VARIAS EN ROCA EN SECO</t>
  </si>
  <si>
    <t>600.4</t>
  </si>
  <si>
    <t>EXCAVACIONES VARIAS EN MATERIAL COMUN EN SECO</t>
  </si>
  <si>
    <t>RELLENOS PARA ESTRUCTURAS CON MATERIAL PROCEDENTE DE LA EXCAVACIÓN</t>
  </si>
  <si>
    <t>661.1.1</t>
  </si>
  <si>
    <t>TUBERIA DE CONCRETO REFORZADO DE 600 MM DE DIAMETRO INTERIOR</t>
  </si>
  <si>
    <t>661.1.7</t>
  </si>
  <si>
    <t>TUBERIA DE CONCRETO REFORZADO DE 900 MM DE DIAMETRO INTERIOR</t>
  </si>
  <si>
    <t>661.1.10</t>
  </si>
  <si>
    <t>TUBERIA DE CONCRETO REFORZADO DE 1200 MM DE DIAMETRO INTERIOR</t>
  </si>
  <si>
    <t>661.1.11</t>
  </si>
  <si>
    <t>TUBERIA DE CONCRETO REFORZADO DE 1300 MM DE DIAMETRO INTERIOR</t>
  </si>
  <si>
    <t>661.1.13</t>
  </si>
  <si>
    <t>TUBERIA DE CONCRETO REFORZADO DE 1500 MM DE DIAMETRO INTERIOR</t>
  </si>
  <si>
    <t>661.1.15</t>
  </si>
  <si>
    <t>TUBERIA DE CONCRETO REFORZADO DE 1700 MM DE DIAMETRO INTERIOR</t>
  </si>
  <si>
    <t>661.1.16</t>
  </si>
  <si>
    <t>TUBERIA DE CONCRETO REFORZADO DE 1800 MM DE DIAMETRO INTERIOR</t>
  </si>
  <si>
    <t>661.1.19</t>
  </si>
  <si>
    <t>TUBERIA DE CONCRETO REFORZADO DE 2150 MM DE DIAMETRO INTERIOR</t>
  </si>
  <si>
    <t>661.1.20</t>
  </si>
  <si>
    <t>TUBERIA DE CONCRETO REFORZADO DE 2300 MM DE DIAMETRO INTERIOR</t>
  </si>
  <si>
    <t>TUBERIA CORRUGADA DE ACERO GALVANIZADO DE LAMINA MP68</t>
  </si>
  <si>
    <t>640.1.3</t>
  </si>
  <si>
    <t>ACERO DE REFUERZO Fy=4200 Mpa</t>
  </si>
  <si>
    <t>DISIPADORES DE ENERGIA Y SEDIMENTADORES EN CONCRETO CICLOPEO</t>
  </si>
  <si>
    <t>3.2  Alcantarillas de Cajón</t>
  </si>
  <si>
    <t>3.3  Canales y cunetas</t>
  </si>
  <si>
    <t>CUNETA DE CONCRETO FUNDIDA EN EL LUGAR CONCRETO CLASE F</t>
  </si>
  <si>
    <t>630.5</t>
  </si>
  <si>
    <t>CONCRETO CLASE E</t>
  </si>
  <si>
    <t>3.4  Filtros y Drenes</t>
  </si>
  <si>
    <t>T0010027</t>
  </si>
  <si>
    <t>TRANSPORTE DE MATERIAL FILTRANTE</t>
  </si>
  <si>
    <t>673.1P</t>
  </si>
  <si>
    <t>GEODREN PLANAR H=1M CON TUBERIA DE 4"</t>
  </si>
  <si>
    <t>DREN HORIZONTAL DE LONGITUD MAYOR A DIEZ (10) METROS.</t>
  </si>
  <si>
    <t>673.2.1</t>
  </si>
  <si>
    <t>GEOTEXTIL NT2500</t>
  </si>
  <si>
    <t>673.2.2</t>
  </si>
  <si>
    <t>GEOTEXTIL NT2100</t>
  </si>
  <si>
    <t>673.2.3</t>
  </si>
  <si>
    <t>GEOTEXTIL T2400</t>
  </si>
  <si>
    <t>673.2.4</t>
  </si>
  <si>
    <t>GEOTEXTIL NT REPAV 450</t>
  </si>
  <si>
    <t>4  Estructuras de Pavimentos</t>
  </si>
  <si>
    <t>4.1 Pavimento</t>
  </si>
  <si>
    <t xml:space="preserve">SUBBASE GRANULAR </t>
  </si>
  <si>
    <t>BASE GRANULAR</t>
  </si>
  <si>
    <t>341.1</t>
  </si>
  <si>
    <t>BASE ESTABILIZADA CON CEMENTO (SIN CEMENTO)</t>
  </si>
  <si>
    <t>T0010007</t>
  </si>
  <si>
    <t>TRANSPORTE DE BASE</t>
  </si>
  <si>
    <t>341.2</t>
  </si>
  <si>
    <t>420.1</t>
  </si>
  <si>
    <t>RIEGO DE IMPRIMACION CON EMULSION ASFALTICA</t>
  </si>
  <si>
    <t>RIEGO DE IMPRIMACION CON ASFALTO LIQUIDO</t>
  </si>
  <si>
    <t>RIEGO DE LIGA CON EMULSION ASFALTICA CRR-1</t>
  </si>
  <si>
    <t>421.2</t>
  </si>
  <si>
    <t>RIEGO DE LIGA CON EMULSION ASFALTICA CRR-2</t>
  </si>
  <si>
    <t>450.1</t>
  </si>
  <si>
    <t>MEZCLA DENSA EN CALIENTE MDC-1</t>
  </si>
  <si>
    <t>450.2</t>
  </si>
  <si>
    <t>MEZCLA DENSA EN CALIENTE MDC-2  (MODIFICADA CON POLIMEROS)</t>
  </si>
  <si>
    <t>450.3</t>
  </si>
  <si>
    <t>MEZCLA DENSA EN CALIENTE MDC-3</t>
  </si>
  <si>
    <t>T0015011</t>
  </si>
  <si>
    <t>TRANSPORTE DE CEMENTO ASFÁLTICO MODIFICADO CON POLIMEROS</t>
  </si>
  <si>
    <t>460.1</t>
  </si>
  <si>
    <t>FRESADO DE PAVIMENTO ASFALTICO EN ESPESOR DE 5 CM</t>
  </si>
  <si>
    <t>T0010006</t>
  </si>
  <si>
    <t>TRANSPORTE DE MATERIAL FRESADO</t>
  </si>
  <si>
    <t>5  Puentes</t>
  </si>
  <si>
    <t>5.1 Puentes Vehiculares</t>
  </si>
  <si>
    <t>PILOTE DE CONCRETO FUNDIDO EN SITIO D=1M L=12M</t>
  </si>
  <si>
    <t>621.5P2</t>
  </si>
  <si>
    <t>CAMISA PERMANENTE DE DIAMETRO INTERIOR D=1M EN CONCRETO</t>
  </si>
  <si>
    <t>621P</t>
  </si>
  <si>
    <t>CAISSONS</t>
  </si>
  <si>
    <t>ACERO DE PREESFUERZO</t>
  </si>
  <si>
    <t>Ton-m</t>
  </si>
  <si>
    <t>642.1</t>
  </si>
  <si>
    <t>APOYO ELASTOMERICO</t>
  </si>
  <si>
    <t>u (DM³)</t>
  </si>
  <si>
    <t>642P3</t>
  </si>
  <si>
    <t>JUNTA ELASTOMERICA M60</t>
  </si>
  <si>
    <t>633P</t>
  </si>
  <si>
    <t>BOLSACRETOS</t>
  </si>
  <si>
    <t>GAVION</t>
  </si>
  <si>
    <t>5.2 Puentes Peatonales</t>
  </si>
  <si>
    <t>FABRICACION DE LA ESTRUCTURA METALICA</t>
  </si>
  <si>
    <t>TRANSPORTE DE ESTRUCTURA METALICA</t>
  </si>
  <si>
    <t>MONTAJE Y PINTURA DE ESTRUCTURA METALICA</t>
  </si>
  <si>
    <t>6  Señalizacion</t>
  </si>
  <si>
    <t>DEFENSA METALICA</t>
  </si>
  <si>
    <t>700.1</t>
  </si>
  <si>
    <t>LINEAS DE DEMARCACIÓN CON PINTURA EN FRÍO</t>
  </si>
  <si>
    <t>701.1</t>
  </si>
  <si>
    <t>700.3</t>
  </si>
  <si>
    <t>MARCA VIAL CON PINTURA EN FRÍO</t>
  </si>
  <si>
    <t>710.1.1</t>
  </si>
  <si>
    <t>SEÑAL VERTICAL DE TRANSITO TIPO I (75*75)</t>
  </si>
  <si>
    <t>710.1.2</t>
  </si>
  <si>
    <t>SEÑAL VERTICAL DE TRANSITO TIPO II (1.20*0.4)</t>
  </si>
  <si>
    <t>710.1.3</t>
  </si>
  <si>
    <t>SEÑAL VERTICAL DE TRANSITO TIPO III (SP-54 LA FERREA)</t>
  </si>
  <si>
    <t>710.1.4</t>
  </si>
  <si>
    <t>SEÑAL VERTICAL DE TRANSITO TIPO IV (DELINEADORES DE CURVA)</t>
  </si>
  <si>
    <t>710.2</t>
  </si>
  <si>
    <t>SEÑAL VERTICAL DE TRANSITO TIPO V (INFORMATIVAS)</t>
  </si>
  <si>
    <t>POSTE DE REFERENCIA</t>
  </si>
  <si>
    <t>CAPTAFAROS</t>
  </si>
  <si>
    <t>701P</t>
  </si>
  <si>
    <t>7  Obras Complementarias</t>
  </si>
  <si>
    <t>622.1</t>
  </si>
  <si>
    <t>TABLESTACADO DE MADERA</t>
  </si>
  <si>
    <t>623P</t>
  </si>
  <si>
    <t>ANCLAJE EN ROCA DE D=4" CON 3 TORONES DE 1/2" POSTENSADOS</t>
  </si>
  <si>
    <t>630.2</t>
  </si>
  <si>
    <t>CONCRETO CLASE B</t>
  </si>
  <si>
    <t>CONCRETO CLASE G</t>
  </si>
  <si>
    <t>630P</t>
  </si>
  <si>
    <t>MORTERO 1.3</t>
  </si>
  <si>
    <t>BARANDA DE CONCRETO 1,05*0.35</t>
  </si>
  <si>
    <t>632P</t>
  </si>
  <si>
    <t>BARANDA METALICA</t>
  </si>
  <si>
    <t>640.2</t>
  </si>
  <si>
    <t>MALLA DE REFUERZO fy _____ Mpa</t>
  </si>
  <si>
    <t>642.2</t>
  </si>
  <si>
    <t>SELLO PARA JUNTAS DE PUENTES</t>
  </si>
  <si>
    <t>670.1</t>
  </si>
  <si>
    <t>DISIPADORES DE ENERGIA Y SEDIMENTADORES EN GAVIONES</t>
  </si>
  <si>
    <t>670.1P</t>
  </si>
  <si>
    <t>DISIPADORES DE ENERGIA Y SEDIMENTADORES EN GAVIONES (con recubrimiento)</t>
  </si>
  <si>
    <t>682.1</t>
  </si>
  <si>
    <t>COLCHOGAVIÓN</t>
  </si>
  <si>
    <t>CERCA DE ALAMBRE DE PUAS CON POSTES DE CONCRETO</t>
  </si>
  <si>
    <t>PROTECCION DE TALUDES CON BLOQUES DE CESPED</t>
  </si>
  <si>
    <t>PROTECCION DE TALUDES CON TIERRA ORGANICA</t>
  </si>
  <si>
    <t>810.2P</t>
  </si>
  <si>
    <t>PROTECCIÓN DE TALUDES CON TIERRA ORGÁNICA Y SEMILLAS</t>
  </si>
  <si>
    <t>810.3</t>
  </si>
  <si>
    <t>PROTECCIÓN DE TALUD CON HIDROSIEMBRA CONTROLADA</t>
  </si>
  <si>
    <t>811.1</t>
  </si>
  <si>
    <t xml:space="preserve">PRODUCTO ENROLLADO PARA CONTROL DE EROSIÓN DEL TIPO ________    </t>
  </si>
  <si>
    <t>811P</t>
  </si>
  <si>
    <t>PROTECCION DE TALUDES CON SEMILLAS Y BIOMANTO</t>
  </si>
  <si>
    <t>RECUBRIMIENTO CON MALLA Y MORTERO 1:4 DE e= ___ cm.</t>
  </si>
  <si>
    <t>815P</t>
  </si>
  <si>
    <t>ARBORIZACION</t>
  </si>
  <si>
    <t>200P3</t>
  </si>
  <si>
    <t>ROCERIA</t>
  </si>
  <si>
    <t>NA</t>
  </si>
  <si>
    <t>POSTE S.O.S</t>
  </si>
  <si>
    <t>FIBRA OPTICA</t>
  </si>
  <si>
    <t>ADECUACIÓN DE ACCESOS A PREDIOS</t>
  </si>
  <si>
    <t>PARADEROS DE BUSES</t>
  </si>
  <si>
    <t>7E</t>
  </si>
  <si>
    <t>10E</t>
  </si>
  <si>
    <t>11N</t>
  </si>
  <si>
    <t>13N</t>
  </si>
  <si>
    <t>16N</t>
  </si>
  <si>
    <t>T2</t>
  </si>
  <si>
    <t>31N</t>
  </si>
  <si>
    <t>32N</t>
  </si>
  <si>
    <t>34N</t>
  </si>
  <si>
    <t>35N</t>
  </si>
  <si>
    <t>T4</t>
  </si>
  <si>
    <t>48E</t>
  </si>
  <si>
    <t>49N</t>
  </si>
  <si>
    <t>50E</t>
  </si>
  <si>
    <t>51N</t>
  </si>
  <si>
    <t>53N</t>
  </si>
  <si>
    <t>54N</t>
  </si>
  <si>
    <t>T7</t>
  </si>
  <si>
    <t>T8</t>
  </si>
  <si>
    <t>No.</t>
  </si>
  <si>
    <t>ÍTEM</t>
  </si>
  <si>
    <t xml:space="preserve"> PUENTE 10 PK 34+320</t>
  </si>
  <si>
    <t>PUENTE PEATONAL</t>
  </si>
  <si>
    <t>Z-PEAJE PLATANAL</t>
  </si>
  <si>
    <t>Z-PESAJE PLATANAL</t>
  </si>
  <si>
    <t>3er tramo 3er carril</t>
  </si>
  <si>
    <t>PTE 3
PK 28+230</t>
  </si>
  <si>
    <t>TOTAL</t>
  </si>
  <si>
    <t>ASPECTOS GENERALES / PRELIMINARES</t>
  </si>
  <si>
    <t>LOCALIZACION Y PREPLANTEO</t>
  </si>
  <si>
    <t>LOCALIZACION Y REPLANTEO</t>
  </si>
  <si>
    <t>Localización y Replanteo</t>
  </si>
  <si>
    <t>RETIRO Y COLOCACION CERCAS ALAMBRE</t>
  </si>
  <si>
    <t>TALA DE ARBOLES</t>
  </si>
  <si>
    <t>REMOCION DE INTERFERENCIAS Y REPOSICION DE LOS SERVICIOS AFECTADOS</t>
  </si>
  <si>
    <t>REMOCION Y RELOCACION DE REDES PUBLICAS</t>
  </si>
  <si>
    <t>VB</t>
  </si>
  <si>
    <t>DEMOLICION DE ESTRUCTURAS EN GENERAL</t>
  </si>
  <si>
    <t>REMOCION DE PAVIMENTO</t>
  </si>
  <si>
    <t>EXCAVACION ROCA</t>
  </si>
  <si>
    <t>DESCAPOTE</t>
  </si>
  <si>
    <t>EXCAVACION MATERIAL COMUN - VIA</t>
  </si>
  <si>
    <t>EXCAVACION MATERIAL COMUN - VIA - MEJ SUB-RASANTE</t>
  </si>
  <si>
    <t>EXCAVACION MATERIAL COMUN - ZONA PRESTAMO</t>
  </si>
  <si>
    <t>ESCARIFICACION Y COMPACTACION MATERIAL COMUN E=0.40 M - MEJ SUB-RASANTE</t>
  </si>
  <si>
    <t>AFINAMIENTO TALUDES MATERIAL COMUN</t>
  </si>
  <si>
    <t>RELLENO CUERPO TERRAPLENES</t>
  </si>
  <si>
    <t>RELLENO CORONA TERRAPLENES</t>
  </si>
  <si>
    <t>CONFORMACION BOTADEROS</t>
  </si>
  <si>
    <t>TRANSPORTE DE EXPLANACIONES</t>
  </si>
  <si>
    <t>TRANSPORTE MATERIAL COMUN</t>
  </si>
  <si>
    <t>M3XKM</t>
  </si>
  <si>
    <t xml:space="preserve">TRANSPORTE VIGAS PREFABRICADAS </t>
  </si>
  <si>
    <t>TRANSPORTE MATERIAL COMUN ADEMAS 10 KM</t>
  </si>
  <si>
    <t>PROTECCION Y TRATAMIENTO DE TALUDES</t>
  </si>
  <si>
    <t xml:space="preserve">PROTECCION TALUD - TRINCHOS CON HIDROSIEMBRA </t>
  </si>
  <si>
    <t>MALLA ELECTROSOLDADA - CONCRETO LANZADO</t>
  </si>
  <si>
    <t>CONCRETO LANZADO FCK=21MPA</t>
  </si>
  <si>
    <t>PERNOS DE ANCLAJE HASTA 10 M</t>
  </si>
  <si>
    <t>DREN HORIZONTAL PROFUNDO D=XX M Y L=YY M</t>
  </si>
  <si>
    <t>MALLA ESPECIAL FIJADA CON PERNOS CONTENER PIEDRAS SUELTAS</t>
  </si>
  <si>
    <t>PROTECCION TALUD - HIDROSIEMBRA (INCLUYE MANTENIMIENTO)</t>
  </si>
  <si>
    <t>OBRAS DE DRENAJES</t>
  </si>
  <si>
    <t>EXCAVACION MECANICA - ROCA - DISPOSITIVO DRENAJE</t>
  </si>
  <si>
    <t>CONCRETO FCK 21 MPA - DISPOSITIVO DRENAJE EN ENCOSTA</t>
  </si>
  <si>
    <t>CONCRETO CICLOPEO - DISPOSITIVO DRENAJE</t>
  </si>
  <si>
    <t>ACERO DE REFUERZO FIGURADO - DISPOSITIVO DRENAJE EN ENCOSTA</t>
  </si>
  <si>
    <t>FORMALETA MADERA - DISPOSITIVO DRENAJE EN ENCOSTA</t>
  </si>
  <si>
    <t>CUNETA CON REJILLA</t>
  </si>
  <si>
    <t>EXCAVACION MECANICA - MATERIAL COMUN - DISPOSITIVO DRENAJE</t>
  </si>
  <si>
    <t>REGULARIZACION FONDO - DISPOSITIVO DRENAJE</t>
  </si>
  <si>
    <t>RELLENO MANUAL MATERIAL CANTERA - DISPOSITIVO DRENAJE</t>
  </si>
  <si>
    <t>CONCRETO LIMPIEZA FCK 14 MPA - DISPOSITIVO DRENAJE</t>
  </si>
  <si>
    <t>CONCRETO ATRAQUE FCK 18 MPA - DISPOSITIVO DRENAJE</t>
  </si>
  <si>
    <t>CONCRETO FCK 21 MPA - DISPOSITIVO DRENAJE</t>
  </si>
  <si>
    <t>ACERO DE REFUERZO FIGURADO - DISPOSITIVO DRENAJE</t>
  </si>
  <si>
    <t>FORMALETA MADERA - DISPOSITIVO DRENAJE</t>
  </si>
  <si>
    <t>ALCANTARILLAS CONCRETO D = 0-90M</t>
  </si>
  <si>
    <t>DREN LATERAL PROFUNDO EN CORTE DE 0-60M X 1-40M</t>
  </si>
  <si>
    <t>DREN DE PAVIMENTO 0-40M X 0-15M</t>
  </si>
  <si>
    <t>OBRAS DE PUENTES Y VIADUCTOS</t>
  </si>
  <si>
    <t xml:space="preserve">METAL DECK 2" CALIBRE 16  </t>
  </si>
  <si>
    <t>LANZAMIENTO DE VIGAS PREFABRICADAS</t>
  </si>
  <si>
    <t>UND</t>
  </si>
  <si>
    <t>EXCAVACION MECANICA ROCA - ACCESO</t>
  </si>
  <si>
    <t>EXCAVACION MECANIZADA ROCA - PILOTES</t>
  </si>
  <si>
    <t>CONCRETO ESTRUCTURAL - PILOTES/CAISONS</t>
  </si>
  <si>
    <t>CONCRETO ESTRUCTURAL IN LOCO - SUPERESTRUCTURA</t>
  </si>
  <si>
    <t>ACERO DE REFUERZO - PILOTES/CAISONS</t>
  </si>
  <si>
    <t>ACERO DE REFUERZO - SUPERESTRUCTURA</t>
  </si>
  <si>
    <t>FORMALETA MADEIRA - SUPERESTRUCTURA</t>
  </si>
  <si>
    <t>FORMALETA DESLIZANTE</t>
  </si>
  <si>
    <t>VIGAS ACERO CORTEN - SUMINISTRO Y LANZAMIENTO</t>
  </si>
  <si>
    <t>ACERO PARA PRE-ESFUERZO</t>
  </si>
  <si>
    <t>PLACA DE NEOPRENO - PUENTES</t>
  </si>
  <si>
    <t>DM3</t>
  </si>
  <si>
    <t>STEEL DEKC 2" CALIBRE 16</t>
  </si>
  <si>
    <t>JUNTA DE DILATACION - PUENTES</t>
  </si>
  <si>
    <t>ESTRUCTURA DEL PAVIMENTO</t>
  </si>
  <si>
    <t>COLCHON DRENANTE EN ZONAS DE ROCA</t>
  </si>
  <si>
    <r>
      <t>PAVIMENTO CONCRETO HIDRAULICO  (</t>
    </r>
    <r>
      <rPr>
        <b/>
        <sz val="10"/>
        <color rgb="FF000000"/>
        <rFont val="Arial"/>
        <family val="2"/>
      </rPr>
      <t>41 MPA</t>
    </r>
    <r>
      <rPr>
        <sz val="10"/>
        <color rgb="FF000000"/>
        <rFont val="Arial"/>
        <family val="2"/>
      </rPr>
      <t>)</t>
    </r>
  </si>
  <si>
    <t>FRESADO DE PAVIMENTO</t>
  </si>
  <si>
    <t>SUB-BASE GRANULADA</t>
  </si>
  <si>
    <t>BASE GRANULADA</t>
  </si>
  <si>
    <t>RIEGO DE IMPRIMACION</t>
  </si>
  <si>
    <t>CARPETA ASFALTICA CON POLIMERO</t>
  </si>
  <si>
    <t>SEÑALIZACION Y SEGURIDAD</t>
  </si>
  <si>
    <t>PORTICOS TIPO PASA VIA-SEÑALIZACION VERTICAL</t>
  </si>
  <si>
    <t>DEFENSA METALICA TIPO SIMPLE</t>
  </si>
  <si>
    <t>PINTURA MECANICA DE FAJAS PARA SEÑALIZACION HORIZONTAL</t>
  </si>
  <si>
    <t>TACHA REFLECTIVO BI-DIRECCIONAL 10 X 10</t>
  </si>
  <si>
    <t>SEMI-PORTICO TIPO BANDERA PARA SEÑALIZACION VERTICAL</t>
  </si>
  <si>
    <t>PLACA REFLECTIVA PARA SEÑALIZACION VERTICAL</t>
  </si>
  <si>
    <t>CAPTAFARO</t>
  </si>
  <si>
    <t>OBRAS COMPLEMENTARES</t>
  </si>
  <si>
    <t>CERCA VIVA</t>
  </si>
  <si>
    <t>ESTRUCTURA METALICA CASETAS DE COBRO</t>
  </si>
  <si>
    <t>CUBIERTA CASETAS DE COBRO (Cubierta Tipo Canopi)</t>
  </si>
  <si>
    <t xml:space="preserve">ACERO DE REFUERZO </t>
  </si>
  <si>
    <t>CONCRETO HIDRAULICO 28 MPA</t>
  </si>
  <si>
    <t>IMPERMEABILIZACIÓN DE ESTRUCTURAS</t>
  </si>
  <si>
    <t>INSTALACIÓN FILTRO</t>
  </si>
  <si>
    <t>CERRAMIENTO MALLA ESLABONADA</t>
  </si>
  <si>
    <t>SUMINISTRO E INSTALCIÓN PLANTA DE TRATAMIENTO DE AGUAS RESIDUALES</t>
  </si>
  <si>
    <t>INSTALACIÓN CUBIERTA ZONA DE ESTACIONAMIENTO</t>
  </si>
  <si>
    <t>DEMOLICIÓN DE CASETAS PROVISIONALES DE RECAUDO</t>
  </si>
  <si>
    <t>TRASLADO POSTES DE ILUMINACIÓN</t>
  </si>
  <si>
    <t>SUMINISTRO E INSTALACIÓN EQUIPO HIDRONEUMATICO</t>
  </si>
  <si>
    <t>SUMINISTRO E INSTALACIÓN EQUIPO DE GENERACIÓN ELECTRICA</t>
  </si>
  <si>
    <t>SUMINISTRO E INSTALACIÓN UPS Y SUBESTACIÓN</t>
  </si>
  <si>
    <t>SUMINISTRO E INSTALACIÓN SISTEMA I.T.S. (RECAUDO)</t>
  </si>
  <si>
    <r>
      <t xml:space="preserve">SUMINISTRO E INSTALACIÓN SISTEMA DE PESAJE DINAMICO </t>
    </r>
    <r>
      <rPr>
        <b/>
        <sz val="10"/>
        <color rgb="FF000000"/>
        <rFont val="Arial"/>
        <family val="2"/>
      </rPr>
      <t>(SISTEMA WIN)</t>
    </r>
  </si>
  <si>
    <t>SUMINISTRO E INSTALACIÓN SISTEMA DE PESAJE ESTATICO</t>
  </si>
  <si>
    <t>INSTALACIÓN CUBIERTA EN FIBRA DE CARBONO</t>
  </si>
  <si>
    <t>INSTALACIÓN PISO EN CERAMICA</t>
  </si>
  <si>
    <t>SUMINISTRO E INSTALACIÓN DE PUERTAS</t>
  </si>
  <si>
    <t>SUMINISTRO E INSTALACIÓN DE VENTANAS</t>
  </si>
  <si>
    <t>INSTALACIÓN APARATOS SANITARIOS</t>
  </si>
  <si>
    <t>ESTUCO Y PINTURA MUROS</t>
  </si>
  <si>
    <t>SUMINISTRO E INSTALACIÓN PLANTA POTABILIZADORA DE AGUA</t>
  </si>
  <si>
    <t>URBANISMO ZONAS VERDES</t>
  </si>
  <si>
    <t>SUMINISTRO E INSTALACIÓN CABLEADO SISTEMA DE VOZ, DATOS, DETECCIÓN</t>
  </si>
  <si>
    <t>SUMINISTRO E INSTALACIÓN CABLEADO SISTEMA ELECTRICO</t>
  </si>
  <si>
    <t>SUMINISTRO E INSTALACIÓN SISTEMA AIRE ACONDICIONADO</t>
  </si>
  <si>
    <t>SUMINISTRO E INSTALACIÓN SISTEMA CONTRA INCENDIOS</t>
  </si>
  <si>
    <t>SUMINISTRO E INSTALACIÓN EQUIPAMIENTO Y MOBILIARIO DE CADA ÁREA ADMINISTRATIVA</t>
  </si>
  <si>
    <t>SUMINISTRO E INSTALACIÓN POSTES DE ILUMINACIÓN</t>
  </si>
  <si>
    <t>REALIZACIÓN DE PRUEBAS DE REDES, EQUIPOS, ILUMINACIÓN, TODAS LAS INSTALACIONES</t>
  </si>
  <si>
    <t>LIMPIEZA GENERAL DE TODA LA ZONA DE CASETAS Y AREA ADMINISTRATIVA</t>
  </si>
  <si>
    <t>REFORESTACION</t>
  </si>
  <si>
    <t>PUENTES PEATONALES</t>
  </si>
  <si>
    <t>SUMINISTRO E INSTALACIÓN DE NEOPRENOS</t>
  </si>
  <si>
    <t>SUMINISTRO E INSTALACIÓN VIGA EN ACERO</t>
  </si>
  <si>
    <t>FUNDIDA TABLERO PUENTE</t>
  </si>
  <si>
    <t>ACERO ESTRUCTURAL PARA PASAMANOS</t>
  </si>
  <si>
    <t>ACERO DE PERFILES PARA BARANDA</t>
  </si>
  <si>
    <t>PAISAJISMO</t>
  </si>
  <si>
    <t>LIMPIEZA GENERAL DE TODA LA ZONA</t>
  </si>
  <si>
    <t>OBRAS DE MUROS</t>
  </si>
  <si>
    <t>LIMPIEZA FUNDACION - MURO</t>
  </si>
  <si>
    <t>CONCRETO NIVELACION - FUNDACION</t>
  </si>
  <si>
    <t>CONCRETO ESTRUCTURAL - MURO ARRANQUE</t>
  </si>
  <si>
    <t>CONCRETO ESTRUCTURAL IN LOCO - MURO</t>
  </si>
  <si>
    <t>ACERO DE REFUERZO - MURO</t>
  </si>
  <si>
    <t>ANCLAJE ACTIVA PARA MURO</t>
  </si>
  <si>
    <t>FORMALETA MADEIRA - MURO ARRANQUE</t>
  </si>
  <si>
    <t>FORMALETA METALICA - MURO</t>
  </si>
  <si>
    <t>RELLENO CONFINADO MECANIZADA CUERPO- MURO</t>
  </si>
  <si>
    <t>JUNTA FUGENBAND</t>
  </si>
  <si>
    <t>DREN HORIZONTAL DE ALIVIO</t>
  </si>
  <si>
    <t>FILTRO DRENANTE VERTICAL</t>
  </si>
  <si>
    <t>CONCRETO ESTRUCTURAL - CAISONS</t>
  </si>
  <si>
    <t>ACERO DE REFUERZO - CAISONS</t>
  </si>
  <si>
    <t>OBRAS DE PORTICOS</t>
  </si>
  <si>
    <t>EXCAVACION MANUAL ROCA - CAISONS (INCLUYE ANILLO)</t>
  </si>
  <si>
    <t>CONCRETO ESTRUCTURAL IN LOCO - PILA/VIGA/LOSA</t>
  </si>
  <si>
    <t>ACERO DE REFUERZO - PILA/VIGA/LOSA</t>
  </si>
  <si>
    <t>FORMALETA MADEIRA - PILA/VIGA/LOSA</t>
  </si>
  <si>
    <t>FORMALETA METALICA - PRE -MOLDADO</t>
  </si>
  <si>
    <t>PLACA DE NEOPRENO - PORTICO</t>
  </si>
  <si>
    <t>MANTO IMPERMEABLE BITUMINOSO</t>
  </si>
  <si>
    <t>RELLENO EN SUELO CEMENTO</t>
  </si>
  <si>
    <t>Fuente</t>
  </si>
  <si>
    <t xml:space="preserve">La Perla </t>
  </si>
  <si>
    <t>Damiana</t>
  </si>
  <si>
    <t xml:space="preserve">El Edén </t>
  </si>
  <si>
    <t>Unión</t>
  </si>
  <si>
    <t>Unión 2</t>
  </si>
  <si>
    <t>Brisas de 
Palagua</t>
  </si>
  <si>
    <t>Pto. 
Boyacá 3</t>
  </si>
  <si>
    <t xml:space="preserve">Morro 
Caliente </t>
  </si>
  <si>
    <t xml:space="preserve">Las 
Margaritas </t>
  </si>
  <si>
    <t>San Pedro 
de la Paz 2</t>
  </si>
  <si>
    <t xml:space="preserve">San pedro 
de la Paz 3 </t>
  </si>
  <si>
    <t>Cimitarra 7</t>
  </si>
  <si>
    <t>Media 
Naranja</t>
  </si>
  <si>
    <t xml:space="preserve">Hda. El 
Porvenir </t>
  </si>
  <si>
    <t>Belgica (LD)</t>
  </si>
  <si>
    <t>Cimitarra 9-2</t>
  </si>
  <si>
    <t xml:space="preserve">Siberia </t>
  </si>
  <si>
    <t xml:space="preserve">La Reforma </t>
  </si>
  <si>
    <t xml:space="preserve">Planta Las 
Margaritas </t>
  </si>
  <si>
    <t>Planta El Hato</t>
  </si>
  <si>
    <t>Planta La Unión</t>
  </si>
  <si>
    <t>ACARREOS m3*km</t>
  </si>
  <si>
    <t>Distancia Vía a la Fuente</t>
  </si>
  <si>
    <t>Distancia x Retorno</t>
  </si>
  <si>
    <t>Al sur</t>
  </si>
  <si>
    <t>Al Norte</t>
  </si>
  <si>
    <t>Acceso Vía</t>
  </si>
  <si>
    <t>RN</t>
  </si>
  <si>
    <t>Uso</t>
  </si>
  <si>
    <t xml:space="preserve">Mejoramiento Terraplen </t>
  </si>
  <si>
    <t>Concretos y suelos</t>
  </si>
  <si>
    <t>Concretos</t>
  </si>
  <si>
    <t>Asfalto / Concreto / Base</t>
  </si>
  <si>
    <t>Vigencia</t>
  </si>
  <si>
    <t xml:space="preserve">08-02-16
Prorroga en trámite </t>
  </si>
  <si>
    <t>Última fecha utilización</t>
  </si>
  <si>
    <t xml:space="preserve">No utilizada  </t>
  </si>
  <si>
    <t>No utilizada</t>
  </si>
  <si>
    <t xml:space="preserve">No utilizada </t>
  </si>
  <si>
    <t>Inactiva</t>
  </si>
  <si>
    <t>Activa</t>
  </si>
  <si>
    <t>Volumen autorizado (banco)</t>
  </si>
  <si>
    <t>1,300,000</t>
  </si>
  <si>
    <t>Volumen utilizado  (banco)</t>
  </si>
  <si>
    <t>Volumen disponible  (banco)</t>
  </si>
  <si>
    <t>Volumen total usado de la fuente</t>
  </si>
  <si>
    <t>Volumen total usado en obras iniciadas</t>
  </si>
  <si>
    <t>Hito</t>
  </si>
  <si>
    <t>H7E</t>
  </si>
  <si>
    <t>Límites Intervención</t>
  </si>
  <si>
    <t>Inicio</t>
  </si>
  <si>
    <t>Fin</t>
  </si>
  <si>
    <t>Centroide</t>
  </si>
  <si>
    <t>Distan transp</t>
  </si>
  <si>
    <t>Abscisa continua para segmento</t>
  </si>
  <si>
    <t>Abscisa continua para fuente</t>
  </si>
  <si>
    <r>
      <t xml:space="preserve">VOLUMEN
</t>
    </r>
    <r>
      <rPr>
        <b/>
        <sz val="11"/>
        <color rgb="FFFF0000"/>
        <rFont val="Calibri"/>
        <family val="2"/>
        <scheme val="minor"/>
      </rPr>
      <t xml:space="preserve">COMPACTADO
</t>
    </r>
    <r>
      <rPr>
        <b/>
        <sz val="11"/>
        <rFont val="Calibri"/>
        <family val="2"/>
        <scheme val="minor"/>
      </rPr>
      <t>SUELTO</t>
    </r>
  </si>
  <si>
    <t>Terraplen</t>
  </si>
  <si>
    <t>Coronas</t>
  </si>
  <si>
    <t>Granular Filtro</t>
  </si>
  <si>
    <t>Subase/Base</t>
  </si>
  <si>
    <t>Pavimento</t>
  </si>
  <si>
    <t>Fresado Pavimento</t>
  </si>
  <si>
    <t>H10E</t>
  </si>
  <si>
    <r>
      <t xml:space="preserve">VOLUMEN 
</t>
    </r>
    <r>
      <rPr>
        <b/>
        <sz val="11"/>
        <color rgb="FFFF0000"/>
        <rFont val="Calibri"/>
        <family val="2"/>
        <scheme val="minor"/>
      </rPr>
      <t xml:space="preserve">COMPACTADO
</t>
    </r>
    <r>
      <rPr>
        <b/>
        <sz val="11"/>
        <rFont val="Calibri"/>
        <family val="2"/>
        <scheme val="minor"/>
      </rPr>
      <t>SUELTO</t>
    </r>
  </si>
  <si>
    <t>H11N</t>
  </si>
  <si>
    <r>
      <t xml:space="preserve">VOLUMEN </t>
    </r>
    <r>
      <rPr>
        <b/>
        <sz val="11"/>
        <color rgb="FFFF0000"/>
        <rFont val="Calibri"/>
        <family val="2"/>
        <scheme val="minor"/>
      </rPr>
      <t xml:space="preserve">COMPACTADO
</t>
    </r>
    <r>
      <rPr>
        <b/>
        <sz val="11"/>
        <rFont val="Calibri"/>
        <family val="2"/>
        <scheme val="minor"/>
      </rPr>
      <t>SUELTO</t>
    </r>
  </si>
  <si>
    <t>H13N</t>
  </si>
  <si>
    <t>H16N</t>
  </si>
  <si>
    <t>Volumen total usado de la fuente (banco)</t>
  </si>
  <si>
    <t xml:space="preserve">Besotes </t>
  </si>
  <si>
    <t xml:space="preserve">Besotes 2 </t>
  </si>
  <si>
    <t>Simaña</t>
  </si>
  <si>
    <t xml:space="preserve">La Ola , Galilea, Bellavista  </t>
  </si>
  <si>
    <t>La Pradera</t>
  </si>
  <si>
    <t xml:space="preserve">Pelaya rodeo, Nueva Ola y Nueva Unión  </t>
  </si>
  <si>
    <t xml:space="preserve">Remanso y Brisas </t>
  </si>
  <si>
    <t xml:space="preserve">Arceles La Estrella </t>
  </si>
  <si>
    <t xml:space="preserve">Hacaritama </t>
  </si>
  <si>
    <t xml:space="preserve">Guadalajara </t>
  </si>
  <si>
    <t xml:space="preserve">Alcatraz </t>
  </si>
  <si>
    <t xml:space="preserve">La esperanza </t>
  </si>
  <si>
    <t xml:space="preserve">Pailitas La Raya </t>
  </si>
  <si>
    <t xml:space="preserve">Villa Esther Lechugal </t>
  </si>
  <si>
    <t xml:space="preserve">HR Hermanos Remolino </t>
  </si>
  <si>
    <t>Villa Maria</t>
  </si>
  <si>
    <t xml:space="preserve">Kalandaima </t>
  </si>
  <si>
    <t xml:space="preserve">La Fé </t>
  </si>
  <si>
    <t xml:space="preserve">La Victoria </t>
  </si>
  <si>
    <t xml:space="preserve">El Burro </t>
  </si>
  <si>
    <t xml:space="preserve">Tijeras 1  y 2 </t>
  </si>
  <si>
    <t xml:space="preserve">Unión Animito </t>
  </si>
  <si>
    <t xml:space="preserve">Oca Sur </t>
  </si>
  <si>
    <t xml:space="preserve">La Carola y Carola Tanque </t>
  </si>
  <si>
    <t>Simiti</t>
  </si>
  <si>
    <t>Santa Isabel I y II</t>
  </si>
  <si>
    <t>Besotes</t>
  </si>
  <si>
    <t>La Floresta</t>
  </si>
  <si>
    <t>Pailitas</t>
  </si>
  <si>
    <t>PR 71, PR 71+000</t>
  </si>
  <si>
    <t>La ilusión</t>
  </si>
  <si>
    <t xml:space="preserve">Agregados Petreos </t>
  </si>
  <si>
    <t xml:space="preserve">Mejoramiento Terraplén </t>
  </si>
  <si>
    <t xml:space="preserve"> Planta de Concreto y Planta de Suelos  </t>
  </si>
  <si>
    <t xml:space="preserve">15/09/2016
Con Prorroga </t>
  </si>
  <si>
    <t>Activa (Concretos y bases cementadas)</t>
  </si>
  <si>
    <t>H48E</t>
  </si>
  <si>
    <t>H49N</t>
  </si>
  <si>
    <t>H51N</t>
  </si>
  <si>
    <t>H53N</t>
  </si>
  <si>
    <t>H54N</t>
  </si>
  <si>
    <t>Material</t>
  </si>
  <si>
    <t>Condición en un comienzo</t>
  </si>
  <si>
    <t>Convertida a:</t>
  </si>
  <si>
    <t>Banco</t>
  </si>
  <si>
    <t>Suelta</t>
  </si>
  <si>
    <t>Compactada</t>
  </si>
  <si>
    <t>Mezcla asfáltica</t>
  </si>
  <si>
    <t>Tierra</t>
  </si>
  <si>
    <t>Arcilla</t>
  </si>
  <si>
    <t>Roca (dinamitada)</t>
  </si>
  <si>
    <t>Fresado</t>
  </si>
  <si>
    <t>Granular Filtrante</t>
  </si>
  <si>
    <t>Puesto</t>
  </si>
  <si>
    <t>Desperdicio Relleno</t>
  </si>
  <si>
    <t>Desperdicio Base</t>
  </si>
  <si>
    <t>Desperdicio Pavimento</t>
  </si>
  <si>
    <t>Desperdicio Granular Filtro</t>
  </si>
  <si>
    <t xml:space="preserve">CANTIDAD TOTAL H31 N (PR30+537 al 31+896) </t>
  </si>
  <si>
    <t xml:space="preserve">CANTIDAD TOTAL H34 N (PR 66+000 al 66+580) </t>
  </si>
  <si>
    <t>VALOR PREDIAL SOCIAL</t>
  </si>
  <si>
    <t>VALOR PAGA</t>
  </si>
  <si>
    <t xml:space="preserve">SUBTOTAL </t>
  </si>
  <si>
    <t>MANTENIMIENTO H18E AL H36E CALCULADAS APROX TRAMOS FALTANTES</t>
  </si>
  <si>
    <t>TOTAL OBRAS</t>
  </si>
  <si>
    <t>VALOR FICHA</t>
  </si>
  <si>
    <t>DIFERENCIA</t>
  </si>
  <si>
    <t>GESTION SOCIAL Y PREDIAL  (Incluye  IVA19%)</t>
  </si>
  <si>
    <t>GESTION AMBIENTAL (Incluye PAGA e IVA 19 %)</t>
  </si>
  <si>
    <t>Base tratada con cemento  (no incluye suministro de cemento)</t>
  </si>
  <si>
    <t>351,10</t>
  </si>
  <si>
    <t>Cemento hidráulico para base tratada con cemento</t>
  </si>
  <si>
    <t>Mezcla densa en caliente Tipo MDC-19 con suministro de cemento asfaltico modificado con polimieros tipo III</t>
  </si>
  <si>
    <t>CONSTRUCCIÓN, MEJORAMIENTO, REHABILITACIÓN, MANTENIMIENTO, GESTIÓN SOCIAL, PREDIAL Y AMBIENTAL DEL PROYECTO RUTA DEL SOL TRAMO PUERTO ARAUJO – LA LIZAMA (RUTA 4511)  Y TRAMO LA LIZAMA – SAN ALBERTO (RUTA 4513) EN LOS DEPARTAMENTOS DE SANTANDER Y CESAR</t>
  </si>
  <si>
    <t>REMOCIÓN DE CERCAS DE ALAMBRE</t>
  </si>
  <si>
    <t>201.14</t>
  </si>
  <si>
    <t>REMOCIÓN DE DUCTOS DE SERVICIOS EXISTENTES</t>
  </si>
  <si>
    <t>DEMOLICIÓN DE ESTRUCTURAS</t>
  </si>
  <si>
    <t>DESMONTE Y LIMPIEZA EN ZONAS NO BOSCOSAS</t>
  </si>
  <si>
    <t>EXCAVACIÓN EN MATERIAL COMÚN DE LA EXPLANACIÓN Y CANALES</t>
  </si>
  <si>
    <t>EXCAVACIÓN EN ROCA DE LA EXPLANACIÓN Y CANALES</t>
  </si>
  <si>
    <t>220.1 P-A</t>
  </si>
  <si>
    <t>TERRAPLENES (INCLUYE MATERIAL CUERPO TERRAPLEN CBR=12%)</t>
  </si>
  <si>
    <t>220.1 P-B</t>
  </si>
  <si>
    <t>TERRAPLENES (INCLUYE MATERIAL CORONAS CBR=20%)</t>
  </si>
  <si>
    <t>MEJORAMIENTO DE LA SUBRASANTE CON ADICION DE MATERIALES</t>
  </si>
  <si>
    <t>234.1 P-A</t>
  </si>
  <si>
    <t>CONFORMACIÓN Y CORTE DE TALUDES EXISTENTES</t>
  </si>
  <si>
    <t>234.1 P-B</t>
  </si>
  <si>
    <t>CONFORMACIÓN DE ZODMES</t>
  </si>
  <si>
    <t>TRANSPORTE DE MATERIALES PROVENIENTES DE LA EXCAVACION DE LA EXPLANACION, CANALES Y PRESTAMOS, ENTRE CIEN METROS (100 m) Y MIL METROS (1000 m) DE DISTANCIA</t>
  </si>
  <si>
    <t>m3/E</t>
  </si>
  <si>
    <t>900.2 P-A</t>
  </si>
  <si>
    <t>TRANSPORTE DE MATERIALES SELECCIONADOS</t>
  </si>
  <si>
    <t>m3/km</t>
  </si>
  <si>
    <t>EXCAVACIONES VARIAS EN ROCA EN SECO.</t>
  </si>
  <si>
    <t>610.1 P</t>
  </si>
  <si>
    <t>TUBERÍA DE CONCRETO REFORZADO  21 MPa DE 900 mm DE DIAMETRO INTERIOR</t>
  </si>
  <si>
    <t>TUBERÍA CORRUGADA DE ACERO GALVANIZADO MP-68</t>
  </si>
  <si>
    <t>CONCRETO RESISTENCIA 21MPa (D)</t>
  </si>
  <si>
    <t>ACERO DE REFUERZO Fy 4200 Mpa</t>
  </si>
  <si>
    <t>CUNETA DE CONCRETO VACIADA IN SITU; NO INCLUYE LA CONFORMACIÓN DE LA SUPERFICIE DE APOYO</t>
  </si>
  <si>
    <t>610.5 P-A</t>
  </si>
  <si>
    <t>RELLENOS CON MATERIAL FILTRANTE (SIN TRANSPORTE)</t>
  </si>
  <si>
    <t>900.2 P-B</t>
  </si>
  <si>
    <t>610.5 P-B</t>
  </si>
  <si>
    <t>674.2</t>
  </si>
  <si>
    <t>320.1 P</t>
  </si>
  <si>
    <t>SUB-BASE GRANULAR CLASE A (SIN TRANSPORTE)</t>
  </si>
  <si>
    <t>330.1 P</t>
  </si>
  <si>
    <t>BASE GRANULAR CLASE A (SIN TRANSPORTE)</t>
  </si>
  <si>
    <t>340.1 P</t>
  </si>
  <si>
    <t>900.2 P-C</t>
  </si>
  <si>
    <t>TRANSPORTE DE BASES Y SUBBASES</t>
  </si>
  <si>
    <t>351.12 P</t>
  </si>
  <si>
    <t>CEMENTO HIDRAULICO PARA BASE ESTABILIZADA CON CEMENTO</t>
  </si>
  <si>
    <t>RIEGO DE IMPRIMACIÓN CON EMULSIÓN ASFÁLTICA CRL-0</t>
  </si>
  <si>
    <t>RIEGO DE IMPRIMACIÓN CON EMULSIÓN ASFÁLTICA CRL-1</t>
  </si>
  <si>
    <t>RIEGO DE LIGA CON EMULSIÓN ASFÁLTICA CRR-1</t>
  </si>
  <si>
    <t>450.1 P</t>
  </si>
  <si>
    <t>MEZCLA DENSA EN CALIENTE TIPO MDC-1 (INCLUYE CEMENTO ASFÁLTICO)</t>
  </si>
  <si>
    <t>450.2 P</t>
  </si>
  <si>
    <t>MEZCLA DENSA EN CALIENTE No MDC-2 CON POLIMERO (SIN TRANSPORTE)</t>
  </si>
  <si>
    <t>900.2 P-D</t>
  </si>
  <si>
    <t>TRANSPORTE DE MEZCLA DENSA EN CALIENTE</t>
  </si>
  <si>
    <t>460.2 P-A</t>
  </si>
  <si>
    <t>FRESADO DE PAVIMENTO ASFALTICO EN ESPESOR DE 5 cm (SIN TRANSPORTE)</t>
  </si>
  <si>
    <t>900.2 P-E</t>
  </si>
  <si>
    <t>460.2 P-B</t>
  </si>
  <si>
    <t>621.5.1</t>
  </si>
  <si>
    <t>CAMISA PERMANENTE DE DIÁMETRO EXTERIOR 1,50 m, EN CONCRETO</t>
  </si>
  <si>
    <t>N.A.</t>
  </si>
  <si>
    <t>EXCAVACIÓN MANUAL MATERIAL COMÚN - CAISSONS (INCLUYE ANILLO)</t>
  </si>
  <si>
    <t>CONCRETO RESISTENCIA 28MPa (C )</t>
  </si>
  <si>
    <t xml:space="preserve">CONCRETO RESISTENCIA 35MPa (A) </t>
  </si>
  <si>
    <t>ACERO DE PRE-ESFUEZO</t>
  </si>
  <si>
    <t>tf/m</t>
  </si>
  <si>
    <t>APOYO ELASTOMÉRICO</t>
  </si>
  <si>
    <t>642.1 P</t>
  </si>
  <si>
    <t>JUNTA ELASTOMÉRICA TIPO JJ 8097 W</t>
  </si>
  <si>
    <t>GAVIÓNES DE MALLA DE ALAMBRE DE ACERO ENTRELAZADO CLASE 1; RECUBRIMIENTO DE ZINC (GALVANIZADO)</t>
  </si>
  <si>
    <t>DEFENSA METÁLICA</t>
  </si>
  <si>
    <t>LÍNEA DE DEMARCACIÓN CON PINTURA EN FRÍO.</t>
  </si>
  <si>
    <t>MARCA VIAL CON PINTURA EN FRÍO.</t>
  </si>
  <si>
    <t>710.1</t>
  </si>
  <si>
    <t>SEÑAL VERTICAL DE TRANSITO TIPO 1 CON LAMINA RETRORREFLECTIVA TIPO III (75 x 75) cm</t>
  </si>
  <si>
    <t>710.2 P-A</t>
  </si>
  <si>
    <t>SEÑAL VERTICAL DE TRANSITO TIPO 2 CON LAMINA RETRORREFLECTIVA TIPO III(1.20x0.40 m)</t>
  </si>
  <si>
    <t>710.2 P-B</t>
  </si>
  <si>
    <t>SEÑAL VERTICAL DE TRANSITO TIPO 2 CON LAMINA RETRORREFLECTIVA TIPO III(1.20x0.40 m) (SP-54 LA FERREA)</t>
  </si>
  <si>
    <t>710.2 P-C</t>
  </si>
  <si>
    <t>SEÑAL VERTICAL DE TRANSITO TIPO 2 CON LAMINA RETRORREFLECTIVA TIPO III(1.20x0.40 m) (DELINEADORES DE CURVA)</t>
  </si>
  <si>
    <t>710.2 P-D</t>
  </si>
  <si>
    <t>SEÑAL VERTICAL DE TRANSITO TIPO 2 CON LAMINA RETRORREFLECTIVA TIPO III(1.20x0.40 m) (INFORMATIVAS)</t>
  </si>
  <si>
    <t>CONCRETO RESISTENCIA 14MPa  (F)</t>
  </si>
  <si>
    <t>PROTECCIÓN DE TALUDES CON HIDROSIEMBRA CONTROLADA.</t>
  </si>
  <si>
    <t>PLANTACIÓN DE ÁRBOLES (TIPO PAISAJÍSTICO)</t>
  </si>
  <si>
    <t>NA.1</t>
  </si>
  <si>
    <t>NA.2</t>
  </si>
  <si>
    <t>NA.3</t>
  </si>
  <si>
    <t>NA.4</t>
  </si>
  <si>
    <t>HITO 11E</t>
  </si>
  <si>
    <t>HITO 12E</t>
  </si>
  <si>
    <t>HITO 13E</t>
  </si>
  <si>
    <t>HITO 16E</t>
  </si>
  <si>
    <t>31E</t>
  </si>
  <si>
    <t>32E</t>
  </si>
  <si>
    <t>33E</t>
  </si>
  <si>
    <t>34E</t>
  </si>
  <si>
    <t>35E</t>
  </si>
  <si>
    <t>36N</t>
  </si>
  <si>
    <t>36E</t>
  </si>
  <si>
    <t>TOTAL
TRAMO
4</t>
  </si>
  <si>
    <t>HITO 48E</t>
  </si>
  <si>
    <t>H51E</t>
  </si>
  <si>
    <t>HITO 53E</t>
  </si>
  <si>
    <t>HITO H53N</t>
  </si>
  <si>
    <t>HITO H54N</t>
  </si>
  <si>
    <t>HITO 54E</t>
  </si>
  <si>
    <t>TOTAL
CANT</t>
  </si>
  <si>
    <t>PUENTE LEBRIJA</t>
  </si>
  <si>
    <t>PUENTE PAYANDÉ</t>
  </si>
  <si>
    <t>Pte Peatonal</t>
  </si>
  <si>
    <t>NORTE</t>
  </si>
  <si>
    <t>SUR</t>
  </si>
  <si>
    <t>GEOMALLA BIAXIAL</t>
  </si>
  <si>
    <t>TRATAMIENTO SUPERFICIAL SENCILLO.</t>
  </si>
  <si>
    <t xml:space="preserve">PEGANTE EPOXICO MBRACE PRIMER O SIMILAR </t>
  </si>
  <si>
    <t>PEGANTE EPOXICO MBRACESATURANT O SIMILAR</t>
  </si>
  <si>
    <t>MORTERO DE NIVELACION EMACO S88C O SIMILAE E=0,01</t>
  </si>
  <si>
    <t>BARRA EN FIBRA DE VIDRIO Ø=3/8"</t>
  </si>
  <si>
    <t>MBRACE CF 160 O SIMILAR M2</t>
  </si>
  <si>
    <t>662.1-P</t>
  </si>
  <si>
    <t>TUBERIA CORRUGADA DE ACERO GALVANIZADO MP-152</t>
  </si>
  <si>
    <t>Volumen total usado en obras iniciadas Fase I</t>
  </si>
  <si>
    <t>Volumen total usado en obras Fase II</t>
  </si>
  <si>
    <t>H11E</t>
  </si>
  <si>
    <t>H12E</t>
  </si>
  <si>
    <t>H13E</t>
  </si>
  <si>
    <t>H16E</t>
  </si>
  <si>
    <t>H53E</t>
  </si>
  <si>
    <t>H54E</t>
  </si>
  <si>
    <t>TOTAL
mantenimiento</t>
  </si>
  <si>
    <t>Rellenos para Estructuras con suelo (producto de la excavaciòn)</t>
  </si>
  <si>
    <t>VALOR CALCULADO OBRA</t>
  </si>
  <si>
    <t>INTERVENCIÓN A LOS ESTUDIOS Y DISEÑOS</t>
  </si>
  <si>
    <t>IVA - INTERVENCIÓN A LOS ESTUDIOS Y DISEÑOS</t>
  </si>
  <si>
    <t>TOTAL INTERVENCIÓN A LOS ESTUDIOS Y DISEÑOS</t>
  </si>
  <si>
    <t>SOBRA</t>
  </si>
  <si>
    <t>Concreto clase  28 MPA  para estructuras</t>
  </si>
  <si>
    <t>Subbase tratada con cemento  (no incluye suministro de cemento)</t>
  </si>
  <si>
    <t>200P</t>
  </si>
  <si>
    <t>BULLDOZER</t>
  </si>
  <si>
    <t>OBRERO (1)</t>
  </si>
  <si>
    <t>SUMINISTRO DE MATERIAL SUELTO SELECCIONADO PARA MEJORAMIENTO  (INCLUYE EXCAVACION , MATERIAL , CARGUE Y DERECHOS DE EXPLOTACIÒN)</t>
  </si>
  <si>
    <t>SUMINISTRO DE MATERIAL SUELTO SELECCIONADO PARA TERRAPLEN (INCLUYE EXCAVACION , MATERIAL , CARGUE Y DERECHOS DE EXPLOTACIÒN)</t>
  </si>
  <si>
    <t>Suministro de material suelto seleccionado para corona de Terraplen (No incluye Transporte)</t>
  </si>
  <si>
    <t>Suministro de material suelto para mejoramiento de la subrasante (No incluye Transporte)</t>
  </si>
  <si>
    <t>distacias accarreo terraplen</t>
  </si>
  <si>
    <t>900.2P</t>
  </si>
  <si>
    <t>Transporte de materiales seleccionados de terraplen y mejoramiento</t>
  </si>
  <si>
    <t xml:space="preserve">Mezcla densa en caliente Tipo MDC-19 </t>
  </si>
  <si>
    <t xml:space="preserve">Suministro de material suelto seleccionado para Terraplen </t>
  </si>
  <si>
    <t>Material seleccionado de Mejoramiento (INCLUYE EXCAVACION , MATERIAL , CARGUE Y DERECHOS DE EXPLOTACIÒN)</t>
  </si>
  <si>
    <t>MATERIAL DE BASE PROCESADO EN PLANTA CLASE A PUESTO EN OBRA)</t>
  </si>
  <si>
    <t>MEZCLA DENSA MDC-19 CON POLIMEROS TIPO III (PUESTO EN OBRA)</t>
  </si>
  <si>
    <t>MATERIAL MEZCLA DENSA MDC-19</t>
  </si>
  <si>
    <t>MATERIAL MEZCLA DENSA MDC-19 (PUESTO EN OBRA)</t>
  </si>
  <si>
    <t>CONCRETO CLASE 35 MPA (PUESTO EN OBRA)</t>
  </si>
  <si>
    <t>OBREROS (10)</t>
  </si>
  <si>
    <t>FORMALETA CONCRETO CLASE A</t>
  </si>
  <si>
    <t>CONCRETO CLASE 28 MPA (PREMEZCLADO) (PUESTO EN OBRA)</t>
  </si>
  <si>
    <t>CONCRETO CLASE 21 MPA (PREMEZCLADO) (PUESTO EN OBRA)</t>
  </si>
  <si>
    <t>MATERIAL TRITURADO PARA FILTROS (PUESTO EN OBRA)</t>
  </si>
  <si>
    <t>Mejoramiento de la subrasante con adición de materiales (incluye material</t>
  </si>
  <si>
    <t>MATERIAL TIPO SUBBASE GRANULAR (puesto en obra)</t>
  </si>
  <si>
    <t xml:space="preserve">FORMALETA CONCRETO CLASE  C </t>
  </si>
  <si>
    <t>GESTION SOCIAL PREDIAL Y AMBIENTAL (Incluye  IVA19%)</t>
  </si>
  <si>
    <t>VALOR EN LETRAS:</t>
  </si>
  <si>
    <t>“CONTINUACIÓN DE LA CONSTRUCCIÓN, MEJORAMIENTO, REHABILITACIÓN, MANTENIMIENTO, GESTIÓN SOCIAL, PREDIAL Y AMBIENTAL DE LA TRONCAL DEL MAGDALENA, TRAMO PUERTO ARAUJO - SAN ALBERTO EN EL DEPARTAMENTO DE  SANTANDER”</t>
  </si>
</sst>
</file>

<file path=xl/styles.xml><?xml version="1.0" encoding="utf-8"?>
<styleSheet xmlns="http://schemas.openxmlformats.org/spreadsheetml/2006/main" xmlns:mc="http://schemas.openxmlformats.org/markup-compatibility/2006" xmlns:x14ac="http://schemas.microsoft.com/office/spreadsheetml/2009/9/ac" mc:Ignorable="x14ac">
  <numFmts count="33">
    <numFmt numFmtId="7" formatCode="&quot;$&quot;\ #,##0.00_);\(&quot;$&quot;\ #,##0.00\)"/>
    <numFmt numFmtId="44" formatCode="_(&quot;$&quot;\ * #,##0.00_);_(&quot;$&quot;\ * \(#,##0.00\);_(&quot;$&quot;\ * &quot;-&quot;??_);_(@_)"/>
    <numFmt numFmtId="43" formatCode="_(* #,##0.00_);_(* \(#,##0.00\);_(* &quot;-&quot;??_);_(@_)"/>
    <numFmt numFmtId="164" formatCode="&quot;$&quot;\ #,##0.00;\-&quot;$&quot;\ #,##0.00"/>
    <numFmt numFmtId="165" formatCode="_-&quot;$&quot;\ * #,##0.00_-;\-&quot;$&quot;\ * #,##0.00_-;_-&quot;$&quot;\ * &quot;-&quot;??_-;_-@_-"/>
    <numFmt numFmtId="166" formatCode="_-* #,##0.00_-;\-* #,##0.00_-;_-* &quot;-&quot;??_-;_-@_-"/>
    <numFmt numFmtId="167" formatCode="_-* #,##0.00\ &quot;€&quot;_-;\-* #,##0.00\ &quot;€&quot;_-;_-* &quot;-&quot;??\ &quot;€&quot;_-;_-@_-"/>
    <numFmt numFmtId="168" formatCode="_-* #,##0.00\ _€_-;\-* #,##0.00\ _€_-;_-* &quot;-&quot;??\ _€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0.0%"/>
    <numFmt numFmtId="181" formatCode="_([$$-240A]\ * #,##0.00_);_([$$-240A]\ * \(#,##0.00\);_([$$-240A]\ * &quot;-&quot;??_);_(@_)"/>
    <numFmt numFmtId="182" formatCode="_([$$-240A]\ * #,##0_);_([$$-240A]\ * \(#,##0\);_([$$-240A]\ * &quot;-&quot;??_);_(@_)"/>
    <numFmt numFmtId="183" formatCode="_-* #,##0.00\ [$€]_-;\-* #,##0.00\ [$€]_-;_-* &quot;-&quot;??\ [$€]_-;_-@_-"/>
    <numFmt numFmtId="184" formatCode="_ * #,##0.000_ ;_ * \-#,##0.000_ ;_ * &quot;-&quot;??_ ;_ @_ "/>
    <numFmt numFmtId="185" formatCode="_ [$$-240A]\ * #,##0.00_ ;_ [$$-240A]\ * \-#,##0.00_ ;_ [$$-240A]\ * &quot;-&quot;??_ ;_ @_ "/>
    <numFmt numFmtId="186" formatCode="_ * #,##0_ ;_ * \-#,##0_ ;_ * &quot;-&quot;??_ ;_ @_ "/>
    <numFmt numFmtId="187" formatCode="[$-F800]dddd\,\ mmmm\ dd\,\ yyyy"/>
    <numFmt numFmtId="188" formatCode="_-[$$-240A]\ * #,##0.00_ ;_-[$$-240A]\ * \-#,##0.00\ ;_-[$$-240A]\ * &quot;-&quot;??_ ;_-@_ "/>
    <numFmt numFmtId="189" formatCode="_-[$$-240A]* #,##0.00_-;\-[$$-240A]* #,##0.00_-;_-[$$-240A]* &quot;-&quot;??_-;_-@_-"/>
    <numFmt numFmtId="190" formatCode="&quot;PR&quot;00\+000"/>
    <numFmt numFmtId="191" formatCode="_(* #,##0_);_(* \(#,##0\);_(* &quot;-&quot;??_);_(@_)"/>
    <numFmt numFmtId="192" formatCode="00\+000"/>
    <numFmt numFmtId="193" formatCode="\P\R\ 00\+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b/>
      <sz val="10"/>
      <name val="Arial"/>
      <family val="2"/>
    </font>
    <font>
      <sz val="10"/>
      <name val="Arial"/>
      <family val="2"/>
    </font>
    <font>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0"/>
      <name val="Geneva"/>
    </font>
    <font>
      <sz val="11"/>
      <color theme="1"/>
      <name val="Calibri"/>
      <family val="2"/>
      <scheme val="minor"/>
    </font>
    <font>
      <sz val="10"/>
      <name val="Arial"/>
      <family val="2"/>
    </font>
    <font>
      <b/>
      <sz val="11"/>
      <name val="Arial Narrow"/>
      <family val="2"/>
    </font>
    <font>
      <sz val="11"/>
      <name val="Arial Narrow"/>
      <family val="2"/>
    </font>
    <font>
      <b/>
      <sz val="12"/>
      <name val="Arial Narrow"/>
      <family val="2"/>
    </font>
    <font>
      <b/>
      <sz val="10"/>
      <name val="Arial Narrow"/>
      <family val="2"/>
    </font>
    <font>
      <sz val="10"/>
      <name val="Arial Narrow"/>
      <family val="2"/>
    </font>
    <font>
      <b/>
      <i/>
      <sz val="10"/>
      <name val="Arial Narrow"/>
      <family val="2"/>
    </font>
    <font>
      <sz val="8"/>
      <name val="Arial Narrow"/>
      <family val="2"/>
    </font>
    <font>
      <b/>
      <sz val="8"/>
      <name val="Arial Narrow"/>
      <family val="2"/>
    </font>
    <font>
      <b/>
      <sz val="9"/>
      <name val="Arial Narrow"/>
      <family val="2"/>
    </font>
    <font>
      <sz val="9"/>
      <name val="Arial Narrow"/>
      <family val="2"/>
    </font>
    <font>
      <u/>
      <sz val="10"/>
      <name val="Arial Narrow"/>
      <family val="2"/>
    </font>
    <font>
      <b/>
      <sz val="7"/>
      <name val="Arial Narrow"/>
      <family val="2"/>
    </font>
    <font>
      <b/>
      <vertAlign val="superscript"/>
      <sz val="8"/>
      <name val="Arial Narrow"/>
      <family val="2"/>
    </font>
    <font>
      <sz val="5"/>
      <name val="Arial Narrow"/>
      <family val="2"/>
    </font>
    <font>
      <sz val="12"/>
      <name val="Arial Narrow"/>
      <family val="2"/>
    </font>
    <font>
      <b/>
      <sz val="9"/>
      <color indexed="81"/>
      <name val="Tahoma"/>
      <family val="2"/>
    </font>
    <font>
      <b/>
      <sz val="12"/>
      <color rgb="FFFF0000"/>
      <name val="Arial Narrow"/>
      <family val="2"/>
    </font>
    <font>
      <sz val="12"/>
      <color rgb="FFFF0000"/>
      <name val="Arial Narrow"/>
      <family val="2"/>
    </font>
    <font>
      <sz val="11"/>
      <color rgb="FFFF0000"/>
      <name val="Arial Narrow"/>
      <family val="2"/>
    </font>
    <font>
      <sz val="10"/>
      <color theme="1"/>
      <name val="Arial"/>
      <family val="2"/>
    </font>
    <font>
      <b/>
      <sz val="10"/>
      <color theme="1"/>
      <name val="Arial"/>
      <family val="2"/>
    </font>
    <font>
      <sz val="9"/>
      <color indexed="81"/>
      <name val="Tahoma"/>
      <family val="2"/>
    </font>
    <font>
      <b/>
      <sz val="11"/>
      <color theme="1"/>
      <name val="Calibri"/>
      <family val="2"/>
      <scheme val="minor"/>
    </font>
    <font>
      <sz val="11"/>
      <name val="Calibri"/>
      <family val="2"/>
      <scheme val="minor"/>
    </font>
    <font>
      <b/>
      <sz val="11"/>
      <name val="Calibri"/>
      <family val="2"/>
      <scheme val="minor"/>
    </font>
    <font>
      <b/>
      <sz val="16"/>
      <name val="Calibri"/>
      <family val="2"/>
      <scheme val="minor"/>
    </font>
    <font>
      <b/>
      <sz val="22"/>
      <name val="Calibri"/>
      <family val="2"/>
      <scheme val="minor"/>
    </font>
    <font>
      <sz val="12"/>
      <color theme="0"/>
      <name val="Calibri"/>
      <family val="2"/>
      <scheme val="minor"/>
    </font>
    <font>
      <b/>
      <sz val="12"/>
      <color theme="0"/>
      <name val="Calibri"/>
      <family val="2"/>
      <scheme val="minor"/>
    </font>
    <font>
      <vertAlign val="superscript"/>
      <sz val="11"/>
      <color theme="1"/>
      <name val="Calibri"/>
      <family val="2"/>
      <scheme val="minor"/>
    </font>
    <font>
      <sz val="10"/>
      <color rgb="FF000000"/>
      <name val="Arial"/>
      <family val="2"/>
    </font>
    <font>
      <b/>
      <sz val="10"/>
      <color rgb="FF000000"/>
      <name val="Arial"/>
      <family val="2"/>
    </font>
    <font>
      <b/>
      <sz val="14"/>
      <color theme="1"/>
      <name val="Calibri"/>
      <family val="2"/>
      <scheme val="minor"/>
    </font>
    <font>
      <sz val="8"/>
      <color theme="1"/>
      <name val="Arial"/>
      <family val="2"/>
    </font>
    <font>
      <sz val="10"/>
      <color theme="1"/>
      <name val="Calibri"/>
      <family val="2"/>
      <scheme val="minor"/>
    </font>
    <font>
      <sz val="11"/>
      <color theme="1"/>
      <name val="Calibri"/>
      <family val="2"/>
    </font>
    <font>
      <b/>
      <sz val="11"/>
      <color rgb="FFFF0000"/>
      <name val="Calibri"/>
      <family val="2"/>
      <scheme val="minor"/>
    </font>
    <font>
      <sz val="11"/>
      <color theme="1"/>
      <name val="Arial"/>
      <family val="2"/>
    </font>
    <font>
      <b/>
      <sz val="11"/>
      <color theme="0"/>
      <name val="Calibri"/>
      <family val="2"/>
      <scheme val="minor"/>
    </font>
    <font>
      <sz val="11"/>
      <color theme="0"/>
      <name val="Calibri"/>
      <family val="2"/>
      <scheme val="minor"/>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rgb="FF00B0F0"/>
        <bgColor indexed="64"/>
      </patternFill>
    </fill>
    <fill>
      <patternFill patternType="solid">
        <fgColor rgb="FF00B050"/>
        <bgColor indexed="64"/>
      </patternFill>
    </fill>
    <fill>
      <patternFill patternType="solid">
        <fgColor theme="9" tint="0.79998168889431442"/>
        <bgColor indexed="64"/>
      </patternFill>
    </fill>
    <fill>
      <patternFill patternType="solid">
        <fgColor rgb="FF0070C0"/>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rgb="FFFFFFCC"/>
        <bgColor indexed="64"/>
      </patternFill>
    </fill>
    <fill>
      <patternFill patternType="solid">
        <fgColor theme="7" tint="0.79998168889431442"/>
        <bgColor indexed="64"/>
      </patternFill>
    </fill>
  </fills>
  <borders count="16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hair">
        <color auto="1"/>
      </left>
      <right style="hair">
        <color auto="1"/>
      </right>
      <top style="hair">
        <color auto="1"/>
      </top>
      <bottom style="hair">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style="thin">
        <color auto="1"/>
      </left>
      <right style="hair">
        <color auto="1"/>
      </right>
      <top style="thin">
        <color auto="1"/>
      </top>
      <bottom style="hair">
        <color auto="1"/>
      </bottom>
      <diagonal/>
    </border>
    <border>
      <left style="hair">
        <color auto="1"/>
      </left>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top/>
      <bottom style="hair">
        <color auto="1"/>
      </bottom>
      <diagonal/>
    </border>
    <border>
      <left/>
      <right/>
      <top/>
      <bottom style="hair">
        <color auto="1"/>
      </bottom>
      <diagonal/>
    </border>
    <border>
      <left/>
      <right style="thin">
        <color auto="1"/>
      </right>
      <top/>
      <bottom style="hair">
        <color auto="1"/>
      </bottom>
      <diagonal/>
    </border>
    <border>
      <left/>
      <right/>
      <top style="hair">
        <color auto="1"/>
      </top>
      <bottom style="hair">
        <color auto="1"/>
      </bottom>
      <diagonal/>
    </border>
    <border>
      <left style="thin">
        <color auto="1"/>
      </left>
      <right/>
      <top style="hair">
        <color auto="1"/>
      </top>
      <bottom style="hair">
        <color auto="1"/>
      </bottom>
      <diagonal/>
    </border>
    <border>
      <left style="hair">
        <color auto="1"/>
      </left>
      <right style="thin">
        <color auto="1"/>
      </right>
      <top style="hair">
        <color auto="1"/>
      </top>
      <bottom/>
      <diagonal/>
    </border>
    <border>
      <left style="hair">
        <color auto="1"/>
      </left>
      <right style="thin">
        <color auto="1"/>
      </right>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thin">
        <color indexed="64"/>
      </bottom>
      <diagonal/>
    </border>
    <border>
      <left style="hair">
        <color auto="1"/>
      </left>
      <right style="hair">
        <color auto="1"/>
      </right>
      <top style="thin">
        <color auto="1"/>
      </top>
      <bottom style="thin">
        <color indexed="64"/>
      </bottom>
      <diagonal/>
    </border>
    <border>
      <left style="hair">
        <color auto="1"/>
      </left>
      <right/>
      <top style="thin">
        <color auto="1"/>
      </top>
      <bottom style="thin">
        <color indexed="64"/>
      </bottom>
      <diagonal/>
    </border>
    <border>
      <left style="hair">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top/>
      <bottom style="hair">
        <color auto="1"/>
      </bottom>
      <diagonal/>
    </border>
    <border>
      <left style="thin">
        <color auto="1"/>
      </left>
      <right style="thin">
        <color auto="1"/>
      </right>
      <top/>
      <bottom style="hair">
        <color auto="1"/>
      </bottom>
      <diagonal/>
    </border>
    <border>
      <left/>
      <right/>
      <top style="hair">
        <color auto="1"/>
      </top>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style="thin">
        <color auto="1"/>
      </left>
      <right style="thin">
        <color auto="1"/>
      </right>
      <top style="hair">
        <color auto="1"/>
      </top>
      <bottom/>
      <diagonal/>
    </border>
    <border>
      <left/>
      <right style="hair">
        <color auto="1"/>
      </right>
      <top style="thin">
        <color auto="1"/>
      </top>
      <bottom style="hair">
        <color auto="1"/>
      </bottom>
      <diagonal/>
    </border>
    <border>
      <left/>
      <right style="thin">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right style="hair">
        <color auto="1"/>
      </right>
      <top style="hair">
        <color auto="1"/>
      </top>
      <bottom style="thin">
        <color auto="1"/>
      </bottom>
      <diagonal/>
    </border>
    <border>
      <left style="thin">
        <color auto="1"/>
      </left>
      <right/>
      <top style="thin">
        <color auto="1"/>
      </top>
      <bottom style="hair">
        <color auto="1"/>
      </bottom>
      <diagonal/>
    </border>
    <border>
      <left style="thin">
        <color auto="1"/>
      </left>
      <right style="hair">
        <color auto="1"/>
      </right>
      <top/>
      <bottom/>
      <diagonal/>
    </border>
    <border>
      <left style="thin">
        <color auto="1"/>
      </left>
      <right style="hair">
        <color auto="1"/>
      </right>
      <top/>
      <bottom style="thin">
        <color auto="1"/>
      </bottom>
      <diagonal/>
    </border>
    <border>
      <left/>
      <right style="thin">
        <color auto="1"/>
      </right>
      <top style="thin">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right style="thin">
        <color auto="1"/>
      </right>
      <top style="hair">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auto="1"/>
      </top>
      <bottom style="hair">
        <color auto="1"/>
      </bottom>
      <diagonal/>
    </border>
    <border>
      <left style="medium">
        <color indexed="64"/>
      </left>
      <right/>
      <top style="hair">
        <color auto="1"/>
      </top>
      <bottom/>
      <diagonal/>
    </border>
    <border>
      <left style="medium">
        <color indexed="64"/>
      </left>
      <right/>
      <top/>
      <bottom style="hair">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auto="1"/>
      </right>
      <top/>
      <bottom style="hair">
        <color auto="1"/>
      </bottom>
      <diagonal/>
    </border>
    <border>
      <left/>
      <right style="medium">
        <color auto="1"/>
      </right>
      <top style="hair">
        <color auto="1"/>
      </top>
      <bottom style="hair">
        <color auto="1"/>
      </bottom>
      <diagonal/>
    </border>
    <border>
      <left style="thin">
        <color auto="1"/>
      </left>
      <right/>
      <top style="thin">
        <color auto="1"/>
      </top>
      <bottom style="hair">
        <color auto="1"/>
      </bottom>
      <diagonal/>
    </border>
    <border>
      <left style="hair">
        <color auto="1"/>
      </left>
      <right style="hair">
        <color auto="1"/>
      </right>
      <top/>
      <bottom/>
      <diagonal/>
    </border>
    <border>
      <left/>
      <right style="hair">
        <color auto="1"/>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52">
    <xf numFmtId="0" fontId="0" fillId="0" borderId="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5" fillId="4" borderId="0" applyNumberFormat="0" applyBorder="0" applyAlignment="0" applyProtection="0"/>
    <xf numFmtId="0" fontId="16" fillId="16" borderId="1" applyNumberFormat="0" applyAlignment="0" applyProtection="0"/>
    <xf numFmtId="0" fontId="17" fillId="17" borderId="2" applyNumberFormat="0" applyAlignment="0" applyProtection="0"/>
    <xf numFmtId="0" fontId="18" fillId="0" borderId="3" applyNumberFormat="0" applyFill="0" applyAlignment="0" applyProtection="0"/>
    <xf numFmtId="0" fontId="19" fillId="0" borderId="0" applyNumberFormat="0" applyFill="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21" borderId="0" applyNumberFormat="0" applyBorder="0" applyAlignment="0" applyProtection="0"/>
    <xf numFmtId="0" fontId="20" fillId="7" borderId="1" applyNumberFormat="0" applyAlignment="0" applyProtection="0"/>
    <xf numFmtId="0" fontId="30" fillId="0" borderId="0">
      <alignment vertical="top"/>
    </xf>
    <xf numFmtId="183" fontId="11" fillId="0" borderId="0" applyFont="0" applyFill="0" applyBorder="0" applyAlignment="0" applyProtection="0"/>
    <xf numFmtId="0" fontId="9" fillId="0" borderId="0" applyNumberFormat="0" applyFill="0" applyBorder="0" applyAlignment="0" applyProtection="0">
      <alignment vertical="top"/>
      <protection locked="0"/>
    </xf>
    <xf numFmtId="0" fontId="21" fillId="3" borderId="0" applyNumberFormat="0" applyBorder="0" applyAlignment="0" applyProtection="0"/>
    <xf numFmtId="172" fontId="8" fillId="0" borderId="0" applyFont="0" applyFill="0" applyBorder="0" applyAlignment="0" applyProtection="0"/>
    <xf numFmtId="2" fontId="12" fillId="0" borderId="4" applyFont="0" applyBorder="0"/>
    <xf numFmtId="172"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2" fontId="11" fillId="0" borderId="0" applyFont="0" applyFill="0" applyBorder="0" applyAlignment="0" applyProtection="0"/>
    <xf numFmtId="166" fontId="11" fillId="0" borderId="0" applyFont="0" applyFill="0" applyBorder="0" applyAlignment="0" applyProtection="0"/>
    <xf numFmtId="177"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7" fontId="11" fillId="0" borderId="0" applyFont="0" applyFill="0" applyBorder="0" applyAlignment="0" applyProtection="0"/>
    <xf numFmtId="173" fontId="11" fillId="0" borderId="0" applyFont="0" applyFill="0" applyBorder="0" applyAlignment="0" applyProtection="0"/>
    <xf numFmtId="166" fontId="13" fillId="0" borderId="0" applyFont="0" applyFill="0" applyBorder="0" applyAlignment="0" applyProtection="0"/>
    <xf numFmtId="173" fontId="11" fillId="0" borderId="0" applyFont="0" applyFill="0" applyBorder="0" applyAlignment="0" applyProtection="0"/>
    <xf numFmtId="166" fontId="11" fillId="0" borderId="0" applyFont="0" applyFill="0" applyBorder="0" applyAlignment="0" applyProtection="0"/>
    <xf numFmtId="166" fontId="31" fillId="0" borderId="0" applyFont="0" applyFill="0" applyBorder="0" applyAlignment="0" applyProtection="0"/>
    <xf numFmtId="172" fontId="11" fillId="0" borderId="0" applyFont="0" applyFill="0" applyBorder="0" applyAlignment="0" applyProtection="0"/>
    <xf numFmtId="0" fontId="11" fillId="0" borderId="0" applyFont="0" applyFill="0" applyBorder="0" applyAlignment="0" applyProtection="0"/>
    <xf numFmtId="0" fontId="3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8" fontId="11" fillId="0" borderId="0" applyFont="0" applyFill="0" applyBorder="0" applyAlignment="0" applyProtection="0"/>
    <xf numFmtId="165" fontId="13" fillId="0" borderId="0" applyFont="0" applyFill="0" applyBorder="0" applyAlignment="0" applyProtection="0"/>
    <xf numFmtId="169" fontId="11" fillId="0" borderId="0" applyFont="0" applyFill="0" applyBorder="0" applyAlignment="0" applyProtection="0"/>
    <xf numFmtId="176" fontId="11" fillId="0" borderId="0" applyFont="0" applyFill="0" applyBorder="0" applyAlignment="0" applyProtection="0"/>
    <xf numFmtId="167" fontId="11" fillId="0" borderId="0" applyFont="0" applyFill="0" applyBorder="0" applyAlignment="0" applyProtection="0"/>
    <xf numFmtId="176"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9" fontId="11" fillId="0" borderId="0" applyFont="0" applyFill="0" applyBorder="0" applyAlignment="0" applyProtection="0"/>
    <xf numFmtId="171" fontId="11" fillId="0" borderId="0" applyFont="0" applyFill="0" applyBorder="0" applyAlignment="0" applyProtection="0"/>
    <xf numFmtId="171" fontId="11" fillId="0" borderId="0" applyFont="0" applyFill="0" applyBorder="0" applyAlignment="0" applyProtection="0"/>
    <xf numFmtId="0" fontId="22" fillId="22" borderId="0" applyNumberFormat="0" applyBorder="0" applyAlignment="0" applyProtection="0"/>
    <xf numFmtId="0" fontId="22" fillId="22" borderId="0" applyNumberFormat="0" applyBorder="0" applyAlignment="0" applyProtection="0"/>
    <xf numFmtId="0" fontId="11" fillId="0" borderId="0"/>
    <xf numFmtId="0" fontId="11" fillId="0" borderId="0"/>
    <xf numFmtId="0" fontId="31" fillId="0" borderId="0"/>
    <xf numFmtId="0" fontId="11" fillId="0" borderId="0"/>
    <xf numFmtId="0" fontId="11" fillId="0" borderId="0"/>
    <xf numFmtId="0" fontId="3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33" fillId="0" borderId="0"/>
    <xf numFmtId="0" fontId="33" fillId="0" borderId="0"/>
    <xf numFmtId="0" fontId="11" fillId="0" borderId="0"/>
    <xf numFmtId="0" fontId="11" fillId="0" borderId="0"/>
    <xf numFmtId="0" fontId="11" fillId="0" borderId="0"/>
    <xf numFmtId="0" fontId="11" fillId="0" borderId="0"/>
    <xf numFmtId="0" fontId="32" fillId="0" borderId="0"/>
    <xf numFmtId="0" fontId="11" fillId="23" borderId="5" applyNumberFormat="0" applyFont="0" applyAlignment="0" applyProtection="0"/>
    <xf numFmtId="9" fontId="13" fillId="0" borderId="0" applyFont="0" applyFill="0" applyBorder="0" applyAlignment="0" applyProtection="0"/>
    <xf numFmtId="9" fontId="8" fillId="0" borderId="0" applyFont="0" applyFill="0" applyBorder="0" applyAlignment="0" applyProtection="0"/>
    <xf numFmtId="9" fontId="33"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3" fillId="16" borderId="6"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7" fillId="0" borderId="7" applyNumberFormat="0" applyFill="0" applyAlignment="0" applyProtection="0"/>
    <xf numFmtId="0" fontId="28" fillId="0" borderId="8" applyNumberFormat="0" applyFill="0" applyAlignment="0" applyProtection="0"/>
    <xf numFmtId="0" fontId="19" fillId="0" borderId="9" applyNumberFormat="0" applyFill="0" applyAlignment="0" applyProtection="0"/>
    <xf numFmtId="0" fontId="26" fillId="0" borderId="0" applyNumberFormat="0" applyFill="0" applyBorder="0" applyAlignment="0" applyProtection="0"/>
    <xf numFmtId="0" fontId="29" fillId="0" borderId="10" applyNumberFormat="0" applyFill="0" applyAlignment="0" applyProtection="0"/>
    <xf numFmtId="0" fontId="29" fillId="0" borderId="10" applyNumberFormat="0" applyFill="0" applyAlignment="0" applyProtection="0"/>
    <xf numFmtId="172" fontId="34" fillId="0" borderId="0" applyFont="0" applyFill="0" applyBorder="0" applyAlignment="0" applyProtection="0"/>
    <xf numFmtId="0" fontId="8" fillId="0" borderId="0"/>
    <xf numFmtId="9" fontId="34" fillId="0" borderId="0" applyFont="0" applyFill="0" applyBorder="0" applyAlignment="0" applyProtection="0"/>
    <xf numFmtId="0" fontId="8" fillId="0" borderId="0"/>
    <xf numFmtId="176" fontId="8" fillId="0" borderId="0" applyFont="0" applyFill="0" applyBorder="0" applyAlignment="0" applyProtection="0"/>
    <xf numFmtId="0" fontId="7" fillId="0" borderId="0"/>
    <xf numFmtId="0" fontId="8" fillId="0" borderId="0"/>
    <xf numFmtId="0" fontId="8" fillId="0" borderId="0"/>
    <xf numFmtId="0" fontId="6" fillId="0" borderId="0"/>
    <xf numFmtId="166" fontId="6" fillId="0" borderId="0" applyFont="0" applyFill="0" applyBorder="0" applyAlignment="0" applyProtection="0"/>
    <xf numFmtId="0" fontId="8" fillId="0" borderId="0"/>
    <xf numFmtId="0" fontId="5" fillId="0" borderId="0"/>
    <xf numFmtId="0" fontId="5" fillId="0" borderId="0"/>
    <xf numFmtId="44" fontId="5" fillId="0" borderId="0" applyFont="0" applyFill="0" applyBorder="0" applyAlignment="0" applyProtection="0"/>
    <xf numFmtId="43" fontId="5" fillId="0" borderId="0" applyFont="0" applyFill="0" applyBorder="0" applyAlignment="0" applyProtection="0"/>
    <xf numFmtId="0" fontId="4" fillId="0" borderId="0"/>
    <xf numFmtId="0" fontId="4" fillId="0" borderId="0"/>
    <xf numFmtId="44" fontId="4" fillId="0" borderId="0" applyFont="0" applyFill="0" applyBorder="0" applyAlignment="0" applyProtection="0"/>
    <xf numFmtId="43" fontId="4"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1" fillId="0" borderId="0"/>
  </cellStyleXfs>
  <cellXfs count="1946">
    <xf numFmtId="0" fontId="0" fillId="0" borderId="0" xfId="0"/>
    <xf numFmtId="0" fontId="35" fillId="0" borderId="26" xfId="74" applyFont="1" applyFill="1" applyBorder="1" applyAlignment="1">
      <alignment horizontal="center"/>
    </xf>
    <xf numFmtId="0" fontId="35" fillId="0" borderId="18" xfId="74" applyFont="1" applyFill="1" applyBorder="1" applyAlignment="1">
      <alignment horizontal="center"/>
    </xf>
    <xf numFmtId="0" fontId="36" fillId="0" borderId="0" xfId="74" applyFont="1" applyFill="1" applyBorder="1"/>
    <xf numFmtId="0" fontId="35" fillId="0" borderId="0" xfId="74" applyFont="1" applyFill="1" applyBorder="1"/>
    <xf numFmtId="0" fontId="36" fillId="0" borderId="0" xfId="90" applyFont="1" applyFill="1" applyProtection="1"/>
    <xf numFmtId="0" fontId="36" fillId="0" borderId="0" xfId="90" applyFont="1" applyFill="1" applyAlignment="1" applyProtection="1">
      <alignment horizontal="center"/>
    </xf>
    <xf numFmtId="0" fontId="36" fillId="0" borderId="51" xfId="90" applyFont="1" applyFill="1" applyBorder="1" applyProtection="1"/>
    <xf numFmtId="0" fontId="36" fillId="0" borderId="52" xfId="90" applyFont="1" applyFill="1" applyBorder="1" applyProtection="1"/>
    <xf numFmtId="0" fontId="36" fillId="0" borderId="52" xfId="90" applyFont="1" applyFill="1" applyBorder="1" applyAlignment="1" applyProtection="1">
      <alignment horizontal="center"/>
    </xf>
    <xf numFmtId="0" fontId="36" fillId="0" borderId="53" xfId="90" applyFont="1" applyFill="1" applyBorder="1" applyProtection="1"/>
    <xf numFmtId="0" fontId="36" fillId="0" borderId="49" xfId="90" applyFont="1" applyFill="1" applyBorder="1" applyProtection="1"/>
    <xf numFmtId="0" fontId="36" fillId="0" borderId="50" xfId="90" applyFont="1" applyFill="1" applyBorder="1" applyProtection="1"/>
    <xf numFmtId="0" fontId="41" fillId="0" borderId="0" xfId="91" applyFont="1" applyFill="1" applyProtection="1"/>
    <xf numFmtId="0" fontId="41" fillId="0" borderId="49" xfId="91" applyFont="1" applyFill="1" applyBorder="1" applyProtection="1"/>
    <xf numFmtId="0" fontId="41" fillId="0" borderId="50" xfId="91" applyFont="1" applyFill="1" applyBorder="1" applyProtection="1"/>
    <xf numFmtId="184" fontId="41" fillId="0" borderId="50" xfId="44" applyNumberFormat="1" applyFont="1" applyFill="1" applyBorder="1" applyProtection="1"/>
    <xf numFmtId="182" fontId="41" fillId="0" borderId="50" xfId="91" applyNumberFormat="1" applyFont="1" applyFill="1" applyBorder="1" applyProtection="1"/>
    <xf numFmtId="185" fontId="41" fillId="0" borderId="50" xfId="91" applyNumberFormat="1" applyFont="1" applyFill="1" applyBorder="1" applyProtection="1"/>
    <xf numFmtId="0" fontId="39" fillId="0" borderId="0" xfId="91" applyFont="1" applyFill="1" applyProtection="1"/>
    <xf numFmtId="0" fontId="39" fillId="0" borderId="49" xfId="91" applyFont="1" applyFill="1" applyBorder="1" applyProtection="1"/>
    <xf numFmtId="0" fontId="39" fillId="0" borderId="50" xfId="91" applyFont="1" applyFill="1" applyBorder="1" applyProtection="1"/>
    <xf numFmtId="0" fontId="39" fillId="0" borderId="0" xfId="131" applyFont="1" applyFill="1" applyBorder="1" applyProtection="1"/>
    <xf numFmtId="0" fontId="39" fillId="0" borderId="0" xfId="131" applyFont="1" applyFill="1" applyBorder="1" applyAlignment="1" applyProtection="1">
      <alignment horizontal="center"/>
    </xf>
    <xf numFmtId="2" fontId="39" fillId="0" borderId="0" xfId="131" applyNumberFormat="1" applyFont="1" applyFill="1" applyBorder="1" applyProtection="1"/>
    <xf numFmtId="181" fontId="39" fillId="0" borderId="0" xfId="132" applyNumberFormat="1" applyFont="1" applyFill="1" applyBorder="1" applyProtection="1"/>
    <xf numFmtId="39" fontId="39" fillId="0" borderId="0" xfId="132" applyNumberFormat="1" applyFont="1" applyFill="1" applyBorder="1" applyAlignment="1" applyProtection="1">
      <alignment vertical="center"/>
    </xf>
    <xf numFmtId="0" fontId="41" fillId="0" borderId="47" xfId="91" applyFont="1" applyFill="1" applyBorder="1" applyProtection="1"/>
    <xf numFmtId="0" fontId="36" fillId="0" borderId="48" xfId="90" applyFont="1" applyFill="1" applyBorder="1" applyProtection="1"/>
    <xf numFmtId="0" fontId="36" fillId="0" borderId="48" xfId="90" applyFont="1" applyFill="1" applyBorder="1" applyAlignment="1" applyProtection="1">
      <alignment horizontal="center"/>
    </xf>
    <xf numFmtId="186" fontId="36" fillId="0" borderId="48" xfId="35" applyNumberFormat="1" applyFont="1" applyFill="1" applyBorder="1" applyProtection="1"/>
    <xf numFmtId="0" fontId="36" fillId="0" borderId="54" xfId="90" applyFont="1" applyFill="1" applyBorder="1" applyProtection="1"/>
    <xf numFmtId="0" fontId="39" fillId="0" borderId="0" xfId="74" applyFont="1" applyFill="1"/>
    <xf numFmtId="0" fontId="39" fillId="0" borderId="44" xfId="74" applyFont="1" applyFill="1" applyBorder="1" applyAlignment="1">
      <alignment vertical="center"/>
    </xf>
    <xf numFmtId="0" fontId="39" fillId="0" borderId="0" xfId="74" applyFont="1" applyFill="1" applyBorder="1"/>
    <xf numFmtId="175" fontId="39" fillId="0" borderId="40" xfId="74" applyNumberFormat="1" applyFont="1" applyFill="1" applyBorder="1"/>
    <xf numFmtId="39" fontId="39" fillId="0" borderId="0" xfId="74" applyNumberFormat="1" applyFont="1" applyFill="1" applyBorder="1"/>
    <xf numFmtId="0" fontId="38" fillId="0" borderId="57" xfId="74" applyFont="1" applyFill="1" applyBorder="1"/>
    <xf numFmtId="175" fontId="38" fillId="0" borderId="58" xfId="74" applyNumberFormat="1" applyFont="1" applyFill="1" applyBorder="1"/>
    <xf numFmtId="0" fontId="39" fillId="0" borderId="0" xfId="0" applyFont="1" applyFill="1"/>
    <xf numFmtId="0" fontId="39" fillId="0" borderId="65" xfId="0" applyFont="1" applyFill="1" applyBorder="1" applyAlignment="1">
      <alignment horizontal="center"/>
    </xf>
    <xf numFmtId="0" fontId="38" fillId="0" borderId="66" xfId="0" applyFont="1" applyFill="1" applyBorder="1" applyAlignment="1">
      <alignment horizontal="center"/>
    </xf>
    <xf numFmtId="0" fontId="44" fillId="0" borderId="66" xfId="0" applyFont="1" applyFill="1" applyBorder="1" applyAlignment="1">
      <alignment vertical="center"/>
    </xf>
    <xf numFmtId="0" fontId="44" fillId="0" borderId="72" xfId="0" applyFont="1" applyFill="1" applyBorder="1" applyAlignment="1">
      <alignment vertical="center"/>
    </xf>
    <xf numFmtId="0" fontId="39" fillId="0" borderId="11" xfId="0" applyFont="1" applyFill="1" applyBorder="1" applyAlignment="1">
      <alignment horizontal="center"/>
    </xf>
    <xf numFmtId="0" fontId="38" fillId="0" borderId="12" xfId="0" applyFont="1" applyFill="1" applyBorder="1" applyAlignment="1">
      <alignment horizontal="center"/>
    </xf>
    <xf numFmtId="0" fontId="44" fillId="0" borderId="12" xfId="0" applyFont="1" applyFill="1" applyBorder="1" applyAlignment="1">
      <alignment horizontal="right" vertical="center"/>
    </xf>
    <xf numFmtId="0" fontId="44" fillId="0" borderId="39" xfId="0" applyFont="1" applyFill="1" applyBorder="1" applyAlignment="1">
      <alignment horizontal="center" vertical="center"/>
    </xf>
    <xf numFmtId="0" fontId="44" fillId="0" borderId="46" xfId="0" applyFont="1" applyFill="1" applyBorder="1" applyAlignment="1">
      <alignment horizontal="center" vertical="center"/>
    </xf>
    <xf numFmtId="0" fontId="39" fillId="0" borderId="14" xfId="0" applyFont="1" applyFill="1" applyBorder="1" applyAlignment="1">
      <alignment horizontal="center"/>
    </xf>
    <xf numFmtId="0" fontId="38" fillId="0" borderId="0" xfId="0" applyFont="1" applyFill="1" applyBorder="1" applyAlignment="1">
      <alignment horizontal="center"/>
    </xf>
    <xf numFmtId="0" fontId="44" fillId="0" borderId="0" xfId="0" applyFont="1" applyFill="1" applyBorder="1" applyAlignment="1">
      <alignment horizontal="right" vertical="center"/>
    </xf>
    <xf numFmtId="1" fontId="44" fillId="0" borderId="21" xfId="0" applyNumberFormat="1" applyFont="1" applyFill="1" applyBorder="1" applyAlignment="1">
      <alignment horizontal="center" vertical="center"/>
    </xf>
    <xf numFmtId="1" fontId="44" fillId="0" borderId="40" xfId="0" applyNumberFormat="1" applyFont="1" applyFill="1" applyBorder="1" applyAlignment="1">
      <alignment horizontal="center" vertical="center"/>
    </xf>
    <xf numFmtId="0" fontId="44" fillId="0" borderId="14" xfId="0" applyFont="1" applyFill="1" applyBorder="1" applyAlignment="1">
      <alignment horizontal="left"/>
    </xf>
    <xf numFmtId="0" fontId="44" fillId="0" borderId="0" xfId="0" applyFont="1" applyFill="1" applyBorder="1" applyAlignment="1">
      <alignment horizontal="right"/>
    </xf>
    <xf numFmtId="0" fontId="44" fillId="0" borderId="15" xfId="0" applyFont="1" applyFill="1" applyBorder="1" applyAlignment="1">
      <alignment horizontal="center"/>
    </xf>
    <xf numFmtId="0" fontId="44" fillId="0" borderId="0" xfId="0" applyFont="1" applyFill="1" applyBorder="1" applyAlignment="1">
      <alignment horizontal="center"/>
    </xf>
    <xf numFmtId="0" fontId="44" fillId="0" borderId="33" xfId="0" applyFont="1" applyFill="1" applyBorder="1" applyAlignment="1">
      <alignment horizontal="left"/>
    </xf>
    <xf numFmtId="0" fontId="44" fillId="0" borderId="34" xfId="0" applyFont="1" applyFill="1" applyBorder="1" applyAlignment="1">
      <alignment horizontal="center"/>
    </xf>
    <xf numFmtId="0" fontId="44" fillId="0" borderId="63" xfId="0" applyFont="1" applyFill="1" applyBorder="1" applyAlignment="1">
      <alignment horizontal="center"/>
    </xf>
    <xf numFmtId="0" fontId="39" fillId="0" borderId="37" xfId="0" applyFont="1" applyFill="1" applyBorder="1"/>
    <xf numFmtId="0" fontId="39" fillId="0" borderId="41" xfId="0" applyFont="1" applyFill="1" applyBorder="1"/>
    <xf numFmtId="0" fontId="39" fillId="0" borderId="62" xfId="0" applyFont="1" applyFill="1" applyBorder="1"/>
    <xf numFmtId="0" fontId="39" fillId="0" borderId="11" xfId="0" applyFont="1" applyFill="1" applyBorder="1"/>
    <xf numFmtId="0" fontId="39" fillId="0" borderId="12" xfId="0" applyFont="1" applyFill="1" applyBorder="1"/>
    <xf numFmtId="0" fontId="39" fillId="0" borderId="0" xfId="0" applyFont="1" applyFill="1" applyBorder="1"/>
    <xf numFmtId="0" fontId="39" fillId="0" borderId="13" xfId="0" applyFont="1" applyFill="1" applyBorder="1"/>
    <xf numFmtId="0" fontId="38" fillId="0" borderId="14" xfId="0" applyFont="1" applyFill="1" applyBorder="1" applyAlignment="1" applyProtection="1">
      <alignment horizontal="left"/>
      <protection locked="0"/>
    </xf>
    <xf numFmtId="0" fontId="38" fillId="0" borderId="0" xfId="0" applyFont="1" applyFill="1" applyBorder="1" applyAlignment="1" applyProtection="1">
      <alignment horizontal="left"/>
      <protection locked="0"/>
    </xf>
    <xf numFmtId="0" fontId="39" fillId="0" borderId="34" xfId="0" applyFont="1" applyFill="1" applyBorder="1" applyAlignment="1" applyProtection="1">
      <alignment horizontal="left"/>
      <protection locked="0"/>
    </xf>
    <xf numFmtId="0" fontId="39" fillId="0" borderId="34" xfId="0" applyFont="1" applyFill="1" applyBorder="1"/>
    <xf numFmtId="0" fontId="42" fillId="0" borderId="0" xfId="0" applyFont="1" applyFill="1" applyBorder="1" applyAlignment="1" applyProtection="1">
      <alignment horizontal="center"/>
      <protection locked="0"/>
    </xf>
    <xf numFmtId="0" fontId="39" fillId="0" borderId="15" xfId="0" applyFont="1" applyFill="1" applyBorder="1"/>
    <xf numFmtId="0" fontId="38" fillId="0" borderId="14" xfId="0" applyFont="1" applyFill="1" applyBorder="1" applyProtection="1">
      <protection locked="0"/>
    </xf>
    <xf numFmtId="0" fontId="38" fillId="0" borderId="0" xfId="0" applyFont="1" applyFill="1" applyBorder="1"/>
    <xf numFmtId="0" fontId="39" fillId="0" borderId="15" xfId="0" applyFont="1" applyFill="1" applyBorder="1" applyAlignment="1" applyProtection="1">
      <alignment horizontal="center"/>
      <protection locked="0"/>
    </xf>
    <xf numFmtId="0" fontId="39" fillId="0" borderId="0" xfId="0" applyFont="1" applyFill="1" applyBorder="1" applyAlignment="1" applyProtection="1">
      <alignment horizontal="left"/>
      <protection locked="0"/>
    </xf>
    <xf numFmtId="0" fontId="39" fillId="0" borderId="0" xfId="0" applyFont="1" applyFill="1" applyBorder="1" applyAlignment="1" applyProtection="1">
      <alignment horizontal="center"/>
      <protection locked="0"/>
    </xf>
    <xf numFmtId="0" fontId="39" fillId="0" borderId="15" xfId="0" applyFont="1" applyFill="1" applyBorder="1" applyAlignment="1">
      <alignment horizontal="center"/>
    </xf>
    <xf numFmtId="0" fontId="39" fillId="0" borderId="0" xfId="0" applyFont="1" applyFill="1" applyBorder="1" applyAlignment="1">
      <alignment horizontal="left"/>
    </xf>
    <xf numFmtId="0" fontId="39" fillId="0" borderId="0" xfId="0" applyFont="1" applyFill="1" applyBorder="1" applyAlignment="1">
      <alignment horizontal="center"/>
    </xf>
    <xf numFmtId="0" fontId="39" fillId="0" borderId="16" xfId="0" applyFont="1" applyFill="1" applyBorder="1"/>
    <xf numFmtId="0" fontId="39" fillId="0" borderId="17" xfId="0" applyFont="1" applyFill="1" applyBorder="1" applyProtection="1">
      <protection locked="0"/>
    </xf>
    <xf numFmtId="0" fontId="39" fillId="0" borderId="18" xfId="0" applyFont="1" applyFill="1" applyBorder="1"/>
    <xf numFmtId="0" fontId="39" fillId="0" borderId="14" xfId="0" applyFont="1" applyFill="1" applyBorder="1"/>
    <xf numFmtId="0" fontId="39" fillId="0" borderId="66" xfId="0" applyFont="1" applyFill="1" applyBorder="1"/>
    <xf numFmtId="0" fontId="39" fillId="0" borderId="17" xfId="0" applyFont="1" applyFill="1" applyBorder="1"/>
    <xf numFmtId="172" fontId="39" fillId="0" borderId="21" xfId="35" applyFont="1" applyFill="1" applyBorder="1"/>
    <xf numFmtId="172" fontId="39" fillId="0" borderId="40" xfId="35" applyNumberFormat="1" applyFont="1" applyFill="1" applyBorder="1"/>
    <xf numFmtId="172" fontId="39" fillId="0" borderId="74" xfId="35" applyFont="1" applyFill="1" applyBorder="1"/>
    <xf numFmtId="172" fontId="39" fillId="0" borderId="27" xfId="0" applyNumberFormat="1" applyFont="1" applyFill="1" applyBorder="1"/>
    <xf numFmtId="0" fontId="42" fillId="0" borderId="28" xfId="0" applyFont="1" applyFill="1" applyBorder="1"/>
    <xf numFmtId="0" fontId="39" fillId="0" borderId="29" xfId="0" applyFont="1" applyFill="1" applyBorder="1"/>
    <xf numFmtId="0" fontId="39" fillId="0" borderId="61" xfId="0" applyFont="1" applyFill="1" applyBorder="1"/>
    <xf numFmtId="0" fontId="39" fillId="0" borderId="29" xfId="0" applyFont="1" applyFill="1" applyBorder="1" applyAlignment="1">
      <alignment horizontal="center"/>
    </xf>
    <xf numFmtId="2" fontId="39" fillId="0" borderId="21" xfId="0" applyNumberFormat="1" applyFont="1" applyFill="1" applyBorder="1"/>
    <xf numFmtId="0" fontId="39" fillId="0" borderId="24" xfId="0" applyFont="1" applyFill="1" applyBorder="1"/>
    <xf numFmtId="172" fontId="39" fillId="0" borderId="64" xfId="35" applyNumberFormat="1" applyFont="1" applyFill="1" applyBorder="1"/>
    <xf numFmtId="172" fontId="39" fillId="0" borderId="27" xfId="35" applyNumberFormat="1" applyFont="1" applyFill="1" applyBorder="1"/>
    <xf numFmtId="0" fontId="39" fillId="0" borderId="21" xfId="0" applyFont="1" applyFill="1" applyBorder="1"/>
    <xf numFmtId="0" fontId="39" fillId="0" borderId="40" xfId="0" applyFont="1" applyFill="1" applyBorder="1"/>
    <xf numFmtId="0" fontId="39" fillId="0" borderId="74" xfId="0" applyFont="1" applyFill="1" applyBorder="1"/>
    <xf numFmtId="0" fontId="39" fillId="0" borderId="55" xfId="0" applyFont="1" applyFill="1" applyBorder="1"/>
    <xf numFmtId="0" fontId="39" fillId="0" borderId="27" xfId="0" applyFont="1" applyFill="1" applyBorder="1"/>
    <xf numFmtId="0" fontId="39" fillId="0" borderId="28" xfId="0" applyFont="1" applyFill="1" applyBorder="1" applyAlignment="1">
      <alignment horizontal="left"/>
    </xf>
    <xf numFmtId="0" fontId="39" fillId="0" borderId="29" xfId="0" applyFont="1" applyFill="1" applyBorder="1" applyAlignment="1">
      <alignment horizontal="left"/>
    </xf>
    <xf numFmtId="172" fontId="39" fillId="0" borderId="21" xfId="35" applyNumberFormat="1" applyFont="1" applyFill="1" applyBorder="1" applyAlignment="1">
      <alignment horizontal="center"/>
    </xf>
    <xf numFmtId="0" fontId="39" fillId="0" borderId="29" xfId="98" applyNumberFormat="1" applyFont="1" applyFill="1" applyBorder="1" applyAlignment="1">
      <alignment horizontal="center"/>
    </xf>
    <xf numFmtId="168" fontId="39" fillId="0" borderId="35" xfId="0" applyNumberFormat="1" applyFont="1" applyFill="1" applyBorder="1" applyAlignment="1">
      <alignment horizontal="center" wrapText="1"/>
    </xf>
    <xf numFmtId="172" fontId="39" fillId="0" borderId="75" xfId="35" applyFont="1" applyFill="1" applyBorder="1" applyAlignment="1">
      <alignment horizontal="center" wrapText="1"/>
    </xf>
    <xf numFmtId="172" fontId="39" fillId="0" borderId="55" xfId="35" applyFont="1" applyFill="1" applyBorder="1"/>
    <xf numFmtId="172" fontId="39" fillId="0" borderId="27" xfId="35" applyFont="1" applyFill="1" applyBorder="1"/>
    <xf numFmtId="166" fontId="39" fillId="0" borderId="29" xfId="35" applyNumberFormat="1" applyFont="1" applyFill="1" applyBorder="1"/>
    <xf numFmtId="9" fontId="39" fillId="0" borderId="30" xfId="98" applyFont="1" applyFill="1" applyBorder="1"/>
    <xf numFmtId="166" fontId="39" fillId="0" borderId="40" xfId="35" applyNumberFormat="1" applyFont="1" applyFill="1" applyBorder="1"/>
    <xf numFmtId="0" fontId="39" fillId="0" borderId="65" xfId="0" applyFont="1" applyFill="1" applyBorder="1" applyAlignment="1"/>
    <xf numFmtId="0" fontId="39" fillId="0" borderId="66" xfId="0" applyFont="1" applyFill="1" applyBorder="1" applyAlignment="1"/>
    <xf numFmtId="0" fontId="39" fillId="0" borderId="37" xfId="0" applyFont="1" applyFill="1" applyBorder="1" applyAlignment="1"/>
    <xf numFmtId="0" fontId="39" fillId="0" borderId="41" xfId="0" applyFont="1" applyFill="1" applyBorder="1" applyAlignment="1"/>
    <xf numFmtId="166" fontId="39" fillId="0" borderId="41" xfId="35" applyNumberFormat="1" applyFont="1" applyFill="1" applyBorder="1"/>
    <xf numFmtId="9" fontId="39" fillId="0" borderId="38" xfId="98" applyFont="1" applyFill="1" applyBorder="1"/>
    <xf numFmtId="166" fontId="39" fillId="0" borderId="27" xfId="0" applyNumberFormat="1" applyFont="1" applyFill="1" applyBorder="1"/>
    <xf numFmtId="0" fontId="41" fillId="0" borderId="14" xfId="0" applyFont="1" applyFill="1" applyBorder="1"/>
    <xf numFmtId="0" fontId="41" fillId="0" borderId="0" xfId="0" applyFont="1" applyFill="1" applyBorder="1"/>
    <xf numFmtId="0" fontId="41" fillId="0" borderId="15" xfId="0" applyFont="1" applyFill="1" applyBorder="1"/>
    <xf numFmtId="0" fontId="39" fillId="0" borderId="29" xfId="0" applyFont="1" applyFill="1" applyBorder="1" applyAlignment="1">
      <alignment horizontal="center"/>
    </xf>
    <xf numFmtId="0" fontId="39" fillId="0" borderId="14" xfId="0" applyFont="1" applyFill="1" applyBorder="1" applyAlignment="1">
      <alignment horizontal="left"/>
    </xf>
    <xf numFmtId="0" fontId="48" fillId="0" borderId="0" xfId="0" applyFont="1" applyFill="1" applyBorder="1" applyAlignment="1">
      <alignment horizontal="left"/>
    </xf>
    <xf numFmtId="0" fontId="39" fillId="0" borderId="21" xfId="74" applyFont="1" applyFill="1" applyBorder="1" applyAlignment="1">
      <alignment horizontal="center" vertical="center"/>
    </xf>
    <xf numFmtId="4" fontId="39" fillId="0" borderId="21" xfId="74" applyNumberFormat="1" applyFont="1" applyFill="1" applyBorder="1" applyAlignment="1">
      <alignment vertical="center"/>
    </xf>
    <xf numFmtId="3" fontId="39" fillId="0" borderId="21" xfId="0" applyNumberFormat="1" applyFont="1" applyFill="1" applyBorder="1" applyAlignment="1">
      <alignment horizontal="center"/>
    </xf>
    <xf numFmtId="4" fontId="39" fillId="0" borderId="21" xfId="0" applyNumberFormat="1" applyFont="1" applyFill="1" applyBorder="1"/>
    <xf numFmtId="2" fontId="39" fillId="0" borderId="29" xfId="0" applyNumberFormat="1" applyFont="1" applyFill="1" applyBorder="1"/>
    <xf numFmtId="179" fontId="39" fillId="0" borderId="21" xfId="0" applyNumberFormat="1" applyFont="1" applyFill="1" applyBorder="1"/>
    <xf numFmtId="172" fontId="39" fillId="0" borderId="40" xfId="35" applyFont="1" applyFill="1" applyBorder="1"/>
    <xf numFmtId="2" fontId="39" fillId="0" borderId="74" xfId="0" applyNumberFormat="1" applyFont="1" applyFill="1" applyBorder="1" applyAlignment="1">
      <alignment horizontal="center"/>
    </xf>
    <xf numFmtId="2" fontId="39" fillId="0" borderId="17" xfId="0" applyNumberFormat="1" applyFont="1" applyFill="1" applyBorder="1"/>
    <xf numFmtId="0" fontId="41" fillId="0" borderId="14" xfId="0" applyFont="1" applyFill="1" applyBorder="1" applyAlignment="1">
      <alignment horizontal="left"/>
    </xf>
    <xf numFmtId="0" fontId="39" fillId="0" borderId="21" xfId="74" applyFont="1" applyFill="1" applyBorder="1" applyAlignment="1">
      <alignment horizontal="center" vertical="center" wrapText="1"/>
    </xf>
    <xf numFmtId="4" fontId="39" fillId="0" borderId="21" xfId="74" applyNumberFormat="1" applyFont="1" applyFill="1" applyBorder="1" applyAlignment="1">
      <alignment vertical="center" wrapText="1"/>
    </xf>
    <xf numFmtId="177" fontId="39" fillId="0" borderId="21" xfId="0" applyNumberFormat="1" applyFont="1" applyFill="1" applyBorder="1"/>
    <xf numFmtId="3" fontId="39" fillId="0" borderId="24" xfId="0" applyNumberFormat="1" applyFont="1" applyFill="1" applyBorder="1" applyAlignment="1">
      <alignment horizontal="center"/>
    </xf>
    <xf numFmtId="4" fontId="39" fillId="0" borderId="24" xfId="0" applyNumberFormat="1" applyFont="1" applyFill="1" applyBorder="1"/>
    <xf numFmtId="173" fontId="39" fillId="0" borderId="21" xfId="0" applyNumberFormat="1" applyFont="1" applyFill="1" applyBorder="1"/>
    <xf numFmtId="3" fontId="39" fillId="0" borderId="35" xfId="0" applyNumberFormat="1" applyFont="1" applyFill="1" applyBorder="1" applyAlignment="1">
      <alignment horizontal="center"/>
    </xf>
    <xf numFmtId="4" fontId="39" fillId="0" borderId="35" xfId="0" applyNumberFormat="1" applyFont="1" applyFill="1" applyBorder="1"/>
    <xf numFmtId="3" fontId="39" fillId="0" borderId="23" xfId="0" applyNumberFormat="1" applyFont="1" applyFill="1" applyBorder="1" applyAlignment="1">
      <alignment horizontal="center"/>
    </xf>
    <xf numFmtId="4" fontId="39" fillId="0" borderId="23" xfId="0" applyNumberFormat="1" applyFont="1" applyFill="1" applyBorder="1"/>
    <xf numFmtId="0" fontId="39" fillId="0" borderId="28" xfId="0" applyFont="1" applyFill="1" applyBorder="1" applyAlignment="1">
      <alignment horizontal="left"/>
    </xf>
    <xf numFmtId="0" fontId="39" fillId="0" borderId="29" xfId="0" applyFont="1" applyFill="1" applyBorder="1" applyAlignment="1">
      <alignment horizontal="left"/>
    </xf>
    <xf numFmtId="0" fontId="44" fillId="0" borderId="21" xfId="93" applyFont="1" applyFill="1" applyBorder="1" applyAlignment="1">
      <alignment horizontal="center"/>
    </xf>
    <xf numFmtId="172" fontId="44" fillId="0" borderId="21" xfId="35" applyNumberFormat="1" applyFont="1" applyFill="1" applyBorder="1" applyAlignment="1"/>
    <xf numFmtId="184" fontId="44" fillId="0" borderId="21" xfId="35" applyNumberFormat="1" applyFont="1" applyFill="1" applyBorder="1" applyAlignment="1"/>
    <xf numFmtId="3" fontId="39" fillId="0" borderId="21" xfId="0" applyNumberFormat="1" applyFont="1" applyFill="1" applyBorder="1"/>
    <xf numFmtId="174" fontId="39" fillId="0" borderId="23" xfId="0" applyNumberFormat="1" applyFont="1" applyFill="1" applyBorder="1"/>
    <xf numFmtId="0" fontId="39" fillId="0" borderId="76" xfId="0" applyFont="1" applyFill="1" applyBorder="1" applyAlignment="1"/>
    <xf numFmtId="0" fontId="39" fillId="0" borderId="31" xfId="0" applyFont="1" applyFill="1" applyBorder="1" applyAlignment="1"/>
    <xf numFmtId="2" fontId="39" fillId="0" borderId="21" xfId="0" applyNumberFormat="1" applyFont="1" applyFill="1" applyBorder="1" applyAlignment="1">
      <alignment horizontal="center"/>
    </xf>
    <xf numFmtId="173" fontId="39" fillId="0" borderId="23" xfId="0" applyNumberFormat="1" applyFont="1" applyFill="1" applyBorder="1"/>
    <xf numFmtId="0" fontId="39" fillId="0" borderId="22" xfId="0" applyFont="1" applyFill="1" applyBorder="1" applyAlignment="1"/>
    <xf numFmtId="0" fontId="39" fillId="0" borderId="30" xfId="0" applyFont="1" applyFill="1" applyBorder="1" applyAlignment="1"/>
    <xf numFmtId="0" fontId="39" fillId="0" borderId="28" xfId="0" applyFont="1" applyFill="1" applyBorder="1" applyAlignment="1"/>
    <xf numFmtId="0" fontId="39" fillId="0" borderId="29" xfId="0" applyFont="1" applyFill="1" applyBorder="1" applyAlignment="1"/>
    <xf numFmtId="186" fontId="39" fillId="0" borderId="21" xfId="35" applyNumberFormat="1" applyFont="1" applyFill="1" applyBorder="1"/>
    <xf numFmtId="2" fontId="39" fillId="0" borderId="74" xfId="0" applyNumberFormat="1" applyFont="1" applyFill="1" applyBorder="1"/>
    <xf numFmtId="173" fontId="39" fillId="0" borderId="24" xfId="75" applyNumberFormat="1" applyFont="1" applyFill="1" applyBorder="1"/>
    <xf numFmtId="3" fontId="39" fillId="0" borderId="21" xfId="75" applyNumberFormat="1" applyFont="1" applyFill="1" applyBorder="1" applyAlignment="1">
      <alignment horizontal="center"/>
    </xf>
    <xf numFmtId="0" fontId="39" fillId="0" borderId="0" xfId="0" applyFont="1" applyFill="1" applyProtection="1"/>
    <xf numFmtId="0" fontId="49" fillId="0" borderId="0" xfId="0" applyFont="1" applyFill="1" applyProtection="1"/>
    <xf numFmtId="0" fontId="39" fillId="0" borderId="30" xfId="0" applyFont="1" applyFill="1" applyBorder="1" applyAlignment="1">
      <alignment horizontal="left"/>
    </xf>
    <xf numFmtId="0" fontId="39" fillId="0" borderId="66" xfId="0" applyFont="1" applyFill="1" applyBorder="1" applyAlignment="1">
      <alignment horizontal="left"/>
    </xf>
    <xf numFmtId="0" fontId="39" fillId="0" borderId="76" xfId="0" applyFont="1" applyFill="1" applyBorder="1" applyAlignment="1">
      <alignment horizontal="left"/>
    </xf>
    <xf numFmtId="2" fontId="39" fillId="0" borderId="29" xfId="0" applyNumberFormat="1" applyFont="1" applyFill="1" applyBorder="1" applyAlignment="1">
      <alignment horizontal="center"/>
    </xf>
    <xf numFmtId="172" fontId="39" fillId="0" borderId="55" xfId="35" applyNumberFormat="1" applyFont="1" applyFill="1" applyBorder="1"/>
    <xf numFmtId="0" fontId="42" fillId="24" borderId="67" xfId="0" applyFont="1" applyFill="1" applyBorder="1" applyAlignment="1">
      <alignment horizontal="center"/>
    </xf>
    <xf numFmtId="0" fontId="39" fillId="24" borderId="60" xfId="0" applyFont="1" applyFill="1" applyBorder="1" applyAlignment="1">
      <alignment horizontal="center"/>
    </xf>
    <xf numFmtId="0" fontId="39" fillId="24" borderId="60" xfId="0" applyFont="1" applyFill="1" applyBorder="1" applyAlignment="1"/>
    <xf numFmtId="0" fontId="42" fillId="24" borderId="39" xfId="0" applyFont="1" applyFill="1" applyBorder="1" applyAlignment="1">
      <alignment horizontal="center"/>
    </xf>
    <xf numFmtId="0" fontId="42" fillId="24" borderId="46" xfId="0" applyFont="1" applyFill="1" applyBorder="1" applyAlignment="1">
      <alignment horizontal="center"/>
    </xf>
    <xf numFmtId="0" fontId="42" fillId="24" borderId="73" xfId="0" applyFont="1" applyFill="1" applyBorder="1" applyAlignment="1">
      <alignment horizontal="center"/>
    </xf>
    <xf numFmtId="0" fontId="42" fillId="24" borderId="19" xfId="0" applyFont="1" applyFill="1" applyBorder="1" applyAlignment="1">
      <alignment horizontal="center"/>
    </xf>
    <xf numFmtId="0" fontId="42" fillId="24" borderId="39" xfId="0" applyFont="1" applyFill="1" applyBorder="1" applyAlignment="1"/>
    <xf numFmtId="0" fontId="42" fillId="24" borderId="19" xfId="0" applyFont="1" applyFill="1" applyBorder="1" applyAlignment="1">
      <alignment horizontal="center" wrapText="1"/>
    </xf>
    <xf numFmtId="0" fontId="42" fillId="24" borderId="39" xfId="0" applyFont="1" applyFill="1" applyBorder="1" applyAlignment="1">
      <alignment horizontal="center" wrapText="1"/>
    </xf>
    <xf numFmtId="0" fontId="42" fillId="24" borderId="46" xfId="0" applyFont="1" applyFill="1" applyBorder="1" applyAlignment="1">
      <alignment horizontal="center" wrapText="1"/>
    </xf>
    <xf numFmtId="168" fontId="39" fillId="24" borderId="27" xfId="0" applyNumberFormat="1" applyFont="1" applyFill="1" applyBorder="1"/>
    <xf numFmtId="0" fontId="42" fillId="24" borderId="20" xfId="0" applyFont="1" applyFill="1" applyBorder="1" applyAlignment="1">
      <alignment horizontal="center" wrapText="1"/>
    </xf>
    <xf numFmtId="166" fontId="39" fillId="24" borderId="27" xfId="0" applyNumberFormat="1" applyFont="1" applyFill="1" applyBorder="1"/>
    <xf numFmtId="0" fontId="42" fillId="24" borderId="67" xfId="0" applyFont="1" applyFill="1" applyBorder="1" applyAlignment="1">
      <alignment horizontal="center" vertical="center"/>
    </xf>
    <xf numFmtId="0" fontId="39" fillId="24" borderId="60" xfId="0" applyFont="1" applyFill="1" applyBorder="1" applyAlignment="1">
      <alignment horizontal="center" vertical="center"/>
    </xf>
    <xf numFmtId="4" fontId="39" fillId="24" borderId="60" xfId="0" applyNumberFormat="1" applyFont="1" applyFill="1" applyBorder="1" applyAlignment="1">
      <alignment horizontal="center" vertical="center"/>
    </xf>
    <xf numFmtId="9" fontId="39" fillId="0" borderId="21" xfId="98" applyNumberFormat="1" applyFont="1" applyFill="1" applyBorder="1" applyAlignment="1">
      <alignment horizontal="center"/>
    </xf>
    <xf numFmtId="0" fontId="42" fillId="24" borderId="73" xfId="0" applyFont="1" applyFill="1" applyBorder="1" applyAlignment="1">
      <alignment horizontal="center"/>
    </xf>
    <xf numFmtId="0" fontId="39" fillId="0" borderId="37" xfId="0" applyFont="1" applyFill="1" applyBorder="1" applyAlignment="1"/>
    <xf numFmtId="0" fontId="39" fillId="0" borderId="41" xfId="0" applyFont="1" applyFill="1" applyBorder="1" applyAlignment="1"/>
    <xf numFmtId="0" fontId="42" fillId="24" borderId="19" xfId="0" applyFont="1" applyFill="1" applyBorder="1" applyAlignment="1">
      <alignment horizontal="center"/>
    </xf>
    <xf numFmtId="0" fontId="42" fillId="24" borderId="20" xfId="0" applyFont="1" applyFill="1" applyBorder="1" applyAlignment="1">
      <alignment horizontal="center" wrapText="1"/>
    </xf>
    <xf numFmtId="0" fontId="39" fillId="0" borderId="28" xfId="0" applyFont="1" applyFill="1" applyBorder="1" applyAlignment="1">
      <alignment horizontal="left"/>
    </xf>
    <xf numFmtId="0" fontId="39" fillId="0" borderId="29" xfId="0" applyFont="1" applyFill="1" applyBorder="1" applyAlignment="1">
      <alignment horizontal="left"/>
    </xf>
    <xf numFmtId="0" fontId="39" fillId="0" borderId="16" xfId="74" applyFont="1" applyFill="1" applyBorder="1" applyAlignment="1" applyProtection="1">
      <alignment horizontal="center"/>
    </xf>
    <xf numFmtId="0" fontId="40" fillId="0" borderId="17" xfId="74" applyFont="1" applyFill="1" applyBorder="1" applyAlignment="1" applyProtection="1">
      <alignment vertical="center" wrapText="1"/>
    </xf>
    <xf numFmtId="0" fontId="39" fillId="0" borderId="18" xfId="74" applyFont="1" applyFill="1" applyBorder="1" applyProtection="1"/>
    <xf numFmtId="4" fontId="39" fillId="24" borderId="60" xfId="0" applyNumberFormat="1" applyFont="1" applyFill="1" applyBorder="1" applyAlignment="1"/>
    <xf numFmtId="4" fontId="39" fillId="24" borderId="60" xfId="0" applyNumberFormat="1" applyFont="1" applyFill="1" applyBorder="1" applyAlignment="1">
      <alignment horizontal="center"/>
    </xf>
    <xf numFmtId="2" fontId="39" fillId="24" borderId="60" xfId="0" applyNumberFormat="1" applyFont="1" applyFill="1" applyBorder="1" applyAlignment="1">
      <alignment horizontal="center"/>
    </xf>
    <xf numFmtId="166" fontId="39" fillId="0" borderId="0" xfId="0" applyNumberFormat="1" applyFont="1" applyFill="1"/>
    <xf numFmtId="0" fontId="42" fillId="24" borderId="19" xfId="0" applyFont="1" applyFill="1" applyBorder="1" applyAlignment="1">
      <alignment horizontal="center"/>
    </xf>
    <xf numFmtId="0" fontId="42" fillId="24" borderId="20" xfId="0" applyFont="1" applyFill="1" applyBorder="1" applyAlignment="1">
      <alignment horizontal="center" wrapText="1"/>
    </xf>
    <xf numFmtId="0" fontId="39" fillId="0" borderId="37" xfId="0" applyFont="1" applyFill="1" applyBorder="1" applyAlignment="1"/>
    <xf numFmtId="0" fontId="39" fillId="0" borderId="41" xfId="0" applyFont="1" applyFill="1" applyBorder="1" applyAlignment="1"/>
    <xf numFmtId="0" fontId="39" fillId="0" borderId="65" xfId="0" applyFont="1" applyFill="1" applyBorder="1" applyAlignment="1">
      <alignment horizontal="center"/>
    </xf>
    <xf numFmtId="0" fontId="39" fillId="0" borderId="66" xfId="0" applyFont="1" applyFill="1" applyBorder="1" applyAlignment="1">
      <alignment horizontal="center"/>
    </xf>
    <xf numFmtId="0" fontId="39" fillId="0" borderId="29" xfId="0" applyFont="1" applyFill="1" applyBorder="1" applyAlignment="1">
      <alignment horizontal="center"/>
    </xf>
    <xf numFmtId="0" fontId="42" fillId="24" borderId="73" xfId="0" applyFont="1" applyFill="1" applyBorder="1" applyAlignment="1">
      <alignment horizontal="center"/>
    </xf>
    <xf numFmtId="0" fontId="38" fillId="0" borderId="0" xfId="0" applyFont="1" applyFill="1" applyBorder="1" applyAlignment="1">
      <alignment horizontal="center"/>
    </xf>
    <xf numFmtId="0" fontId="44" fillId="0" borderId="0" xfId="0" applyFont="1" applyFill="1" applyBorder="1" applyAlignment="1">
      <alignment horizontal="center"/>
    </xf>
    <xf numFmtId="0" fontId="44" fillId="0" borderId="15" xfId="0" applyFont="1" applyFill="1" applyBorder="1" applyAlignment="1">
      <alignment horizontal="center"/>
    </xf>
    <xf numFmtId="0" fontId="39" fillId="0" borderId="0" xfId="0" applyFont="1" applyFill="1" applyBorder="1" applyAlignment="1" applyProtection="1">
      <alignment horizontal="left"/>
      <protection locked="0"/>
    </xf>
    <xf numFmtId="0" fontId="42" fillId="0" borderId="0" xfId="0" applyFont="1" applyFill="1" applyBorder="1" applyAlignment="1" applyProtection="1">
      <alignment horizontal="center"/>
      <protection locked="0"/>
    </xf>
    <xf numFmtId="2" fontId="39" fillId="0" borderId="23" xfId="0" applyNumberFormat="1" applyFont="1" applyFill="1" applyBorder="1"/>
    <xf numFmtId="0" fontId="39" fillId="0" borderId="37" xfId="0" applyFont="1" applyFill="1" applyBorder="1" applyAlignment="1"/>
    <xf numFmtId="0" fontId="39" fillId="0" borderId="41" xfId="0" applyFont="1" applyFill="1" applyBorder="1" applyAlignment="1"/>
    <xf numFmtId="0" fontId="42" fillId="24" borderId="19" xfId="0" applyFont="1" applyFill="1" applyBorder="1" applyAlignment="1">
      <alignment horizontal="center"/>
    </xf>
    <xf numFmtId="0" fontId="39" fillId="0" borderId="0" xfId="0" applyFont="1" applyFill="1" applyBorder="1" applyAlignment="1" applyProtection="1">
      <alignment horizontal="left"/>
      <protection locked="0"/>
    </xf>
    <xf numFmtId="0" fontId="38" fillId="0" borderId="0" xfId="0" applyFont="1" applyFill="1" applyBorder="1" applyAlignment="1">
      <alignment horizontal="center"/>
    </xf>
    <xf numFmtId="0" fontId="42" fillId="24" borderId="73" xfId="0" applyFont="1" applyFill="1" applyBorder="1" applyAlignment="1">
      <alignment horizontal="center"/>
    </xf>
    <xf numFmtId="0" fontId="44" fillId="0" borderId="0" xfId="0" applyFont="1" applyFill="1" applyBorder="1" applyAlignment="1">
      <alignment horizontal="center"/>
    </xf>
    <xf numFmtId="0" fontId="44" fillId="0" borderId="15" xfId="0" applyFont="1" applyFill="1" applyBorder="1" applyAlignment="1">
      <alignment horizontal="center"/>
    </xf>
    <xf numFmtId="0" fontId="39" fillId="0" borderId="65" xfId="0" applyFont="1" applyFill="1" applyBorder="1" applyAlignment="1">
      <alignment horizontal="center"/>
    </xf>
    <xf numFmtId="0" fontId="42" fillId="24" borderId="20" xfId="0" applyFont="1" applyFill="1" applyBorder="1" applyAlignment="1">
      <alignment horizontal="center" wrapText="1"/>
    </xf>
    <xf numFmtId="0" fontId="39" fillId="0" borderId="28" xfId="0" applyFont="1" applyFill="1" applyBorder="1" applyAlignment="1">
      <alignment horizontal="left"/>
    </xf>
    <xf numFmtId="0" fontId="39" fillId="0" borderId="29" xfId="0" applyFont="1" applyFill="1" applyBorder="1" applyAlignment="1">
      <alignment horizontal="left"/>
    </xf>
    <xf numFmtId="0" fontId="42" fillId="0" borderId="0" xfId="0" applyFont="1" applyFill="1" applyBorder="1" applyAlignment="1" applyProtection="1">
      <alignment horizontal="center"/>
      <protection locked="0"/>
    </xf>
    <xf numFmtId="0" fontId="42" fillId="24" borderId="19" xfId="0" applyFont="1" applyFill="1" applyBorder="1" applyAlignment="1">
      <alignment horizontal="center"/>
    </xf>
    <xf numFmtId="0" fontId="42" fillId="24" borderId="20" xfId="0" applyFont="1" applyFill="1" applyBorder="1" applyAlignment="1">
      <alignment horizontal="center" wrapText="1"/>
    </xf>
    <xf numFmtId="0" fontId="39" fillId="0" borderId="37" xfId="0" applyFont="1" applyFill="1" applyBorder="1" applyAlignment="1"/>
    <xf numFmtId="0" fontId="39" fillId="0" borderId="41" xfId="0" applyFont="1" applyFill="1" applyBorder="1" applyAlignment="1"/>
    <xf numFmtId="0" fontId="39" fillId="0" borderId="65" xfId="0" applyFont="1" applyFill="1" applyBorder="1" applyAlignment="1">
      <alignment horizontal="center"/>
    </xf>
    <xf numFmtId="0" fontId="39" fillId="0" borderId="28" xfId="0" applyFont="1" applyFill="1" applyBorder="1" applyAlignment="1"/>
    <xf numFmtId="0" fontId="39" fillId="0" borderId="29" xfId="0" applyFont="1" applyFill="1" applyBorder="1" applyAlignment="1"/>
    <xf numFmtId="0" fontId="42" fillId="24" borderId="73" xfId="0" applyFont="1" applyFill="1" applyBorder="1" applyAlignment="1">
      <alignment horizontal="center"/>
    </xf>
    <xf numFmtId="0" fontId="39" fillId="0" borderId="30" xfId="0" applyFont="1" applyFill="1" applyBorder="1" applyAlignment="1"/>
    <xf numFmtId="0" fontId="38" fillId="0" borderId="0" xfId="0" applyFont="1" applyFill="1" applyBorder="1" applyAlignment="1">
      <alignment horizontal="center"/>
    </xf>
    <xf numFmtId="0" fontId="44" fillId="0" borderId="0" xfId="0" applyFont="1" applyFill="1" applyBorder="1" applyAlignment="1">
      <alignment horizontal="center"/>
    </xf>
    <xf numFmtId="0" fontId="44" fillId="0" borderId="15" xfId="0" applyFont="1" applyFill="1" applyBorder="1" applyAlignment="1">
      <alignment horizontal="center"/>
    </xf>
    <xf numFmtId="0" fontId="39" fillId="0" borderId="0" xfId="0" applyFont="1" applyFill="1" applyBorder="1" applyAlignment="1" applyProtection="1">
      <alignment horizontal="left"/>
      <protection locked="0"/>
    </xf>
    <xf numFmtId="0" fontId="39" fillId="0" borderId="22" xfId="0" applyFont="1" applyFill="1" applyBorder="1" applyAlignment="1"/>
    <xf numFmtId="0" fontId="39" fillId="0" borderId="28" xfId="0" applyFont="1" applyFill="1" applyBorder="1" applyAlignment="1">
      <alignment horizontal="left"/>
    </xf>
    <xf numFmtId="0" fontId="39" fillId="0" borderId="29" xfId="0" applyFont="1" applyFill="1" applyBorder="1" applyAlignment="1">
      <alignment horizontal="left"/>
    </xf>
    <xf numFmtId="0" fontId="39" fillId="0" borderId="30" xfId="0" applyFont="1" applyFill="1" applyBorder="1" applyAlignment="1">
      <alignment horizontal="left"/>
    </xf>
    <xf numFmtId="0" fontId="42" fillId="0" borderId="0" xfId="0" applyFont="1" applyFill="1" applyBorder="1" applyAlignment="1" applyProtection="1">
      <alignment horizontal="center"/>
      <protection locked="0"/>
    </xf>
    <xf numFmtId="0" fontId="42" fillId="24" borderId="19" xfId="0" applyFont="1" applyFill="1" applyBorder="1" applyAlignment="1">
      <alignment horizontal="center"/>
    </xf>
    <xf numFmtId="0" fontId="42" fillId="24" borderId="20" xfId="0" applyFont="1" applyFill="1" applyBorder="1" applyAlignment="1">
      <alignment horizontal="center" wrapText="1"/>
    </xf>
    <xf numFmtId="0" fontId="39" fillId="0" borderId="37" xfId="0" applyFont="1" applyFill="1" applyBorder="1" applyAlignment="1"/>
    <xf numFmtId="0" fontId="39" fillId="0" borderId="41" xfId="0" applyFont="1" applyFill="1" applyBorder="1" applyAlignment="1"/>
    <xf numFmtId="0" fontId="39" fillId="0" borderId="65" xfId="0" applyFont="1" applyFill="1" applyBorder="1" applyAlignment="1">
      <alignment horizontal="center"/>
    </xf>
    <xf numFmtId="0" fontId="42" fillId="24" borderId="73" xfId="0" applyFont="1" applyFill="1" applyBorder="1" applyAlignment="1">
      <alignment horizontal="center"/>
    </xf>
    <xf numFmtId="0" fontId="38" fillId="0" borderId="0" xfId="0" applyFont="1" applyFill="1" applyBorder="1" applyAlignment="1">
      <alignment horizontal="center"/>
    </xf>
    <xf numFmtId="0" fontId="44" fillId="0" borderId="0" xfId="0" applyFont="1" applyFill="1" applyBorder="1" applyAlignment="1">
      <alignment horizontal="center"/>
    </xf>
    <xf numFmtId="0" fontId="44" fillId="0" borderId="15" xfId="0" applyFont="1" applyFill="1" applyBorder="1" applyAlignment="1">
      <alignment horizontal="center"/>
    </xf>
    <xf numFmtId="0" fontId="39" fillId="0" borderId="0" xfId="0" applyFont="1" applyFill="1" applyBorder="1" applyAlignment="1" applyProtection="1">
      <alignment horizontal="left"/>
      <protection locked="0"/>
    </xf>
    <xf numFmtId="0" fontId="39" fillId="0" borderId="28" xfId="0" applyFont="1" applyFill="1" applyBorder="1" applyAlignment="1">
      <alignment horizontal="left"/>
    </xf>
    <xf numFmtId="0" fontId="39" fillId="0" borderId="29" xfId="0" applyFont="1" applyFill="1" applyBorder="1" applyAlignment="1">
      <alignment horizontal="left"/>
    </xf>
    <xf numFmtId="0" fontId="42" fillId="0" borderId="0" xfId="0" applyFont="1" applyFill="1" applyBorder="1" applyAlignment="1" applyProtection="1">
      <alignment horizontal="center"/>
      <protection locked="0"/>
    </xf>
    <xf numFmtId="0" fontId="42" fillId="24" borderId="19" xfId="0" applyFont="1" applyFill="1" applyBorder="1" applyAlignment="1">
      <alignment horizontal="center"/>
    </xf>
    <xf numFmtId="0" fontId="42" fillId="24" borderId="20" xfId="0" applyFont="1" applyFill="1" applyBorder="1" applyAlignment="1">
      <alignment horizontal="center" wrapText="1"/>
    </xf>
    <xf numFmtId="0" fontId="39" fillId="0" borderId="37" xfId="0" applyFont="1" applyFill="1" applyBorder="1" applyAlignment="1"/>
    <xf numFmtId="0" fontId="39" fillId="0" borderId="41" xfId="0" applyFont="1" applyFill="1" applyBorder="1" applyAlignment="1"/>
    <xf numFmtId="0" fontId="39" fillId="0" borderId="65" xfId="0" applyFont="1" applyFill="1" applyBorder="1" applyAlignment="1">
      <alignment horizontal="center"/>
    </xf>
    <xf numFmtId="0" fontId="39" fillId="0" borderId="29" xfId="0" applyFont="1" applyFill="1" applyBorder="1" applyAlignment="1">
      <alignment horizontal="center"/>
    </xf>
    <xf numFmtId="0" fontId="42" fillId="24" borderId="73" xfId="0" applyFont="1" applyFill="1" applyBorder="1" applyAlignment="1">
      <alignment horizontal="center"/>
    </xf>
    <xf numFmtId="0" fontId="38" fillId="0" borderId="0" xfId="0" applyFont="1" applyFill="1" applyBorder="1" applyAlignment="1">
      <alignment horizontal="center"/>
    </xf>
    <xf numFmtId="0" fontId="44" fillId="0" borderId="0" xfId="0" applyFont="1" applyFill="1" applyBorder="1" applyAlignment="1">
      <alignment horizontal="center"/>
    </xf>
    <xf numFmtId="0" fontId="44" fillId="0" borderId="15" xfId="0" applyFont="1" applyFill="1" applyBorder="1" applyAlignment="1">
      <alignment horizontal="center"/>
    </xf>
    <xf numFmtId="0" fontId="39" fillId="0" borderId="0" xfId="0" applyFont="1" applyFill="1" applyBorder="1" applyAlignment="1" applyProtection="1">
      <alignment horizontal="left"/>
      <protection locked="0"/>
    </xf>
    <xf numFmtId="0" fontId="39" fillId="0" borderId="28" xfId="0" applyFont="1" applyFill="1" applyBorder="1" applyAlignment="1">
      <alignment horizontal="left"/>
    </xf>
    <xf numFmtId="0" fontId="39" fillId="0" borderId="29" xfId="0" applyFont="1" applyFill="1" applyBorder="1" applyAlignment="1">
      <alignment horizontal="left"/>
    </xf>
    <xf numFmtId="0" fontId="39" fillId="0" borderId="30" xfId="0" applyFont="1" applyFill="1" applyBorder="1" applyAlignment="1">
      <alignment horizontal="left"/>
    </xf>
    <xf numFmtId="0" fontId="42" fillId="0" borderId="0" xfId="0" applyFont="1" applyFill="1" applyBorder="1" applyAlignment="1" applyProtection="1">
      <alignment horizontal="center"/>
      <protection locked="0"/>
    </xf>
    <xf numFmtId="0" fontId="37" fillId="0" borderId="24" xfId="129" applyFont="1" applyFill="1" applyBorder="1" applyAlignment="1" applyProtection="1">
      <alignment horizontal="center" vertical="center" wrapText="1"/>
    </xf>
    <xf numFmtId="0" fontId="37" fillId="24" borderId="59" xfId="74" applyFont="1" applyFill="1" applyBorder="1" applyAlignment="1" applyProtection="1">
      <alignment vertical="center"/>
    </xf>
    <xf numFmtId="0" fontId="37" fillId="24" borderId="68" xfId="74" applyFont="1" applyFill="1" applyBorder="1" applyAlignment="1" applyProtection="1">
      <alignment vertical="center"/>
    </xf>
    <xf numFmtId="0" fontId="37" fillId="24" borderId="69" xfId="74" applyFont="1" applyFill="1" applyBorder="1" applyAlignment="1" applyProtection="1">
      <alignment vertical="center"/>
    </xf>
    <xf numFmtId="0" fontId="49" fillId="0" borderId="44" xfId="74" applyFont="1" applyFill="1" applyBorder="1" applyAlignment="1" applyProtection="1">
      <alignment horizontal="center" vertical="center"/>
    </xf>
    <xf numFmtId="0" fontId="49" fillId="0" borderId="21" xfId="74" applyFont="1" applyFill="1" applyBorder="1" applyAlignment="1" applyProtection="1">
      <alignment horizontal="center" vertical="center"/>
    </xf>
    <xf numFmtId="0" fontId="49" fillId="0" borderId="21" xfId="0" applyFont="1" applyFill="1" applyBorder="1" applyAlignment="1" applyProtection="1">
      <alignment horizontal="center" vertical="center"/>
    </xf>
    <xf numFmtId="0" fontId="49" fillId="0" borderId="21" xfId="74" applyFont="1" applyFill="1" applyBorder="1" applyAlignment="1" applyProtection="1">
      <alignment horizontal="left" vertical="center" wrapText="1"/>
    </xf>
    <xf numFmtId="4" fontId="49" fillId="0" borderId="21" xfId="40" applyNumberFormat="1" applyFont="1" applyFill="1" applyBorder="1" applyAlignment="1" applyProtection="1">
      <alignment vertical="center" wrapText="1"/>
    </xf>
    <xf numFmtId="164" fontId="49" fillId="0" borderId="21" xfId="63" applyNumberFormat="1" applyFont="1" applyFill="1" applyBorder="1" applyAlignment="1" applyProtection="1">
      <alignment horizontal="right" vertical="center" wrapText="1"/>
    </xf>
    <xf numFmtId="164" fontId="49" fillId="0" borderId="40" xfId="63" applyNumberFormat="1" applyFont="1" applyFill="1" applyBorder="1" applyAlignment="1" applyProtection="1">
      <alignment horizontal="right" vertical="center" wrapText="1"/>
    </xf>
    <xf numFmtId="0" fontId="49" fillId="0" borderId="21" xfId="0" applyFont="1" applyFill="1" applyBorder="1" applyAlignment="1" applyProtection="1">
      <alignment horizontal="left" vertical="center"/>
    </xf>
    <xf numFmtId="0" fontId="49" fillId="0" borderId="21" xfId="74" applyFont="1" applyFill="1" applyBorder="1" applyAlignment="1" applyProtection="1">
      <alignment horizontal="center" vertical="center" wrapText="1"/>
    </xf>
    <xf numFmtId="0" fontId="49" fillId="0" borderId="21" xfId="75" applyFont="1" applyFill="1" applyBorder="1" applyAlignment="1" applyProtection="1">
      <alignment horizontal="center" vertical="center"/>
    </xf>
    <xf numFmtId="0" fontId="49" fillId="0" borderId="21" xfId="94" applyNumberFormat="1" applyFont="1" applyFill="1" applyBorder="1" applyAlignment="1" applyProtection="1">
      <alignment horizontal="left" vertical="center" wrapText="1"/>
    </xf>
    <xf numFmtId="0" fontId="49" fillId="0" borderId="16" xfId="74" applyFont="1" applyFill="1" applyBorder="1" applyAlignment="1" applyProtection="1">
      <alignment horizontal="left" vertical="center"/>
    </xf>
    <xf numFmtId="0" fontId="49" fillId="0" borderId="17" xfId="74" applyFont="1" applyFill="1" applyBorder="1" applyAlignment="1" applyProtection="1">
      <alignment horizontal="center" vertical="center"/>
    </xf>
    <xf numFmtId="0" fontId="49" fillId="0" borderId="17" xfId="0" applyFont="1" applyFill="1" applyBorder="1" applyAlignment="1" applyProtection="1">
      <alignment horizontal="center" vertical="center"/>
    </xf>
    <xf numFmtId="0" fontId="49" fillId="0" borderId="17" xfId="74" applyFont="1" applyFill="1" applyBorder="1" applyAlignment="1" applyProtection="1">
      <alignment horizontal="left" vertical="center" wrapText="1"/>
    </xf>
    <xf numFmtId="0" fontId="49" fillId="0" borderId="17" xfId="74" applyFont="1" applyFill="1" applyBorder="1" applyAlignment="1" applyProtection="1">
      <alignment horizontal="center" vertical="center" wrapText="1"/>
    </xf>
    <xf numFmtId="164" fontId="49" fillId="0" borderId="32" xfId="63" applyNumberFormat="1" applyFont="1" applyFill="1" applyBorder="1" applyAlignment="1" applyProtection="1">
      <alignment horizontal="right" vertical="center" wrapText="1"/>
    </xf>
    <xf numFmtId="175" fontId="37" fillId="0" borderId="55" xfId="40" applyNumberFormat="1" applyFont="1" applyFill="1" applyBorder="1" applyAlignment="1" applyProtection="1">
      <alignment horizontal="right" vertical="center"/>
    </xf>
    <xf numFmtId="0" fontId="49" fillId="0" borderId="42" xfId="74" applyFont="1" applyFill="1" applyBorder="1" applyAlignment="1" applyProtection="1">
      <alignment horizontal="center" vertical="center"/>
    </xf>
    <xf numFmtId="2" fontId="49" fillId="0" borderId="39" xfId="74" applyNumberFormat="1" applyFont="1" applyFill="1" applyBorder="1" applyAlignment="1" applyProtection="1">
      <alignment horizontal="center" vertical="center"/>
    </xf>
    <xf numFmtId="2" fontId="49" fillId="0" borderId="39" xfId="0" applyNumberFormat="1" applyFont="1" applyFill="1" applyBorder="1" applyAlignment="1" applyProtection="1">
      <alignment horizontal="center" vertical="center"/>
    </xf>
    <xf numFmtId="0" fontId="49" fillId="0" borderId="39" xfId="0" applyFont="1" applyFill="1" applyBorder="1" applyAlignment="1" applyProtection="1">
      <alignment horizontal="left" vertical="center"/>
    </xf>
    <xf numFmtId="0" fontId="49" fillId="0" borderId="39" xfId="74" applyFont="1" applyFill="1" applyBorder="1" applyAlignment="1" applyProtection="1">
      <alignment horizontal="left" vertical="center"/>
    </xf>
    <xf numFmtId="0" fontId="49" fillId="0" borderId="39" xfId="74" applyFont="1" applyFill="1" applyBorder="1" applyAlignment="1" applyProtection="1">
      <alignment horizontal="center" vertical="center"/>
    </xf>
    <xf numFmtId="164" fontId="49" fillId="0" borderId="39" xfId="63" applyNumberFormat="1" applyFont="1" applyFill="1" applyBorder="1" applyAlignment="1" applyProtection="1">
      <alignment horizontal="right" vertical="center" wrapText="1"/>
    </xf>
    <xf numFmtId="0" fontId="49" fillId="0" borderId="85" xfId="74" applyFont="1" applyFill="1" applyBorder="1" applyAlignment="1" applyProtection="1">
      <alignment horizontal="center" vertical="center"/>
    </xf>
    <xf numFmtId="164" fontId="49" fillId="0" borderId="35" xfId="63" applyNumberFormat="1" applyFont="1" applyFill="1" applyBorder="1" applyAlignment="1" applyProtection="1">
      <alignment horizontal="right" vertical="center" wrapText="1"/>
    </xf>
    <xf numFmtId="164" fontId="49" fillId="0" borderId="75" xfId="63" applyNumberFormat="1" applyFont="1" applyFill="1" applyBorder="1" applyAlignment="1" applyProtection="1">
      <alignment horizontal="right" vertical="center" wrapText="1"/>
    </xf>
    <xf numFmtId="2" fontId="49" fillId="0" borderId="35" xfId="0" applyNumberFormat="1" applyFont="1" applyFill="1" applyBorder="1" applyAlignment="1" applyProtection="1">
      <alignment horizontal="center" vertical="center"/>
    </xf>
    <xf numFmtId="0" fontId="49" fillId="0" borderId="35" xfId="0" applyFont="1" applyFill="1" applyBorder="1" applyAlignment="1" applyProtection="1">
      <alignment horizontal="left" vertical="center"/>
    </xf>
    <xf numFmtId="0" fontId="49" fillId="0" borderId="35" xfId="74" applyFont="1" applyFill="1" applyBorder="1" applyAlignment="1" applyProtection="1">
      <alignment horizontal="center" vertical="center"/>
    </xf>
    <xf numFmtId="0" fontId="49" fillId="0" borderId="21" xfId="75" applyFont="1" applyFill="1" applyBorder="1" applyAlignment="1" applyProtection="1">
      <alignment horizontal="left" vertical="center" wrapText="1"/>
    </xf>
    <xf numFmtId="0" fontId="49" fillId="0" borderId="17" xfId="75" applyFont="1" applyFill="1" applyBorder="1" applyAlignment="1" applyProtection="1">
      <alignment horizontal="center" vertical="center"/>
    </xf>
    <xf numFmtId="0" fontId="49" fillId="0" borderId="17" xfId="75" applyFont="1" applyFill="1" applyBorder="1" applyAlignment="1" applyProtection="1">
      <alignment horizontal="left" vertical="center" wrapText="1"/>
    </xf>
    <xf numFmtId="0" fontId="49" fillId="0" borderId="21" xfId="75" applyFont="1" applyFill="1" applyBorder="1" applyAlignment="1" applyProtection="1">
      <alignment horizontal="left" vertical="center"/>
    </xf>
    <xf numFmtId="0" fontId="49" fillId="0" borderId="17" xfId="90" applyFont="1" applyFill="1" applyBorder="1" applyProtection="1"/>
    <xf numFmtId="0" fontId="49" fillId="0" borderId="17" xfId="90" applyFont="1" applyFill="1" applyBorder="1" applyAlignment="1" applyProtection="1">
      <alignment horizontal="center"/>
    </xf>
    <xf numFmtId="164" fontId="49" fillId="0" borderId="21" xfId="63" quotePrefix="1" applyNumberFormat="1" applyFont="1" applyFill="1" applyBorder="1" applyAlignment="1" applyProtection="1">
      <alignment horizontal="right" vertical="center" wrapText="1"/>
    </xf>
    <xf numFmtId="0" fontId="49" fillId="0" borderId="83" xfId="74" applyFont="1" applyFill="1" applyBorder="1" applyAlignment="1" applyProtection="1">
      <alignment horizontal="left" vertical="center"/>
    </xf>
    <xf numFmtId="0" fontId="49" fillId="0" borderId="0" xfId="74" applyFont="1" applyFill="1" applyBorder="1" applyAlignment="1" applyProtection="1">
      <alignment horizontal="center" vertical="center"/>
    </xf>
    <xf numFmtId="0" fontId="49" fillId="0" borderId="0" xfId="74" applyFont="1" applyFill="1" applyBorder="1" applyAlignment="1" applyProtection="1">
      <alignment horizontal="left" vertical="center" wrapText="1"/>
    </xf>
    <xf numFmtId="164" fontId="49" fillId="0" borderId="71" xfId="63" applyNumberFormat="1" applyFont="1" applyFill="1" applyBorder="1" applyAlignment="1" applyProtection="1">
      <alignment horizontal="right" vertical="center" wrapText="1"/>
    </xf>
    <xf numFmtId="175" fontId="37" fillId="0" borderId="82" xfId="40" applyNumberFormat="1" applyFont="1" applyFill="1" applyBorder="1" applyAlignment="1" applyProtection="1">
      <alignment horizontal="right" vertical="center"/>
    </xf>
    <xf numFmtId="2" fontId="49" fillId="0" borderId="21" xfId="129" applyNumberFormat="1" applyFont="1" applyFill="1" applyBorder="1" applyAlignment="1" applyProtection="1">
      <alignment horizontal="center" vertical="center"/>
    </xf>
    <xf numFmtId="0" fontId="49" fillId="0" borderId="21" xfId="129" applyFont="1" applyFill="1" applyBorder="1" applyAlignment="1" applyProtection="1">
      <alignment horizontal="left" vertical="center"/>
    </xf>
    <xf numFmtId="0" fontId="49" fillId="0" borderId="21" xfId="129" applyFont="1" applyFill="1" applyBorder="1" applyAlignment="1" applyProtection="1">
      <alignment horizontal="center" vertical="center"/>
    </xf>
    <xf numFmtId="2" fontId="49" fillId="0" borderId="21" xfId="74" applyNumberFormat="1" applyFont="1" applyFill="1" applyBorder="1" applyAlignment="1" applyProtection="1">
      <alignment horizontal="center" vertical="center"/>
    </xf>
    <xf numFmtId="0" fontId="49" fillId="0" borderId="21" xfId="74" applyFont="1" applyFill="1" applyBorder="1" applyAlignment="1" applyProtection="1">
      <alignment horizontal="left" vertical="center"/>
    </xf>
    <xf numFmtId="2" fontId="49" fillId="0" borderId="17" xfId="74" applyNumberFormat="1" applyFont="1" applyFill="1" applyBorder="1" applyAlignment="1" applyProtection="1">
      <alignment horizontal="center" vertical="center"/>
    </xf>
    <xf numFmtId="0" fontId="49" fillId="0" borderId="17" xfId="74" applyFont="1" applyFill="1" applyBorder="1" applyAlignment="1" applyProtection="1">
      <alignment horizontal="left" vertical="center"/>
    </xf>
    <xf numFmtId="189" fontId="37" fillId="24" borderId="69" xfId="74" applyNumberFormat="1" applyFont="1" applyFill="1" applyBorder="1" applyAlignment="1" applyProtection="1">
      <alignment vertical="center"/>
    </xf>
    <xf numFmtId="49" fontId="37" fillId="0" borderId="0" xfId="134" applyNumberFormat="1" applyFont="1" applyFill="1" applyBorder="1" applyAlignment="1">
      <alignment horizontal="right" vertical="center"/>
    </xf>
    <xf numFmtId="188" fontId="37" fillId="0" borderId="0" xfId="134" applyNumberFormat="1" applyFont="1" applyFill="1" applyBorder="1" applyAlignment="1">
      <alignment vertical="center"/>
    </xf>
    <xf numFmtId="0" fontId="49" fillId="0" borderId="0" xfId="131" applyFont="1" applyFill="1" applyBorder="1" applyProtection="1"/>
    <xf numFmtId="0" fontId="49" fillId="0" borderId="0" xfId="131" applyFont="1" applyFill="1" applyBorder="1" applyAlignment="1" applyProtection="1">
      <alignment horizontal="center"/>
    </xf>
    <xf numFmtId="181" fontId="49" fillId="0" borderId="46" xfId="132" applyNumberFormat="1" applyFont="1" applyFill="1" applyBorder="1" applyProtection="1"/>
    <xf numFmtId="181" fontId="49" fillId="0" borderId="40" xfId="132" applyNumberFormat="1" applyFont="1" applyFill="1" applyBorder="1" applyProtection="1"/>
    <xf numFmtId="0" fontId="49" fillId="0" borderId="0" xfId="129" applyFont="1" applyFill="1" applyBorder="1" applyAlignment="1" applyProtection="1">
      <alignment horizontal="center" vertical="center"/>
    </xf>
    <xf numFmtId="181" fontId="37" fillId="0" borderId="40" xfId="132" applyNumberFormat="1" applyFont="1" applyFill="1" applyBorder="1" applyProtection="1"/>
    <xf numFmtId="0" fontId="49" fillId="0" borderId="21" xfId="129" applyFont="1" applyFill="1" applyBorder="1" applyAlignment="1" applyProtection="1">
      <alignment horizontal="left" vertical="center" wrapText="1"/>
    </xf>
    <xf numFmtId="0" fontId="49" fillId="0" borderId="21" xfId="138" applyFont="1" applyFill="1" applyBorder="1" applyAlignment="1" applyProtection="1">
      <alignment horizontal="left" vertical="center" wrapText="1"/>
    </xf>
    <xf numFmtId="0" fontId="49" fillId="0" borderId="0" xfId="90" applyFont="1" applyFill="1" applyProtection="1"/>
    <xf numFmtId="0" fontId="49" fillId="0" borderId="49" xfId="90" applyFont="1" applyFill="1" applyBorder="1" applyProtection="1"/>
    <xf numFmtId="0" fontId="49" fillId="0" borderId="21" xfId="138" applyFont="1" applyFill="1" applyBorder="1" applyAlignment="1" applyProtection="1">
      <alignment horizontal="center" vertical="center"/>
    </xf>
    <xf numFmtId="0" fontId="49" fillId="0" borderId="21" xfId="138" applyFont="1" applyFill="1" applyBorder="1" applyAlignment="1" applyProtection="1">
      <alignment horizontal="left" vertical="center"/>
    </xf>
    <xf numFmtId="0" fontId="49" fillId="0" borderId="50" xfId="90" applyFont="1" applyFill="1" applyBorder="1" applyProtection="1"/>
    <xf numFmtId="0" fontId="49" fillId="0" borderId="21" xfId="138" applyFont="1" applyFill="1" applyBorder="1" applyAlignment="1" applyProtection="1">
      <alignment horizontal="center" vertical="center" wrapText="1"/>
    </xf>
    <xf numFmtId="181" fontId="49" fillId="0" borderId="75" xfId="132" applyNumberFormat="1" applyFont="1" applyFill="1" applyBorder="1" applyProtection="1"/>
    <xf numFmtId="0" fontId="49" fillId="0" borderId="0" xfId="131" applyFont="1" applyFill="1" applyBorder="1" applyAlignment="1" applyProtection="1">
      <alignment vertical="center"/>
    </xf>
    <xf numFmtId="0" fontId="49" fillId="0" borderId="45" xfId="131" applyFont="1" applyFill="1" applyBorder="1" applyAlignment="1" applyProtection="1">
      <alignment horizontal="left" vertical="center"/>
    </xf>
    <xf numFmtId="180" fontId="49" fillId="0" borderId="19" xfId="132" applyNumberFormat="1" applyFont="1" applyFill="1" applyBorder="1" applyAlignment="1" applyProtection="1">
      <alignment horizontal="center" vertical="center"/>
    </xf>
    <xf numFmtId="0" fontId="37" fillId="0" borderId="20" xfId="131" applyFont="1" applyFill="1" applyBorder="1" applyAlignment="1" applyProtection="1">
      <alignment vertical="center"/>
    </xf>
    <xf numFmtId="0" fontId="51" fillId="0" borderId="20" xfId="131" applyFont="1" applyFill="1" applyBorder="1" applyAlignment="1" applyProtection="1">
      <alignment horizontal="right" vertical="center"/>
    </xf>
    <xf numFmtId="0" fontId="49" fillId="0" borderId="33" xfId="131" applyFont="1" applyFill="1" applyBorder="1" applyAlignment="1" applyProtection="1">
      <alignment horizontal="left" vertical="center"/>
    </xf>
    <xf numFmtId="180" fontId="49" fillId="0" borderId="34" xfId="132" applyNumberFormat="1" applyFont="1" applyFill="1" applyBorder="1" applyAlignment="1" applyProtection="1">
      <alignment horizontal="center" vertical="center"/>
    </xf>
    <xf numFmtId="0" fontId="37" fillId="0" borderId="34" xfId="131" applyFont="1" applyFill="1" applyBorder="1" applyAlignment="1" applyProtection="1">
      <alignment vertical="center"/>
    </xf>
    <xf numFmtId="0" fontId="51" fillId="0" borderId="30" xfId="131" applyFont="1" applyFill="1" applyBorder="1" applyAlignment="1" applyProtection="1">
      <alignment horizontal="right" vertical="center"/>
    </xf>
    <xf numFmtId="0" fontId="49" fillId="0" borderId="28" xfId="131" applyFont="1" applyFill="1" applyBorder="1" applyAlignment="1" applyProtection="1">
      <alignment horizontal="left" vertical="center"/>
    </xf>
    <xf numFmtId="180" fontId="49" fillId="0" borderId="29" xfId="132" applyNumberFormat="1" applyFont="1" applyFill="1" applyBorder="1" applyAlignment="1" applyProtection="1">
      <alignment horizontal="center" vertical="center"/>
    </xf>
    <xf numFmtId="0" fontId="37" fillId="0" borderId="29" xfId="131" applyFont="1" applyFill="1" applyBorder="1" applyAlignment="1" applyProtection="1">
      <alignment vertical="center"/>
    </xf>
    <xf numFmtId="0" fontId="37" fillId="0" borderId="30" xfId="131" applyFont="1" applyFill="1" applyBorder="1" applyAlignment="1" applyProtection="1">
      <alignment horizontal="right" vertical="center"/>
    </xf>
    <xf numFmtId="9" fontId="49" fillId="0" borderId="29" xfId="132" applyNumberFormat="1" applyFont="1" applyFill="1" applyBorder="1" applyAlignment="1" applyProtection="1">
      <alignment horizontal="center" vertical="center"/>
    </xf>
    <xf numFmtId="181" fontId="49" fillId="0" borderId="29" xfId="132" applyNumberFormat="1" applyFont="1" applyFill="1" applyBorder="1" applyAlignment="1" applyProtection="1">
      <alignment vertical="center"/>
    </xf>
    <xf numFmtId="0" fontId="49" fillId="0" borderId="30" xfId="131" applyFont="1" applyFill="1" applyBorder="1" applyAlignment="1" applyProtection="1">
      <alignment vertical="center"/>
    </xf>
    <xf numFmtId="0" fontId="37" fillId="0" borderId="28" xfId="131" applyFont="1" applyFill="1" applyBorder="1" applyAlignment="1" applyProtection="1">
      <alignment horizontal="left" vertical="center"/>
    </xf>
    <xf numFmtId="0" fontId="49" fillId="0" borderId="28" xfId="131" applyFont="1" applyFill="1" applyBorder="1" applyAlignment="1" applyProtection="1">
      <alignment horizontal="left" vertical="center" wrapText="1"/>
    </xf>
    <xf numFmtId="0" fontId="49" fillId="0" borderId="30" xfId="131" applyFont="1" applyFill="1" applyBorder="1" applyAlignment="1" applyProtection="1">
      <alignment horizontal="right" vertical="center"/>
    </xf>
    <xf numFmtId="0" fontId="49" fillId="0" borderId="22" xfId="131" applyFont="1" applyFill="1" applyBorder="1" applyAlignment="1" applyProtection="1">
      <alignment horizontal="center" vertical="center" wrapText="1"/>
    </xf>
    <xf numFmtId="0" fontId="37" fillId="0" borderId="28" xfId="131" applyFont="1" applyFill="1" applyBorder="1" applyAlignment="1" applyProtection="1">
      <alignment horizontal="left" vertical="center" wrapText="1"/>
    </xf>
    <xf numFmtId="0" fontId="37" fillId="0" borderId="65" xfId="131" applyFont="1" applyFill="1" applyBorder="1" applyAlignment="1" applyProtection="1">
      <alignment horizontal="left" vertical="center"/>
    </xf>
    <xf numFmtId="9" fontId="49" fillId="0" borderId="66" xfId="132" applyNumberFormat="1" applyFont="1" applyFill="1" applyBorder="1" applyAlignment="1" applyProtection="1">
      <alignment horizontal="center" vertical="center"/>
    </xf>
    <xf numFmtId="181" fontId="49" fillId="0" borderId="66" xfId="132" applyNumberFormat="1" applyFont="1" applyFill="1" applyBorder="1" applyAlignment="1" applyProtection="1">
      <alignment vertical="center"/>
    </xf>
    <xf numFmtId="0" fontId="37" fillId="0" borderId="37" xfId="131" applyFont="1" applyFill="1" applyBorder="1" applyAlignment="1" applyProtection="1">
      <alignment horizontal="left" vertical="center"/>
    </xf>
    <xf numFmtId="9" fontId="49" fillId="0" borderId="41" xfId="132" applyNumberFormat="1" applyFont="1" applyFill="1" applyBorder="1" applyAlignment="1" applyProtection="1">
      <alignment horizontal="center" vertical="center"/>
    </xf>
    <xf numFmtId="181" fontId="37" fillId="0" borderId="41" xfId="132" applyNumberFormat="1" applyFont="1" applyFill="1" applyBorder="1" applyAlignment="1" applyProtection="1">
      <alignment vertical="center"/>
    </xf>
    <xf numFmtId="0" fontId="49" fillId="0" borderId="38" xfId="131" applyFont="1" applyFill="1" applyBorder="1" applyAlignment="1" applyProtection="1">
      <alignment vertical="center"/>
    </xf>
    <xf numFmtId="0" fontId="37" fillId="0" borderId="45" xfId="80" applyFont="1" applyBorder="1" applyAlignment="1">
      <alignment vertical="center"/>
    </xf>
    <xf numFmtId="0" fontId="49" fillId="0" borderId="20" xfId="80" applyFont="1" applyBorder="1" applyAlignment="1">
      <alignment vertical="center"/>
    </xf>
    <xf numFmtId="0" fontId="49" fillId="0" borderId="73" xfId="80" applyFont="1" applyBorder="1" applyAlignment="1">
      <alignment vertical="center"/>
    </xf>
    <xf numFmtId="188" fontId="37" fillId="25" borderId="75" xfId="61" applyNumberFormat="1" applyFont="1" applyFill="1" applyBorder="1" applyAlignment="1">
      <alignment horizontal="center" vertical="center"/>
    </xf>
    <xf numFmtId="188" fontId="37" fillId="25" borderId="21" xfId="61" applyNumberFormat="1" applyFont="1" applyFill="1" applyBorder="1" applyAlignment="1">
      <alignment horizontal="center" vertical="center"/>
    </xf>
    <xf numFmtId="9" fontId="49" fillId="25" borderId="40" xfId="98" applyFont="1" applyFill="1" applyBorder="1" applyAlignment="1">
      <alignment horizontal="center" vertical="center"/>
    </xf>
    <xf numFmtId="0" fontId="49" fillId="0" borderId="21" xfId="129" applyFont="1" applyFill="1" applyBorder="1" applyAlignment="1" applyProtection="1">
      <alignment horizontal="center" vertical="center" wrapText="1"/>
    </xf>
    <xf numFmtId="2" fontId="49" fillId="0" borderId="21" xfId="0" applyNumberFormat="1" applyFont="1" applyFill="1" applyBorder="1" applyAlignment="1" applyProtection="1">
      <alignment horizontal="center" vertical="center"/>
    </xf>
    <xf numFmtId="166" fontId="49" fillId="0" borderId="21" xfId="63" applyNumberFormat="1" applyFont="1" applyFill="1" applyBorder="1" applyAlignment="1" applyProtection="1">
      <alignment horizontal="right" vertical="center" wrapText="1"/>
    </xf>
    <xf numFmtId="0" fontId="49" fillId="0" borderId="21" xfId="138" applyFont="1" applyFill="1" applyBorder="1" applyAlignment="1">
      <alignment horizontal="center" vertical="center"/>
    </xf>
    <xf numFmtId="0" fontId="49" fillId="0" borderId="21" xfId="138" applyFont="1" applyFill="1" applyBorder="1" applyAlignment="1">
      <alignment horizontal="left" vertical="center"/>
    </xf>
    <xf numFmtId="0" fontId="49" fillId="0" borderId="21" xfId="138" applyFont="1" applyFill="1" applyBorder="1" applyAlignment="1">
      <alignment horizontal="left" vertical="center" wrapText="1"/>
    </xf>
    <xf numFmtId="0" fontId="49" fillId="0" borderId="21" xfId="90" applyFont="1" applyFill="1" applyBorder="1" applyProtection="1"/>
    <xf numFmtId="0" fontId="49" fillId="0" borderId="21" xfId="0" applyFont="1" applyFill="1" applyBorder="1" applyAlignment="1" applyProtection="1">
      <alignment wrapText="1"/>
    </xf>
    <xf numFmtId="0" fontId="49" fillId="0" borderId="21" xfId="0" applyFont="1" applyFill="1" applyBorder="1" applyAlignment="1" applyProtection="1">
      <alignment horizontal="center" wrapText="1"/>
    </xf>
    <xf numFmtId="0" fontId="49" fillId="0" borderId="21" xfId="129" applyFont="1" applyFill="1" applyBorder="1" applyAlignment="1" applyProtection="1">
      <alignment vertical="center"/>
    </xf>
    <xf numFmtId="0" fontId="39" fillId="0" borderId="66" xfId="0" applyFont="1" applyFill="1" applyBorder="1" applyAlignment="1">
      <alignment horizontal="center"/>
    </xf>
    <xf numFmtId="0" fontId="39" fillId="0" borderId="29" xfId="0" applyFont="1" applyFill="1" applyBorder="1" applyAlignment="1">
      <alignment horizontal="center"/>
    </xf>
    <xf numFmtId="0" fontId="39" fillId="0" borderId="24" xfId="0" applyFont="1" applyFill="1" applyBorder="1" applyAlignment="1">
      <alignment horizontal="center"/>
    </xf>
    <xf numFmtId="2" fontId="39" fillId="0" borderId="35" xfId="0" applyNumberFormat="1" applyFont="1" applyFill="1" applyBorder="1"/>
    <xf numFmtId="0" fontId="39" fillId="0" borderId="29" xfId="0" applyFont="1" applyFill="1" applyBorder="1" applyAlignment="1">
      <alignment horizontal="center"/>
    </xf>
    <xf numFmtId="2" fontId="49" fillId="0" borderId="35" xfId="74" applyNumberFormat="1" applyFont="1" applyFill="1" applyBorder="1" applyAlignment="1" applyProtection="1">
      <alignment horizontal="center" vertical="center"/>
    </xf>
    <xf numFmtId="0" fontId="49" fillId="0" borderId="35" xfId="74" applyFont="1" applyFill="1" applyBorder="1" applyAlignment="1" applyProtection="1">
      <alignment horizontal="left" vertical="center"/>
    </xf>
    <xf numFmtId="0" fontId="38" fillId="0" borderId="0" xfId="0" applyFont="1" applyFill="1" applyBorder="1" applyAlignment="1">
      <alignment horizontal="center"/>
    </xf>
    <xf numFmtId="1" fontId="44" fillId="0" borderId="34" xfId="0" applyNumberFormat="1" applyFont="1" applyFill="1" applyBorder="1" applyAlignment="1">
      <alignment horizontal="center" vertical="center"/>
    </xf>
    <xf numFmtId="1" fontId="44" fillId="0" borderId="15" xfId="0" applyNumberFormat="1" applyFont="1" applyFill="1" applyBorder="1" applyAlignment="1">
      <alignment horizontal="center" vertical="center"/>
    </xf>
    <xf numFmtId="0" fontId="10" fillId="0" borderId="14" xfId="0" applyFont="1" applyFill="1" applyBorder="1" applyAlignment="1">
      <alignment horizontal="left"/>
    </xf>
    <xf numFmtId="0" fontId="39" fillId="0" borderId="37" xfId="0" applyFont="1" applyFill="1" applyBorder="1" applyAlignment="1"/>
    <xf numFmtId="0" fontId="39" fillId="0" borderId="41" xfId="0" applyFont="1" applyFill="1" applyBorder="1" applyAlignment="1"/>
    <xf numFmtId="0" fontId="42" fillId="24" borderId="19" xfId="0" applyFont="1" applyFill="1" applyBorder="1" applyAlignment="1">
      <alignment horizontal="center"/>
    </xf>
    <xf numFmtId="0" fontId="39" fillId="0" borderId="0" xfId="0" applyFont="1" applyFill="1" applyBorder="1" applyAlignment="1" applyProtection="1">
      <alignment horizontal="left"/>
      <protection locked="0"/>
    </xf>
    <xf numFmtId="0" fontId="38" fillId="0" borderId="0" xfId="0" applyFont="1" applyFill="1" applyBorder="1" applyAlignment="1">
      <alignment horizontal="center"/>
    </xf>
    <xf numFmtId="0" fontId="42" fillId="24" borderId="73" xfId="0" applyFont="1" applyFill="1" applyBorder="1" applyAlignment="1">
      <alignment horizontal="center"/>
    </xf>
    <xf numFmtId="0" fontId="44" fillId="0" borderId="0" xfId="0" applyFont="1" applyFill="1" applyBorder="1" applyAlignment="1">
      <alignment horizontal="center"/>
    </xf>
    <xf numFmtId="0" fontId="44" fillId="0" borderId="15" xfId="0" applyFont="1" applyFill="1" applyBorder="1" applyAlignment="1">
      <alignment horizontal="center"/>
    </xf>
    <xf numFmtId="0" fontId="39" fillId="0" borderId="29" xfId="0" applyFont="1" applyFill="1" applyBorder="1" applyAlignment="1">
      <alignment horizontal="center"/>
    </xf>
    <xf numFmtId="0" fontId="42" fillId="24" borderId="20" xfId="0" applyFont="1" applyFill="1" applyBorder="1" applyAlignment="1">
      <alignment horizontal="center" wrapText="1"/>
    </xf>
    <xf numFmtId="0" fontId="39" fillId="0" borderId="28" xfId="0" applyFont="1" applyFill="1" applyBorder="1" applyAlignment="1">
      <alignment horizontal="left"/>
    </xf>
    <xf numFmtId="0" fontId="39" fillId="0" borderId="29" xfId="0" applyFont="1" applyFill="1" applyBorder="1" applyAlignment="1">
      <alignment horizontal="left"/>
    </xf>
    <xf numFmtId="0" fontId="39" fillId="0" borderId="65" xfId="0" applyFont="1" applyFill="1" applyBorder="1" applyAlignment="1">
      <alignment horizontal="center"/>
    </xf>
    <xf numFmtId="0" fontId="42" fillId="0" borderId="0" xfId="0" applyFont="1" applyFill="1" applyBorder="1" applyAlignment="1" applyProtection="1">
      <alignment horizontal="center"/>
      <protection locked="0"/>
    </xf>
    <xf numFmtId="0" fontId="37" fillId="0" borderId="0" xfId="133" applyFont="1" applyFill="1" applyBorder="1" applyAlignment="1" applyProtection="1">
      <alignment horizontal="center"/>
    </xf>
    <xf numFmtId="0" fontId="35" fillId="0" borderId="0" xfId="133" applyFont="1" applyFill="1" applyBorder="1" applyAlignment="1" applyProtection="1">
      <alignment horizontal="center"/>
    </xf>
    <xf numFmtId="0" fontId="35" fillId="0" borderId="0" xfId="133" applyFont="1" applyFill="1" applyBorder="1" applyAlignment="1" applyProtection="1">
      <alignment horizontal="center" vertical="center" wrapText="1"/>
    </xf>
    <xf numFmtId="0" fontId="37" fillId="25" borderId="21" xfId="133" applyFont="1" applyFill="1" applyBorder="1" applyAlignment="1">
      <alignment horizontal="center" vertical="center" wrapText="1"/>
    </xf>
    <xf numFmtId="3" fontId="37" fillId="25" borderId="21" xfId="133" applyNumberFormat="1" applyFont="1" applyFill="1" applyBorder="1" applyAlignment="1">
      <alignment horizontal="center" vertical="center" wrapText="1"/>
    </xf>
    <xf numFmtId="3" fontId="37" fillId="25" borderId="21" xfId="133" applyNumberFormat="1" applyFont="1" applyFill="1" applyBorder="1" applyAlignment="1">
      <alignment horizontal="center" vertical="center"/>
    </xf>
    <xf numFmtId="0" fontId="37" fillId="24" borderId="68" xfId="74" applyFont="1" applyFill="1" applyBorder="1" applyAlignment="1" applyProtection="1">
      <alignment horizontal="right" vertical="center"/>
    </xf>
    <xf numFmtId="0" fontId="52" fillId="0" borderId="21" xfId="75" applyFont="1" applyFill="1" applyBorder="1" applyAlignment="1" applyProtection="1">
      <alignment horizontal="left" vertical="center"/>
    </xf>
    <xf numFmtId="4" fontId="49" fillId="27" borderId="21" xfId="40" applyNumberFormat="1" applyFont="1" applyFill="1" applyBorder="1" applyAlignment="1" applyProtection="1">
      <alignment vertical="center" wrapText="1"/>
    </xf>
    <xf numFmtId="3" fontId="37" fillId="25" borderId="78" xfId="133" applyNumberFormat="1" applyFont="1" applyFill="1" applyBorder="1" applyAlignment="1">
      <alignment horizontal="center" vertical="center" wrapText="1"/>
    </xf>
    <xf numFmtId="188" fontId="37" fillId="25" borderId="22" xfId="61" applyNumberFormat="1" applyFont="1" applyFill="1" applyBorder="1" applyAlignment="1">
      <alignment horizontal="center" vertical="center"/>
    </xf>
    <xf numFmtId="0" fontId="38" fillId="24" borderId="0" xfId="74" applyFont="1" applyFill="1" applyBorder="1" applyAlignment="1" applyProtection="1">
      <alignment horizontal="left" vertical="center"/>
    </xf>
    <xf numFmtId="0" fontId="37" fillId="0" borderId="0" xfId="80" applyFont="1" applyFill="1" applyBorder="1" applyAlignment="1">
      <alignment horizontal="left" vertical="center" wrapText="1"/>
    </xf>
    <xf numFmtId="0" fontId="49" fillId="25" borderId="0" xfId="133" applyFont="1" applyFill="1" applyBorder="1" applyAlignment="1">
      <alignment horizontal="left" vertical="center" wrapText="1"/>
    </xf>
    <xf numFmtId="0" fontId="37" fillId="30" borderId="73" xfId="74" applyFont="1" applyFill="1" applyBorder="1" applyAlignment="1" applyProtection="1">
      <alignment horizontal="center" vertical="center" wrapText="1"/>
    </xf>
    <xf numFmtId="0" fontId="37" fillId="30" borderId="25" xfId="74" applyFont="1" applyFill="1" applyBorder="1" applyAlignment="1" applyProtection="1">
      <alignment horizontal="center" vertical="center" wrapText="1"/>
    </xf>
    <xf numFmtId="4" fontId="49" fillId="0" borderId="22" xfId="40" applyNumberFormat="1" applyFont="1" applyFill="1" applyBorder="1" applyAlignment="1" applyProtection="1">
      <alignment vertical="center" wrapText="1"/>
    </xf>
    <xf numFmtId="4" fontId="49" fillId="0" borderId="70" xfId="40" applyNumberFormat="1" applyFont="1" applyFill="1" applyBorder="1" applyAlignment="1" applyProtection="1">
      <alignment vertical="center" wrapText="1"/>
    </xf>
    <xf numFmtId="0" fontId="37" fillId="0" borderId="19" xfId="131" applyFont="1" applyFill="1" applyBorder="1" applyAlignment="1" applyProtection="1">
      <alignment vertical="center"/>
    </xf>
    <xf numFmtId="181" fontId="37" fillId="0" borderId="17" xfId="132" applyNumberFormat="1" applyFont="1" applyFill="1" applyBorder="1" applyAlignment="1" applyProtection="1">
      <alignment vertical="center"/>
    </xf>
    <xf numFmtId="190" fontId="36" fillId="0" borderId="21" xfId="35" applyNumberFormat="1" applyFont="1" applyFill="1" applyBorder="1" applyAlignment="1">
      <alignment horizontal="center" vertical="center" wrapText="1"/>
    </xf>
    <xf numFmtId="181" fontId="49" fillId="25" borderId="0" xfId="133" applyNumberFormat="1" applyFont="1" applyFill="1" applyBorder="1" applyAlignment="1">
      <alignment horizontal="left" vertical="center" wrapText="1"/>
    </xf>
    <xf numFmtId="190" fontId="36" fillId="28" borderId="21" xfId="35" applyNumberFormat="1" applyFont="1" applyFill="1" applyBorder="1" applyAlignment="1">
      <alignment horizontal="center" vertical="center" wrapText="1"/>
    </xf>
    <xf numFmtId="190" fontId="36" fillId="26" borderId="21" xfId="35" applyNumberFormat="1" applyFont="1" applyFill="1" applyBorder="1" applyAlignment="1">
      <alignment horizontal="center" vertical="center" wrapText="1"/>
    </xf>
    <xf numFmtId="0" fontId="37" fillId="24" borderId="68" xfId="74" applyFont="1" applyFill="1" applyBorder="1" applyAlignment="1" applyProtection="1">
      <alignment horizontal="right" vertical="center"/>
    </xf>
    <xf numFmtId="0" fontId="35" fillId="0" borderId="0" xfId="133" applyFont="1" applyFill="1" applyBorder="1" applyAlignment="1" applyProtection="1">
      <alignment horizontal="center"/>
    </xf>
    <xf numFmtId="0" fontId="35" fillId="0" borderId="0" xfId="133" applyFont="1" applyFill="1" applyBorder="1" applyAlignment="1" applyProtection="1">
      <alignment horizontal="center" vertical="center" wrapText="1"/>
    </xf>
    <xf numFmtId="0" fontId="37" fillId="0" borderId="0" xfId="133" applyFont="1" applyFill="1" applyBorder="1" applyAlignment="1" applyProtection="1">
      <alignment horizontal="center"/>
    </xf>
    <xf numFmtId="0" fontId="37" fillId="0" borderId="0" xfId="133" applyFont="1" applyFill="1" applyBorder="1" applyAlignment="1" applyProtection="1">
      <alignment horizontal="center"/>
    </xf>
    <xf numFmtId="0" fontId="35" fillId="0" borderId="0" xfId="133" applyFont="1" applyFill="1" applyBorder="1" applyAlignment="1" applyProtection="1">
      <alignment horizontal="center"/>
    </xf>
    <xf numFmtId="0" fontId="35" fillId="0" borderId="0" xfId="133" applyFont="1" applyFill="1" applyBorder="1" applyAlignment="1" applyProtection="1">
      <alignment horizontal="center" vertical="center" wrapText="1"/>
    </xf>
    <xf numFmtId="0" fontId="37" fillId="24" borderId="68" xfId="74" applyFont="1" applyFill="1" applyBorder="1" applyAlignment="1" applyProtection="1">
      <alignment horizontal="right" vertical="center"/>
    </xf>
    <xf numFmtId="0" fontId="49" fillId="26" borderId="21" xfId="0" applyFont="1" applyFill="1" applyBorder="1" applyAlignment="1" applyProtection="1">
      <alignment horizontal="center" vertical="center"/>
    </xf>
    <xf numFmtId="0" fontId="49" fillId="26" borderId="21" xfId="75" applyFont="1" applyFill="1" applyBorder="1" applyAlignment="1" applyProtection="1">
      <alignment horizontal="center" vertical="center"/>
    </xf>
    <xf numFmtId="0" fontId="49" fillId="26" borderId="21" xfId="129" applyFont="1" applyFill="1" applyBorder="1" applyAlignment="1" applyProtection="1">
      <alignment horizontal="center" vertical="center"/>
    </xf>
    <xf numFmtId="0" fontId="49" fillId="26" borderId="21" xfId="74" applyFont="1" applyFill="1" applyBorder="1" applyAlignment="1" applyProtection="1">
      <alignment horizontal="center" vertical="center"/>
    </xf>
    <xf numFmtId="2" fontId="49" fillId="26" borderId="21" xfId="74" applyNumberFormat="1" applyFont="1" applyFill="1" applyBorder="1" applyAlignment="1" applyProtection="1">
      <alignment horizontal="center" vertical="center"/>
    </xf>
    <xf numFmtId="188" fontId="41" fillId="0" borderId="0" xfId="91" applyNumberFormat="1" applyFont="1" applyFill="1" applyProtection="1"/>
    <xf numFmtId="0" fontId="37" fillId="0" borderId="17" xfId="129" applyFont="1" applyFill="1" applyBorder="1" applyAlignment="1" applyProtection="1">
      <alignment horizontal="center" vertical="center" wrapText="1"/>
    </xf>
    <xf numFmtId="0" fontId="37" fillId="0" borderId="16" xfId="74" applyFont="1" applyFill="1" applyBorder="1" applyAlignment="1" applyProtection="1">
      <alignment horizontal="center" vertical="center" wrapText="1"/>
    </xf>
    <xf numFmtId="0" fontId="37" fillId="0" borderId="17" xfId="74" applyFont="1" applyFill="1" applyBorder="1" applyAlignment="1" applyProtection="1">
      <alignment horizontal="center" vertical="center" wrapText="1"/>
    </xf>
    <xf numFmtId="4" fontId="37" fillId="0" borderId="17" xfId="74" applyNumberFormat="1" applyFont="1" applyFill="1" applyBorder="1" applyAlignment="1" applyProtection="1">
      <alignment horizontal="center" vertical="center" wrapText="1"/>
    </xf>
    <xf numFmtId="4" fontId="37" fillId="0" borderId="18" xfId="74" applyNumberFormat="1" applyFont="1" applyFill="1" applyBorder="1" applyAlignment="1" applyProtection="1">
      <alignment horizontal="center" vertical="center" wrapText="1"/>
    </xf>
    <xf numFmtId="181" fontId="36" fillId="0" borderId="0" xfId="90" applyNumberFormat="1" applyFont="1" applyFill="1" applyProtection="1"/>
    <xf numFmtId="190" fontId="36" fillId="0" borderId="0" xfId="35" applyNumberFormat="1" applyFont="1" applyFill="1" applyBorder="1" applyAlignment="1">
      <alignment horizontal="center" vertical="center" wrapText="1"/>
    </xf>
    <xf numFmtId="0" fontId="37" fillId="0" borderId="0" xfId="133" applyFont="1" applyFill="1" applyBorder="1" applyAlignment="1" applyProtection="1">
      <alignment horizontal="center"/>
    </xf>
    <xf numFmtId="0" fontId="35" fillId="0" borderId="0" xfId="133" applyFont="1" applyFill="1" applyBorder="1" applyAlignment="1" applyProtection="1">
      <alignment horizontal="center"/>
    </xf>
    <xf numFmtId="0" fontId="35" fillId="0" borderId="0" xfId="133" applyFont="1" applyFill="1" applyBorder="1" applyAlignment="1" applyProtection="1">
      <alignment horizontal="center" vertical="center" wrapText="1"/>
    </xf>
    <xf numFmtId="0" fontId="37" fillId="24" borderId="68" xfId="74" applyFont="1" applyFill="1" applyBorder="1" applyAlignment="1" applyProtection="1">
      <alignment horizontal="right" vertical="center"/>
    </xf>
    <xf numFmtId="190" fontId="53" fillId="0" borderId="21" xfId="35" applyNumberFormat="1" applyFont="1" applyFill="1" applyBorder="1" applyAlignment="1">
      <alignment horizontal="center" vertical="center" wrapText="1"/>
    </xf>
    <xf numFmtId="0" fontId="51" fillId="0" borderId="0" xfId="133" applyFont="1" applyFill="1" applyBorder="1" applyAlignment="1" applyProtection="1">
      <alignment horizontal="center" wrapText="1"/>
    </xf>
    <xf numFmtId="2" fontId="37" fillId="24" borderId="68" xfId="74" applyNumberFormat="1" applyFont="1" applyFill="1" applyBorder="1" applyAlignment="1" applyProtection="1">
      <alignment vertical="center"/>
    </xf>
    <xf numFmtId="0" fontId="39" fillId="0" borderId="37" xfId="0" applyFont="1" applyFill="1" applyBorder="1" applyAlignment="1"/>
    <xf numFmtId="0" fontId="39" fillId="0" borderId="41" xfId="0" applyFont="1" applyFill="1" applyBorder="1" applyAlignment="1"/>
    <xf numFmtId="0" fontId="42" fillId="24" borderId="19" xfId="0" applyFont="1" applyFill="1" applyBorder="1" applyAlignment="1">
      <alignment horizontal="center"/>
    </xf>
    <xf numFmtId="0" fontId="39" fillId="0" borderId="0" xfId="0" applyFont="1" applyFill="1" applyBorder="1" applyAlignment="1" applyProtection="1">
      <alignment horizontal="left"/>
      <protection locked="0"/>
    </xf>
    <xf numFmtId="0" fontId="38" fillId="0" borderId="0" xfId="0" applyFont="1" applyFill="1" applyBorder="1" applyAlignment="1">
      <alignment horizontal="center"/>
    </xf>
    <xf numFmtId="0" fontId="42" fillId="24" borderId="73" xfId="0" applyFont="1" applyFill="1" applyBorder="1" applyAlignment="1">
      <alignment horizontal="center"/>
    </xf>
    <xf numFmtId="0" fontId="44" fillId="0" borderId="0" xfId="0" applyFont="1" applyFill="1" applyBorder="1" applyAlignment="1">
      <alignment horizontal="center"/>
    </xf>
    <xf numFmtId="0" fontId="44" fillId="0" borderId="15" xfId="0" applyFont="1" applyFill="1" applyBorder="1" applyAlignment="1">
      <alignment horizontal="center"/>
    </xf>
    <xf numFmtId="0" fontId="39" fillId="0" borderId="29" xfId="0" applyFont="1" applyFill="1" applyBorder="1" applyAlignment="1">
      <alignment horizontal="center"/>
    </xf>
    <xf numFmtId="0" fontId="42" fillId="24" borderId="20" xfId="0" applyFont="1" applyFill="1" applyBorder="1" applyAlignment="1">
      <alignment horizontal="center" wrapText="1"/>
    </xf>
    <xf numFmtId="0" fontId="39" fillId="0" borderId="28" xfId="0" applyFont="1" applyFill="1" applyBorder="1" applyAlignment="1">
      <alignment horizontal="left"/>
    </xf>
    <xf numFmtId="0" fontId="39" fillId="0" borderId="29" xfId="0" applyFont="1" applyFill="1" applyBorder="1" applyAlignment="1">
      <alignment horizontal="left"/>
    </xf>
    <xf numFmtId="0" fontId="39" fillId="0" borderId="30" xfId="0" applyFont="1" applyFill="1" applyBorder="1" applyAlignment="1">
      <alignment horizontal="left"/>
    </xf>
    <xf numFmtId="0" fontId="39" fillId="0" borderId="65" xfId="0" applyFont="1" applyFill="1" applyBorder="1" applyAlignment="1">
      <alignment horizontal="center"/>
    </xf>
    <xf numFmtId="0" fontId="42" fillId="0" borderId="0" xfId="0" applyFont="1" applyFill="1" applyBorder="1" applyAlignment="1" applyProtection="1">
      <alignment horizontal="center"/>
      <protection locked="0"/>
    </xf>
    <xf numFmtId="190" fontId="36" fillId="27" borderId="21" xfId="35" applyNumberFormat="1" applyFont="1" applyFill="1" applyBorder="1" applyAlignment="1">
      <alignment horizontal="center" vertical="center" wrapText="1"/>
    </xf>
    <xf numFmtId="0" fontId="37" fillId="27" borderId="68" xfId="74" applyFont="1" applyFill="1" applyBorder="1" applyAlignment="1" applyProtection="1">
      <alignment vertical="center"/>
    </xf>
    <xf numFmtId="190" fontId="36" fillId="33" borderId="21" xfId="35" applyNumberFormat="1" applyFont="1" applyFill="1" applyBorder="1" applyAlignment="1">
      <alignment horizontal="center" vertical="center" wrapText="1"/>
    </xf>
    <xf numFmtId="0" fontId="57" fillId="0" borderId="0" xfId="139" applyFont="1" applyAlignment="1">
      <alignment horizontal="center" vertical="center"/>
    </xf>
    <xf numFmtId="0" fontId="57" fillId="0" borderId="0" xfId="139" applyFont="1" applyAlignment="1">
      <alignment horizontal="center"/>
    </xf>
    <xf numFmtId="0" fontId="57" fillId="0" borderId="0" xfId="139" applyFont="1"/>
    <xf numFmtId="0" fontId="59" fillId="0" borderId="102" xfId="139" applyFont="1" applyFill="1" applyBorder="1" applyAlignment="1">
      <alignment horizontal="center" vertical="center"/>
    </xf>
    <xf numFmtId="0" fontId="5" fillId="0" borderId="0" xfId="139" applyFont="1" applyAlignment="1">
      <alignment horizontal="center" vertical="center"/>
    </xf>
    <xf numFmtId="192" fontId="58" fillId="0" borderId="102" xfId="139" applyNumberFormat="1" applyFont="1" applyFill="1" applyBorder="1" applyAlignment="1">
      <alignment horizontal="center" vertical="center"/>
    </xf>
    <xf numFmtId="192" fontId="58" fillId="0" borderId="87" xfId="139" applyNumberFormat="1" applyFont="1" applyFill="1" applyBorder="1" applyAlignment="1">
      <alignment horizontal="center" vertical="center"/>
    </xf>
    <xf numFmtId="193" fontId="58" fillId="0" borderId="102" xfId="139" applyNumberFormat="1" applyFont="1" applyFill="1" applyBorder="1" applyAlignment="1">
      <alignment horizontal="center" vertical="center" wrapText="1"/>
    </xf>
    <xf numFmtId="193" fontId="58" fillId="0" borderId="87" xfId="139" applyNumberFormat="1" applyFont="1" applyFill="1" applyBorder="1" applyAlignment="1">
      <alignment horizontal="center" vertical="center" wrapText="1"/>
    </xf>
    <xf numFmtId="192" fontId="59" fillId="0" borderId="87" xfId="139" applyNumberFormat="1" applyFont="1" applyFill="1" applyBorder="1" applyAlignment="1">
      <alignment horizontal="center" vertical="center"/>
    </xf>
    <xf numFmtId="0" fontId="5" fillId="0" borderId="0" xfId="139" applyFont="1"/>
    <xf numFmtId="192" fontId="58" fillId="0" borderId="113" xfId="139" applyNumberFormat="1" applyFont="1" applyFill="1" applyBorder="1" applyAlignment="1">
      <alignment horizontal="center" vertical="center"/>
    </xf>
    <xf numFmtId="192" fontId="58" fillId="0" borderId="114" xfId="139" applyNumberFormat="1" applyFont="1" applyFill="1" applyBorder="1" applyAlignment="1">
      <alignment horizontal="center" vertical="center"/>
    </xf>
    <xf numFmtId="193" fontId="58" fillId="0" borderId="113" xfId="139" applyNumberFormat="1" applyFont="1" applyFill="1" applyBorder="1" applyAlignment="1">
      <alignment horizontal="center" vertical="center" wrapText="1"/>
    </xf>
    <xf numFmtId="193" fontId="58" fillId="0" borderId="114" xfId="139" applyNumberFormat="1" applyFont="1" applyFill="1" applyBorder="1" applyAlignment="1">
      <alignment horizontal="center" vertical="center" wrapText="1"/>
    </xf>
    <xf numFmtId="0" fontId="62" fillId="27" borderId="119" xfId="139" applyFont="1" applyFill="1" applyBorder="1" applyAlignment="1">
      <alignment horizontal="center" vertical="center"/>
    </xf>
    <xf numFmtId="0" fontId="63" fillId="27" borderId="120" xfId="139" applyFont="1" applyFill="1" applyBorder="1" applyAlignment="1">
      <alignment horizontal="center" vertical="center" wrapText="1"/>
    </xf>
    <xf numFmtId="0" fontId="62" fillId="27" borderId="121" xfId="139" applyFont="1" applyFill="1" applyBorder="1" applyAlignment="1">
      <alignment horizontal="center" vertical="center"/>
    </xf>
    <xf numFmtId="192" fontId="62" fillId="27" borderId="119" xfId="139" applyNumberFormat="1" applyFont="1" applyFill="1" applyBorder="1" applyAlignment="1">
      <alignment horizontal="center" vertical="center"/>
    </xf>
    <xf numFmtId="192" fontId="62" fillId="27" borderId="120" xfId="139" applyNumberFormat="1" applyFont="1" applyFill="1" applyBorder="1" applyAlignment="1">
      <alignment horizontal="center" vertical="center"/>
    </xf>
    <xf numFmtId="0" fontId="63" fillId="27" borderId="122" xfId="139" applyFont="1" applyFill="1" applyBorder="1" applyAlignment="1">
      <alignment horizontal="center" vertical="center" wrapText="1"/>
    </xf>
    <xf numFmtId="0" fontId="63" fillId="27" borderId="122" xfId="139" applyFont="1" applyFill="1" applyBorder="1" applyAlignment="1">
      <alignment horizontal="center" vertical="center"/>
    </xf>
    <xf numFmtId="0" fontId="63" fillId="27" borderId="123" xfId="139" applyFont="1" applyFill="1" applyBorder="1" applyAlignment="1">
      <alignment horizontal="center" vertical="center" wrapText="1"/>
    </xf>
    <xf numFmtId="193" fontId="62" fillId="27" borderId="119" xfId="139" applyNumberFormat="1" applyFont="1" applyFill="1" applyBorder="1" applyAlignment="1">
      <alignment horizontal="center" vertical="center" wrapText="1"/>
    </xf>
    <xf numFmtId="193" fontId="62" fillId="27" borderId="120" xfId="139" applyNumberFormat="1" applyFont="1" applyFill="1" applyBorder="1" applyAlignment="1">
      <alignment horizontal="center" vertical="center" wrapText="1"/>
    </xf>
    <xf numFmtId="192" fontId="62" fillId="27" borderId="121" xfId="139" applyNumberFormat="1" applyFont="1" applyFill="1" applyBorder="1" applyAlignment="1">
      <alignment horizontal="center" vertical="center"/>
    </xf>
    <xf numFmtId="0" fontId="5" fillId="34" borderId="109" xfId="139" applyFill="1" applyBorder="1" applyAlignment="1">
      <alignment horizontal="center" vertical="center"/>
    </xf>
    <xf numFmtId="0" fontId="5" fillId="34" borderId="124" xfId="139" applyFont="1" applyFill="1" applyBorder="1" applyAlignment="1">
      <alignment horizontal="center"/>
    </xf>
    <xf numFmtId="0" fontId="57" fillId="34" borderId="125" xfId="139" applyFont="1" applyFill="1" applyBorder="1" applyAlignment="1">
      <alignment vertical="center" wrapText="1"/>
    </xf>
    <xf numFmtId="0" fontId="57" fillId="34" borderId="126" xfId="139" applyFont="1" applyFill="1" applyBorder="1" applyAlignment="1">
      <alignment horizontal="center" vertical="center"/>
    </xf>
    <xf numFmtId="0" fontId="5" fillId="34" borderId="124" xfId="139" applyFont="1" applyFill="1" applyBorder="1" applyAlignment="1">
      <alignment horizontal="center" vertical="center"/>
    </xf>
    <xf numFmtId="0" fontId="5" fillId="34" borderId="125" xfId="139" applyFont="1" applyFill="1" applyBorder="1" applyAlignment="1">
      <alignment horizontal="center" vertical="center"/>
    </xf>
    <xf numFmtId="0" fontId="57" fillId="34" borderId="118" xfId="139" applyFont="1" applyFill="1" applyBorder="1" applyAlignment="1">
      <alignment vertical="center"/>
    </xf>
    <xf numFmtId="4" fontId="57" fillId="34" borderId="127" xfId="139" applyNumberFormat="1" applyFont="1" applyFill="1" applyBorder="1" applyAlignment="1">
      <alignment vertical="center"/>
    </xf>
    <xf numFmtId="0" fontId="58" fillId="34" borderId="124" xfId="139" applyFont="1" applyFill="1" applyBorder="1"/>
    <xf numFmtId="0" fontId="58" fillId="34" borderId="125" xfId="139" applyFont="1" applyFill="1" applyBorder="1"/>
    <xf numFmtId="0" fontId="59" fillId="34" borderId="118" xfId="139" applyFont="1" applyFill="1" applyBorder="1"/>
    <xf numFmtId="4" fontId="59" fillId="34" borderId="127" xfId="139" applyNumberFormat="1" applyFont="1" applyFill="1" applyBorder="1" applyAlignment="1">
      <alignment wrapText="1"/>
    </xf>
    <xf numFmtId="0" fontId="57" fillId="34" borderId="124" xfId="139" applyFont="1" applyFill="1" applyBorder="1" applyAlignment="1">
      <alignment horizontal="center" vertical="center" wrapText="1"/>
    </xf>
    <xf numFmtId="0" fontId="57" fillId="34" borderId="125" xfId="139" applyFont="1" applyFill="1" applyBorder="1" applyAlignment="1">
      <alignment horizontal="center" vertical="center" wrapText="1"/>
    </xf>
    <xf numFmtId="0" fontId="57" fillId="34" borderId="118" xfId="139" applyFont="1" applyFill="1" applyBorder="1" applyAlignment="1">
      <alignment horizontal="center" vertical="center" wrapText="1"/>
    </xf>
    <xf numFmtId="0" fontId="5" fillId="34" borderId="124" xfId="139" applyFill="1" applyBorder="1" applyAlignment="1">
      <alignment horizontal="center" wrapText="1"/>
    </xf>
    <xf numFmtId="0" fontId="5" fillId="34" borderId="125" xfId="139" applyFill="1" applyBorder="1" applyAlignment="1">
      <alignment horizontal="center" wrapText="1"/>
    </xf>
    <xf numFmtId="0" fontId="5" fillId="34" borderId="126" xfId="139" applyFill="1" applyBorder="1" applyAlignment="1">
      <alignment horizontal="center" wrapText="1"/>
    </xf>
    <xf numFmtId="0" fontId="57" fillId="34" borderId="118" xfId="139" applyFont="1" applyFill="1" applyBorder="1" applyAlignment="1">
      <alignment wrapText="1"/>
    </xf>
    <xf numFmtId="4" fontId="57" fillId="34" borderId="127" xfId="139" applyNumberFormat="1" applyFont="1" applyFill="1" applyBorder="1"/>
    <xf numFmtId="0" fontId="5" fillId="34" borderId="109" xfId="139" applyFill="1" applyBorder="1"/>
    <xf numFmtId="0" fontId="5" fillId="0" borderId="109" xfId="139" applyFill="1" applyBorder="1" applyAlignment="1">
      <alignment horizontal="center" vertical="center"/>
    </xf>
    <xf numFmtId="0" fontId="5" fillId="0" borderId="102" xfId="139" applyFont="1" applyFill="1" applyBorder="1" applyAlignment="1">
      <alignment horizontal="center"/>
    </xf>
    <xf numFmtId="0" fontId="57" fillId="0" borderId="87" xfId="139" applyFont="1" applyFill="1" applyBorder="1" applyAlignment="1">
      <alignment horizontal="left" vertical="center" wrapText="1"/>
    </xf>
    <xf numFmtId="0" fontId="5" fillId="0" borderId="103" xfId="139" applyFont="1" applyFill="1" applyBorder="1" applyAlignment="1">
      <alignment horizontal="center" vertical="center"/>
    </xf>
    <xf numFmtId="4" fontId="5" fillId="0" borderId="102" xfId="139" applyNumberFormat="1" applyFont="1" applyFill="1" applyBorder="1" applyAlignment="1">
      <alignment horizontal="center" vertical="center"/>
    </xf>
    <xf numFmtId="4" fontId="5" fillId="0" borderId="87" xfId="139" applyNumberFormat="1" applyFont="1" applyFill="1" applyBorder="1" applyAlignment="1">
      <alignment horizontal="center" vertical="center"/>
    </xf>
    <xf numFmtId="4" fontId="57" fillId="0" borderId="104" xfId="139" applyNumberFormat="1" applyFont="1" applyFill="1" applyBorder="1" applyAlignment="1">
      <alignment vertical="center"/>
    </xf>
    <xf numFmtId="4" fontId="5" fillId="0" borderId="102" xfId="139" applyNumberFormat="1" applyFont="1" applyFill="1" applyBorder="1" applyAlignment="1">
      <alignment vertical="center"/>
    </xf>
    <xf numFmtId="4" fontId="5" fillId="0" borderId="87" xfId="139" applyNumberFormat="1" applyFont="1" applyFill="1" applyBorder="1" applyAlignment="1">
      <alignment vertical="center"/>
    </xf>
    <xf numFmtId="4" fontId="57" fillId="0" borderId="105" xfId="139" applyNumberFormat="1" applyFont="1" applyFill="1" applyBorder="1" applyAlignment="1">
      <alignment vertical="center"/>
    </xf>
    <xf numFmtId="0" fontId="58" fillId="0" borderId="102" xfId="139" applyFont="1" applyFill="1" applyBorder="1"/>
    <xf numFmtId="0" fontId="58" fillId="0" borderId="87" xfId="139" applyFont="1" applyFill="1" applyBorder="1"/>
    <xf numFmtId="0" fontId="59" fillId="0" borderId="104" xfId="139" applyFont="1" applyFill="1" applyBorder="1"/>
    <xf numFmtId="4" fontId="59" fillId="0" borderId="105" xfId="139" applyNumberFormat="1" applyFont="1" applyFill="1" applyBorder="1"/>
    <xf numFmtId="0" fontId="5" fillId="0" borderId="102" xfId="139" applyBorder="1" applyAlignment="1">
      <alignment horizontal="center" vertical="center"/>
    </xf>
    <xf numFmtId="0" fontId="5" fillId="0" borderId="87" xfId="139" applyBorder="1" applyAlignment="1">
      <alignment horizontal="center" vertical="center"/>
    </xf>
    <xf numFmtId="0" fontId="5" fillId="0" borderId="104" xfId="139" applyBorder="1" applyAlignment="1">
      <alignment horizontal="center" vertical="center"/>
    </xf>
    <xf numFmtId="4" fontId="5" fillId="0" borderId="102" xfId="139" applyNumberFormat="1" applyFill="1" applyBorder="1" applyAlignment="1">
      <alignment horizontal="center"/>
    </xf>
    <xf numFmtId="4" fontId="5" fillId="0" borderId="87" xfId="139" applyNumberFormat="1" applyFill="1" applyBorder="1" applyAlignment="1">
      <alignment horizontal="center"/>
    </xf>
    <xf numFmtId="4" fontId="57" fillId="0" borderId="104" xfId="139" applyNumberFormat="1" applyFont="1" applyFill="1" applyBorder="1"/>
    <xf numFmtId="4" fontId="5" fillId="0" borderId="102" xfId="139" applyNumberFormat="1" applyFill="1" applyBorder="1"/>
    <xf numFmtId="4" fontId="5" fillId="0" borderId="87" xfId="139" applyNumberFormat="1" applyFill="1" applyBorder="1"/>
    <xf numFmtId="4" fontId="57" fillId="0" borderId="105" xfId="139" applyNumberFormat="1" applyFont="1" applyBorder="1"/>
    <xf numFmtId="0" fontId="5" fillId="0" borderId="109" xfId="139" applyFill="1" applyBorder="1"/>
    <xf numFmtId="0" fontId="5" fillId="34" borderId="102" xfId="139" applyFont="1" applyFill="1" applyBorder="1" applyAlignment="1">
      <alignment horizontal="center"/>
    </xf>
    <xf numFmtId="0" fontId="57" fillId="34" borderId="87" xfId="139" applyFont="1" applyFill="1" applyBorder="1" applyAlignment="1">
      <alignment vertical="center" wrapText="1"/>
    </xf>
    <xf numFmtId="0" fontId="57" fillId="34" borderId="103" xfId="139" applyFont="1" applyFill="1" applyBorder="1" applyAlignment="1">
      <alignment horizontal="center" vertical="center"/>
    </xf>
    <xf numFmtId="0" fontId="5" fillId="34" borderId="102" xfId="139" applyFont="1" applyFill="1" applyBorder="1" applyAlignment="1">
      <alignment horizontal="center" vertical="center"/>
    </xf>
    <xf numFmtId="0" fontId="5" fillId="34" borderId="87" xfId="139" applyFont="1" applyFill="1" applyBorder="1" applyAlignment="1">
      <alignment horizontal="center" vertical="center"/>
    </xf>
    <xf numFmtId="0" fontId="57" fillId="34" borderId="104" xfId="139" applyFont="1" applyFill="1" applyBorder="1" applyAlignment="1">
      <alignment vertical="center"/>
    </xf>
    <xf numFmtId="4" fontId="57" fillId="34" borderId="105" xfId="139" applyNumberFormat="1" applyFont="1" applyFill="1" applyBorder="1" applyAlignment="1">
      <alignment vertical="center"/>
    </xf>
    <xf numFmtId="0" fontId="58" fillId="34" borderId="102" xfId="139" applyFont="1" applyFill="1" applyBorder="1"/>
    <xf numFmtId="0" fontId="58" fillId="34" borderId="87" xfId="139" applyFont="1" applyFill="1" applyBorder="1"/>
    <xf numFmtId="0" fontId="59" fillId="34" borderId="104" xfId="139" applyFont="1" applyFill="1" applyBorder="1"/>
    <xf numFmtId="4" fontId="59" fillId="34" borderId="105" xfId="139" applyNumberFormat="1" applyFont="1" applyFill="1" applyBorder="1"/>
    <xf numFmtId="0" fontId="57" fillId="34" borderId="102" xfId="139" applyFont="1" applyFill="1" applyBorder="1" applyAlignment="1">
      <alignment horizontal="center" vertical="center"/>
    </xf>
    <xf numFmtId="0" fontId="57" fillId="34" borderId="87" xfId="139" applyFont="1" applyFill="1" applyBorder="1" applyAlignment="1">
      <alignment horizontal="center" vertical="center"/>
    </xf>
    <xf numFmtId="0" fontId="57" fillId="34" borderId="104" xfId="139" applyFont="1" applyFill="1" applyBorder="1" applyAlignment="1">
      <alignment horizontal="center" vertical="center"/>
    </xf>
    <xf numFmtId="0" fontId="5" fillId="34" borderId="102" xfId="139" applyFill="1" applyBorder="1" applyAlignment="1">
      <alignment horizontal="center"/>
    </xf>
    <xf numFmtId="0" fontId="5" fillId="34" borderId="87" xfId="139" applyFill="1" applyBorder="1" applyAlignment="1">
      <alignment horizontal="center"/>
    </xf>
    <xf numFmtId="0" fontId="57" fillId="34" borderId="104" xfId="139" applyFont="1" applyFill="1" applyBorder="1"/>
    <xf numFmtId="4" fontId="57" fillId="34" borderId="105" xfId="139" applyNumberFormat="1" applyFont="1" applyFill="1" applyBorder="1"/>
    <xf numFmtId="4" fontId="5" fillId="34" borderId="102" xfId="139" applyNumberFormat="1" applyFont="1" applyFill="1" applyBorder="1"/>
    <xf numFmtId="4" fontId="5" fillId="34" borderId="87" xfId="139" applyNumberFormat="1" applyFont="1" applyFill="1" applyBorder="1"/>
    <xf numFmtId="4" fontId="57" fillId="34" borderId="104" xfId="139" applyNumberFormat="1" applyFont="1" applyFill="1" applyBorder="1"/>
    <xf numFmtId="4" fontId="5" fillId="34" borderId="104" xfId="139" applyNumberFormat="1" applyFont="1" applyFill="1" applyBorder="1"/>
    <xf numFmtId="0" fontId="5" fillId="36" borderId="109" xfId="139" applyFill="1" applyBorder="1" applyAlignment="1">
      <alignment horizontal="center" vertical="center"/>
    </xf>
    <xf numFmtId="0" fontId="5" fillId="36" borderId="102" xfId="139" applyFont="1" applyFill="1" applyBorder="1" applyAlignment="1">
      <alignment horizontal="center"/>
    </xf>
    <xf numFmtId="0" fontId="57" fillId="36" borderId="87" xfId="139" applyFont="1" applyFill="1" applyBorder="1" applyAlignment="1">
      <alignment horizontal="left" vertical="center" wrapText="1"/>
    </xf>
    <xf numFmtId="0" fontId="5" fillId="36" borderId="103" xfId="139" applyFont="1" applyFill="1" applyBorder="1" applyAlignment="1">
      <alignment horizontal="center" vertical="center"/>
    </xf>
    <xf numFmtId="4" fontId="5" fillId="36" borderId="102" xfId="139" applyNumberFormat="1" applyFont="1" applyFill="1" applyBorder="1" applyAlignment="1">
      <alignment vertical="center"/>
    </xf>
    <xf numFmtId="4" fontId="5" fillId="36" borderId="87" xfId="139" applyNumberFormat="1" applyFont="1" applyFill="1" applyBorder="1" applyAlignment="1">
      <alignment vertical="center"/>
    </xf>
    <xf numFmtId="4" fontId="57" fillId="36" borderId="104" xfId="139" applyNumberFormat="1" applyFont="1" applyFill="1" applyBorder="1" applyAlignment="1">
      <alignment vertical="center"/>
    </xf>
    <xf numFmtId="4" fontId="57" fillId="36" borderId="105" xfId="139" applyNumberFormat="1" applyFont="1" applyFill="1" applyBorder="1" applyAlignment="1">
      <alignment vertical="center"/>
    </xf>
    <xf numFmtId="0" fontId="58" fillId="36" borderId="102" xfId="139" applyFont="1" applyFill="1" applyBorder="1"/>
    <xf numFmtId="0" fontId="58" fillId="36" borderId="87" xfId="139" applyFont="1" applyFill="1" applyBorder="1"/>
    <xf numFmtId="0" fontId="59" fillId="36" borderId="104" xfId="139" applyFont="1" applyFill="1" applyBorder="1"/>
    <xf numFmtId="4" fontId="59" fillId="36" borderId="105" xfId="139" applyNumberFormat="1" applyFont="1" applyFill="1" applyBorder="1"/>
    <xf numFmtId="4" fontId="5" fillId="36" borderId="102" xfId="139" applyNumberFormat="1" applyFont="1" applyFill="1" applyBorder="1"/>
    <xf numFmtId="4" fontId="5" fillId="36" borderId="87" xfId="139" applyNumberFormat="1" applyFont="1" applyFill="1" applyBorder="1"/>
    <xf numFmtId="4" fontId="57" fillId="36" borderId="104" xfId="139" applyNumberFormat="1" applyFont="1" applyFill="1" applyBorder="1"/>
    <xf numFmtId="4" fontId="5" fillId="36" borderId="104" xfId="139" applyNumberFormat="1" applyFont="1" applyFill="1" applyBorder="1"/>
    <xf numFmtId="4" fontId="57" fillId="36" borderId="105" xfId="139" applyNumberFormat="1" applyFont="1" applyFill="1" applyBorder="1"/>
    <xf numFmtId="0" fontId="5" fillId="36" borderId="109" xfId="139" applyFill="1" applyBorder="1"/>
    <xf numFmtId="0" fontId="0" fillId="0" borderId="102" xfId="140" applyFont="1" applyFill="1" applyBorder="1" applyAlignment="1">
      <alignment horizontal="center" vertical="center"/>
    </xf>
    <xf numFmtId="0" fontId="5" fillId="0" borderId="87" xfId="139" applyFont="1" applyFill="1" applyBorder="1" applyAlignment="1">
      <alignment horizontal="left" vertical="center" wrapText="1"/>
    </xf>
    <xf numFmtId="4" fontId="58" fillId="0" borderId="102" xfId="139" applyNumberFormat="1" applyFont="1" applyFill="1" applyBorder="1"/>
    <xf numFmtId="4" fontId="58" fillId="0" borderId="87" xfId="139" applyNumberFormat="1" applyFont="1" applyFill="1" applyBorder="1"/>
    <xf numFmtId="4" fontId="59" fillId="0" borderId="104" xfId="139" applyNumberFormat="1" applyFont="1" applyFill="1" applyBorder="1"/>
    <xf numFmtId="4" fontId="5" fillId="0" borderId="102" xfId="139" applyNumberFormat="1" applyFont="1" applyFill="1" applyBorder="1"/>
    <xf numFmtId="4" fontId="5" fillId="0" borderId="87" xfId="139" applyNumberFormat="1" applyFont="1" applyFill="1" applyBorder="1"/>
    <xf numFmtId="4" fontId="5" fillId="0" borderId="104" xfId="139" applyNumberFormat="1" applyFont="1" applyFill="1" applyBorder="1"/>
    <xf numFmtId="4" fontId="57" fillId="0" borderId="105" xfId="139" applyNumberFormat="1" applyFont="1" applyFill="1" applyBorder="1"/>
    <xf numFmtId="174" fontId="57" fillId="0" borderId="105" xfId="139" applyNumberFormat="1" applyFont="1" applyFill="1" applyBorder="1"/>
    <xf numFmtId="4" fontId="58" fillId="36" borderId="102" xfId="139" applyNumberFormat="1" applyFont="1" applyFill="1" applyBorder="1"/>
    <xf numFmtId="4" fontId="58" fillId="36" borderId="87" xfId="139" applyNumberFormat="1" applyFont="1" applyFill="1" applyBorder="1"/>
    <xf numFmtId="4" fontId="59" fillId="36" borderId="104" xfId="139" applyNumberFormat="1" applyFont="1" applyFill="1" applyBorder="1"/>
    <xf numFmtId="174" fontId="57" fillId="36" borderId="105" xfId="139" applyNumberFormat="1" applyFont="1" applyFill="1" applyBorder="1"/>
    <xf numFmtId="0" fontId="58" fillId="0" borderId="87" xfId="139" applyFont="1" applyFill="1" applyBorder="1" applyAlignment="1">
      <alignment horizontal="left" vertical="center" wrapText="1"/>
    </xf>
    <xf numFmtId="0" fontId="5" fillId="35" borderId="109" xfId="139" applyFill="1" applyBorder="1" applyAlignment="1">
      <alignment horizontal="center" vertical="center"/>
    </xf>
    <xf numFmtId="0" fontId="5" fillId="35" borderId="102" xfId="139" applyFont="1" applyFill="1" applyBorder="1" applyAlignment="1">
      <alignment horizontal="center"/>
    </xf>
    <xf numFmtId="0" fontId="57" fillId="35" borderId="87" xfId="139" applyFont="1" applyFill="1" applyBorder="1" applyAlignment="1">
      <alignment horizontal="left" vertical="center" wrapText="1"/>
    </xf>
    <xf numFmtId="0" fontId="5" fillId="35" borderId="103" xfId="139" applyFont="1" applyFill="1" applyBorder="1" applyAlignment="1">
      <alignment horizontal="center" vertical="center"/>
    </xf>
    <xf numFmtId="4" fontId="5" fillId="35" borderId="102" xfId="139" applyNumberFormat="1" applyFont="1" applyFill="1" applyBorder="1" applyAlignment="1">
      <alignment vertical="center"/>
    </xf>
    <xf numFmtId="4" fontId="5" fillId="35" borderId="87" xfId="139" applyNumberFormat="1" applyFont="1" applyFill="1" applyBorder="1" applyAlignment="1">
      <alignment vertical="center"/>
    </xf>
    <xf numFmtId="4" fontId="57" fillId="35" borderId="104" xfId="139" applyNumberFormat="1" applyFont="1" applyFill="1" applyBorder="1" applyAlignment="1">
      <alignment vertical="center"/>
    </xf>
    <xf numFmtId="4" fontId="57" fillId="35" borderId="105" xfId="139" applyNumberFormat="1" applyFont="1" applyFill="1" applyBorder="1" applyAlignment="1">
      <alignment vertical="center"/>
    </xf>
    <xf numFmtId="4" fontId="58" fillId="35" borderId="102" xfId="139" applyNumberFormat="1" applyFont="1" applyFill="1" applyBorder="1"/>
    <xf numFmtId="4" fontId="58" fillId="35" borderId="87" xfId="139" applyNumberFormat="1" applyFont="1" applyFill="1" applyBorder="1"/>
    <xf numFmtId="4" fontId="59" fillId="35" borderId="104" xfId="139" applyNumberFormat="1" applyFont="1" applyFill="1" applyBorder="1"/>
    <xf numFmtId="4" fontId="59" fillId="35" borderId="105" xfId="139" applyNumberFormat="1" applyFont="1" applyFill="1" applyBorder="1"/>
    <xf numFmtId="4" fontId="5" fillId="35" borderId="102" xfId="139" applyNumberFormat="1" applyFont="1" applyFill="1" applyBorder="1"/>
    <xf numFmtId="4" fontId="5" fillId="35" borderId="87" xfId="139" applyNumberFormat="1" applyFont="1" applyFill="1" applyBorder="1"/>
    <xf numFmtId="4" fontId="57" fillId="35" borderId="104" xfId="139" applyNumberFormat="1" applyFont="1" applyFill="1" applyBorder="1"/>
    <xf numFmtId="4" fontId="5" fillId="35" borderId="104" xfId="139" applyNumberFormat="1" applyFont="1" applyFill="1" applyBorder="1"/>
    <xf numFmtId="4" fontId="57" fillId="35" borderId="105" xfId="139" applyNumberFormat="1" applyFont="1" applyFill="1" applyBorder="1"/>
    <xf numFmtId="174" fontId="57" fillId="35" borderId="105" xfId="139" applyNumberFormat="1" applyFont="1" applyFill="1" applyBorder="1"/>
    <xf numFmtId="0" fontId="5" fillId="35" borderId="109" xfId="139" applyFill="1" applyBorder="1"/>
    <xf numFmtId="0" fontId="5" fillId="27" borderId="109" xfId="139" applyFill="1" applyBorder="1" applyAlignment="1">
      <alignment horizontal="center" vertical="center"/>
    </xf>
    <xf numFmtId="0" fontId="0" fillId="27" borderId="102" xfId="140" applyFont="1" applyFill="1" applyBorder="1" applyAlignment="1">
      <alignment horizontal="center" vertical="center"/>
    </xf>
    <xf numFmtId="0" fontId="5" fillId="27" borderId="87" xfId="139" applyFont="1" applyFill="1" applyBorder="1" applyAlignment="1">
      <alignment horizontal="left" vertical="center" wrapText="1"/>
    </xf>
    <xf numFmtId="0" fontId="5" fillId="27" borderId="103" xfId="139" applyFont="1" applyFill="1" applyBorder="1" applyAlignment="1">
      <alignment horizontal="center" vertical="center"/>
    </xf>
    <xf numFmtId="4" fontId="5" fillId="27" borderId="102" xfId="139" applyNumberFormat="1" applyFont="1" applyFill="1" applyBorder="1" applyAlignment="1">
      <alignment vertical="center"/>
    </xf>
    <xf numFmtId="4" fontId="5" fillId="27" borderId="87" xfId="139" applyNumberFormat="1" applyFont="1" applyFill="1" applyBorder="1" applyAlignment="1">
      <alignment vertical="center"/>
    </xf>
    <xf numFmtId="4" fontId="57" fillId="27" borderId="104" xfId="139" applyNumberFormat="1" applyFont="1" applyFill="1" applyBorder="1" applyAlignment="1">
      <alignment vertical="center"/>
    </xf>
    <xf numFmtId="4" fontId="57" fillId="27" borderId="105" xfId="139" applyNumberFormat="1" applyFont="1" applyFill="1" applyBorder="1" applyAlignment="1">
      <alignment vertical="center"/>
    </xf>
    <xf numFmtId="4" fontId="58" fillId="27" borderId="102" xfId="139" applyNumberFormat="1" applyFont="1" applyFill="1" applyBorder="1"/>
    <xf numFmtId="4" fontId="58" fillId="27" borderId="87" xfId="139" applyNumberFormat="1" applyFont="1" applyFill="1" applyBorder="1"/>
    <xf numFmtId="4" fontId="59" fillId="27" borderId="104" xfId="139" applyNumberFormat="1" applyFont="1" applyFill="1" applyBorder="1"/>
    <xf numFmtId="4" fontId="59" fillId="27" borderId="105" xfId="139" applyNumberFormat="1" applyFont="1" applyFill="1" applyBorder="1"/>
    <xf numFmtId="4" fontId="5" fillId="27" borderId="102" xfId="139" applyNumberFormat="1" applyFont="1" applyFill="1" applyBorder="1"/>
    <xf numFmtId="4" fontId="5" fillId="27" borderId="87" xfId="139" applyNumberFormat="1" applyFont="1" applyFill="1" applyBorder="1"/>
    <xf numFmtId="4" fontId="57" fillId="27" borderId="104" xfId="139" applyNumberFormat="1" applyFont="1" applyFill="1" applyBorder="1"/>
    <xf numFmtId="4" fontId="5" fillId="27" borderId="104" xfId="139" applyNumberFormat="1" applyFont="1" applyFill="1" applyBorder="1"/>
    <xf numFmtId="4" fontId="57" fillId="27" borderId="105" xfId="139" applyNumberFormat="1" applyFont="1" applyFill="1" applyBorder="1"/>
    <xf numFmtId="174" fontId="57" fillId="27" borderId="105" xfId="139" applyNumberFormat="1" applyFont="1" applyFill="1" applyBorder="1" applyAlignment="1">
      <alignment vertical="center"/>
    </xf>
    <xf numFmtId="0" fontId="5" fillId="27" borderId="109" xfId="139" applyFill="1" applyBorder="1"/>
    <xf numFmtId="4" fontId="58" fillId="0" borderId="102" xfId="139" applyNumberFormat="1" applyFont="1" applyFill="1" applyBorder="1" applyAlignment="1">
      <alignment vertical="center"/>
    </xf>
    <xf numFmtId="4" fontId="58" fillId="0" borderId="87" xfId="139" applyNumberFormat="1" applyFont="1" applyFill="1" applyBorder="1" applyAlignment="1">
      <alignment vertical="center"/>
    </xf>
    <xf numFmtId="4" fontId="59" fillId="0" borderId="104" xfId="139" applyNumberFormat="1" applyFont="1" applyFill="1" applyBorder="1" applyAlignment="1">
      <alignment vertical="center"/>
    </xf>
    <xf numFmtId="4" fontId="59" fillId="0" borderId="105" xfId="139" applyNumberFormat="1" applyFont="1" applyFill="1" applyBorder="1" applyAlignment="1">
      <alignment vertical="center"/>
    </xf>
    <xf numFmtId="4" fontId="5" fillId="0" borderId="104" xfId="139" applyNumberFormat="1" applyFont="1" applyFill="1" applyBorder="1" applyAlignment="1">
      <alignment vertical="center"/>
    </xf>
    <xf numFmtId="174" fontId="57" fillId="0" borderId="105" xfId="139" applyNumberFormat="1" applyFont="1" applyFill="1" applyBorder="1" applyAlignment="1">
      <alignment vertical="center"/>
    </xf>
    <xf numFmtId="0" fontId="5" fillId="0" borderId="109" xfId="139" applyFill="1" applyBorder="1" applyAlignment="1">
      <alignment vertical="center"/>
    </xf>
    <xf numFmtId="3" fontId="59" fillId="0" borderId="105" xfId="139" applyNumberFormat="1" applyFont="1" applyFill="1" applyBorder="1"/>
    <xf numFmtId="0" fontId="5" fillId="0" borderId="128" xfId="139" applyFill="1" applyBorder="1" applyAlignment="1">
      <alignment horizontal="center" vertical="center"/>
    </xf>
    <xf numFmtId="0" fontId="5" fillId="0" borderId="129" xfId="139" applyFont="1" applyFill="1" applyBorder="1" applyAlignment="1">
      <alignment horizontal="center"/>
    </xf>
    <xf numFmtId="0" fontId="5" fillId="0" borderId="130" xfId="139" applyFont="1" applyFill="1" applyBorder="1" applyAlignment="1">
      <alignment horizontal="left" vertical="center" wrapText="1"/>
    </xf>
    <xf numFmtId="0" fontId="5" fillId="0" borderId="131" xfId="139" applyFont="1" applyFill="1" applyBorder="1" applyAlignment="1">
      <alignment horizontal="center" vertical="center"/>
    </xf>
    <xf numFmtId="4" fontId="5" fillId="0" borderId="129" xfId="139" applyNumberFormat="1" applyFont="1" applyFill="1" applyBorder="1" applyAlignment="1">
      <alignment vertical="center"/>
    </xf>
    <xf numFmtId="4" fontId="5" fillId="0" borderId="130" xfId="139" applyNumberFormat="1" applyFont="1" applyFill="1" applyBorder="1" applyAlignment="1">
      <alignment vertical="center"/>
    </xf>
    <xf numFmtId="4" fontId="57" fillId="0" borderId="111" xfId="139" applyNumberFormat="1" applyFont="1" applyFill="1" applyBorder="1" applyAlignment="1">
      <alignment vertical="center"/>
    </xf>
    <xf numFmtId="4" fontId="57" fillId="0" borderId="132" xfId="139" applyNumberFormat="1" applyFont="1" applyFill="1" applyBorder="1" applyAlignment="1">
      <alignment vertical="center"/>
    </xf>
    <xf numFmtId="4" fontId="58" fillId="0" borderId="129" xfId="139" applyNumberFormat="1" applyFont="1" applyFill="1" applyBorder="1"/>
    <xf numFmtId="4" fontId="58" fillId="0" borderId="130" xfId="139" applyNumberFormat="1" applyFont="1" applyFill="1" applyBorder="1"/>
    <xf numFmtId="4" fontId="59" fillId="0" borderId="111" xfId="139" applyNumberFormat="1" applyFont="1" applyFill="1" applyBorder="1"/>
    <xf numFmtId="4" fontId="59" fillId="0" borderId="132" xfId="139" applyNumberFormat="1" applyFont="1" applyFill="1" applyBorder="1"/>
    <xf numFmtId="4" fontId="5" fillId="0" borderId="129" xfId="139" applyNumberFormat="1" applyFont="1" applyFill="1" applyBorder="1"/>
    <xf numFmtId="4" fontId="5" fillId="0" borderId="130" xfId="139" applyNumberFormat="1" applyFont="1" applyFill="1" applyBorder="1"/>
    <xf numFmtId="4" fontId="57" fillId="0" borderId="111" xfId="139" applyNumberFormat="1" applyFont="1" applyFill="1" applyBorder="1"/>
    <xf numFmtId="4" fontId="5" fillId="0" borderId="111" xfId="139" applyNumberFormat="1" applyFont="1" applyFill="1" applyBorder="1"/>
    <xf numFmtId="4" fontId="57" fillId="0" borderId="132" xfId="139" applyNumberFormat="1" applyFont="1" applyFill="1" applyBorder="1"/>
    <xf numFmtId="174" fontId="57" fillId="0" borderId="132" xfId="139" applyNumberFormat="1" applyFont="1" applyFill="1" applyBorder="1"/>
    <xf numFmtId="0" fontId="5" fillId="0" borderId="128" xfId="139" applyFill="1" applyBorder="1"/>
    <xf numFmtId="0" fontId="5" fillId="0" borderId="95" xfId="139" applyBorder="1"/>
    <xf numFmtId="0" fontId="5" fillId="0" borderId="95" xfId="139" applyFont="1" applyBorder="1" applyAlignment="1">
      <alignment horizontal="center"/>
    </xf>
    <xf numFmtId="0" fontId="5" fillId="0" borderId="95" xfId="139" applyFont="1" applyBorder="1" applyAlignment="1">
      <alignment vertical="center" wrapText="1"/>
    </xf>
    <xf numFmtId="0" fontId="5" fillId="0" borderId="95" xfId="139" applyFont="1" applyBorder="1" applyAlignment="1">
      <alignment horizontal="center" vertical="center"/>
    </xf>
    <xf numFmtId="0" fontId="5" fillId="0" borderId="95" xfId="139" applyFont="1" applyBorder="1" applyAlignment="1">
      <alignment vertical="center"/>
    </xf>
    <xf numFmtId="0" fontId="5" fillId="0" borderId="95" xfId="139" applyFont="1" applyBorder="1"/>
    <xf numFmtId="0" fontId="57" fillId="0" borderId="95" xfId="139" applyFont="1" applyBorder="1"/>
    <xf numFmtId="0" fontId="5" fillId="0" borderId="95" xfId="139" applyBorder="1" applyAlignment="1">
      <alignment horizontal="center" vertical="center"/>
    </xf>
    <xf numFmtId="4" fontId="5" fillId="0" borderId="95" xfId="139" applyNumberFormat="1" applyBorder="1"/>
    <xf numFmtId="4" fontId="57" fillId="0" borderId="95" xfId="139" applyNumberFormat="1" applyFont="1" applyBorder="1"/>
    <xf numFmtId="0" fontId="58" fillId="0" borderId="95" xfId="139" applyFont="1" applyBorder="1"/>
    <xf numFmtId="0" fontId="5" fillId="0" borderId="0" xfId="139" applyBorder="1"/>
    <xf numFmtId="0" fontId="5" fillId="0" borderId="0" xfId="139" applyFont="1" applyBorder="1" applyAlignment="1">
      <alignment horizontal="center"/>
    </xf>
    <xf numFmtId="0" fontId="5" fillId="0" borderId="0" xfId="139" applyFont="1" applyBorder="1" applyAlignment="1">
      <alignment vertical="center" wrapText="1"/>
    </xf>
    <xf numFmtId="0" fontId="5" fillId="0" borderId="0" xfId="139" applyFont="1" applyBorder="1" applyAlignment="1">
      <alignment horizontal="center" vertical="center"/>
    </xf>
    <xf numFmtId="0" fontId="5" fillId="0" borderId="0" xfId="139" applyFont="1" applyBorder="1" applyAlignment="1">
      <alignment vertical="center"/>
    </xf>
    <xf numFmtId="0" fontId="5" fillId="0" borderId="0" xfId="139" applyFont="1" applyBorder="1"/>
    <xf numFmtId="0" fontId="57" fillId="0" borderId="0" xfId="139" applyFont="1" applyBorder="1"/>
    <xf numFmtId="0" fontId="5" fillId="0" borderId="0" xfId="139" applyBorder="1" applyAlignment="1">
      <alignment horizontal="center" vertical="center"/>
    </xf>
    <xf numFmtId="4" fontId="5" fillId="0" borderId="0" xfId="139" applyNumberFormat="1" applyBorder="1"/>
    <xf numFmtId="4" fontId="57" fillId="0" borderId="0" xfId="139" applyNumberFormat="1" applyFont="1" applyBorder="1"/>
    <xf numFmtId="0" fontId="58" fillId="0" borderId="0" xfId="139" applyFont="1" applyBorder="1"/>
    <xf numFmtId="0" fontId="5" fillId="0" borderId="0" xfId="139"/>
    <xf numFmtId="0" fontId="5" fillId="0" borderId="0" xfId="139" applyFont="1" applyAlignment="1">
      <alignment horizontal="center"/>
    </xf>
    <xf numFmtId="0" fontId="5" fillId="0" borderId="0" xfId="139" applyFont="1" applyAlignment="1">
      <alignment vertical="center" wrapText="1"/>
    </xf>
    <xf numFmtId="0" fontId="5" fillId="0" borderId="0" xfId="139" applyFont="1" applyAlignment="1">
      <alignment vertical="center"/>
    </xf>
    <xf numFmtId="0" fontId="5" fillId="0" borderId="0" xfId="139" applyAlignment="1">
      <alignment horizontal="center"/>
    </xf>
    <xf numFmtId="0" fontId="58" fillId="0" borderId="0" xfId="139" applyFont="1"/>
    <xf numFmtId="0" fontId="55" fillId="0" borderId="123" xfId="140" applyFont="1" applyBorder="1" applyAlignment="1">
      <alignment horizontal="center" vertical="center" wrapText="1"/>
    </xf>
    <xf numFmtId="0" fontId="55" fillId="0" borderId="123" xfId="140" applyFont="1" applyFill="1" applyBorder="1" applyAlignment="1">
      <alignment horizontal="center" vertical="center" wrapText="1"/>
    </xf>
    <xf numFmtId="0" fontId="54" fillId="0" borderId="0" xfId="140" applyFont="1" applyAlignment="1">
      <alignment vertical="center" wrapText="1"/>
    </xf>
    <xf numFmtId="0" fontId="54" fillId="0" borderId="123" xfId="140" applyFont="1" applyFill="1" applyBorder="1" applyAlignment="1">
      <alignment horizontal="right" vertical="center" wrapText="1"/>
    </xf>
    <xf numFmtId="0" fontId="55" fillId="37" borderId="123" xfId="140" applyFont="1" applyFill="1" applyBorder="1" applyAlignment="1">
      <alignment horizontal="left" vertical="center" wrapText="1"/>
    </xf>
    <xf numFmtId="0" fontId="54" fillId="37" borderId="0" xfId="140" applyFont="1" applyFill="1" applyAlignment="1">
      <alignment horizontal="left" vertical="center" wrapText="1"/>
    </xf>
    <xf numFmtId="0" fontId="54" fillId="0" borderId="123" xfId="140" applyFont="1" applyFill="1" applyBorder="1" applyAlignment="1">
      <alignment vertical="center"/>
    </xf>
    <xf numFmtId="174" fontId="65" fillId="0" borderId="123" xfId="140" applyNumberFormat="1" applyFont="1" applyFill="1" applyBorder="1" applyAlignment="1" applyProtection="1">
      <alignment vertical="center" wrapText="1"/>
      <protection locked="0"/>
    </xf>
    <xf numFmtId="174" fontId="65" fillId="0" borderId="123" xfId="140" applyNumberFormat="1" applyFont="1" applyFill="1" applyBorder="1" applyAlignment="1" applyProtection="1">
      <alignment horizontal="center" vertical="center"/>
      <protection locked="0"/>
    </xf>
    <xf numFmtId="2" fontId="54" fillId="0" borderId="123" xfId="140" applyNumberFormat="1" applyFont="1" applyFill="1" applyBorder="1" applyAlignment="1">
      <alignment vertical="center"/>
    </xf>
    <xf numFmtId="0" fontId="54" fillId="0" borderId="0" xfId="140" applyFont="1" applyFill="1" applyAlignment="1">
      <alignment vertical="center"/>
    </xf>
    <xf numFmtId="174" fontId="65" fillId="0" borderId="123" xfId="140" applyNumberFormat="1" applyFont="1" applyFill="1" applyBorder="1" applyAlignment="1" applyProtection="1">
      <alignment vertical="center"/>
      <protection locked="0"/>
    </xf>
    <xf numFmtId="174" fontId="66" fillId="37" borderId="123" xfId="140" applyNumberFormat="1" applyFont="1" applyFill="1" applyBorder="1" applyAlignment="1" applyProtection="1">
      <alignment vertical="center" wrapText="1"/>
      <protection locked="0"/>
    </xf>
    <xf numFmtId="174" fontId="66" fillId="37" borderId="123" xfId="140" applyNumberFormat="1" applyFont="1" applyFill="1" applyBorder="1" applyAlignment="1" applyProtection="1">
      <alignment horizontal="center" vertical="center"/>
      <protection locked="0"/>
    </xf>
    <xf numFmtId="2" fontId="54" fillId="37" borderId="123" xfId="140" applyNumberFormat="1" applyFont="1" applyFill="1" applyBorder="1" applyAlignment="1">
      <alignment vertical="center"/>
    </xf>
    <xf numFmtId="0" fontId="54" fillId="37" borderId="0" xfId="140" applyFont="1" applyFill="1" applyAlignment="1">
      <alignment vertical="center"/>
    </xf>
    <xf numFmtId="2" fontId="54" fillId="0" borderId="123" xfId="140" applyNumberFormat="1" applyFont="1" applyBorder="1" applyAlignment="1">
      <alignment vertical="center"/>
    </xf>
    <xf numFmtId="0" fontId="54" fillId="0" borderId="0" xfId="140" applyFont="1" applyAlignment="1">
      <alignment vertical="center"/>
    </xf>
    <xf numFmtId="174" fontId="65" fillId="37" borderId="123" xfId="140" applyNumberFormat="1" applyFont="1" applyFill="1" applyBorder="1" applyAlignment="1" applyProtection="1">
      <alignment horizontal="center" vertical="center"/>
      <protection locked="0"/>
    </xf>
    <xf numFmtId="0" fontId="54" fillId="0" borderId="123" xfId="140" applyFont="1" applyBorder="1" applyAlignment="1">
      <alignment vertical="center"/>
    </xf>
    <xf numFmtId="0" fontId="54" fillId="0" borderId="123" xfId="140" applyFont="1" applyFill="1" applyBorder="1" applyAlignment="1">
      <alignment vertical="center" wrapText="1"/>
    </xf>
    <xf numFmtId="0" fontId="54" fillId="0" borderId="123" xfId="140" applyFont="1" applyFill="1" applyBorder="1" applyAlignment="1">
      <alignment horizontal="center" vertical="center"/>
    </xf>
    <xf numFmtId="2" fontId="54" fillId="0" borderId="0" xfId="140" applyNumberFormat="1" applyFont="1" applyAlignment="1">
      <alignment vertical="center"/>
    </xf>
    <xf numFmtId="0" fontId="5" fillId="0" borderId="133" xfId="140" applyBorder="1" applyAlignment="1">
      <alignment vertical="center"/>
    </xf>
    <xf numFmtId="0" fontId="5" fillId="0" borderId="4" xfId="140" applyBorder="1" applyAlignment="1">
      <alignment vertical="center"/>
    </xf>
    <xf numFmtId="0" fontId="5" fillId="0" borderId="4" xfId="140" applyBorder="1" applyAlignment="1">
      <alignment vertical="center" wrapText="1"/>
    </xf>
    <xf numFmtId="0" fontId="5" fillId="32" borderId="4" xfId="140" applyFill="1" applyBorder="1" applyAlignment="1">
      <alignment vertical="center" wrapText="1"/>
    </xf>
    <xf numFmtId="0" fontId="5" fillId="32" borderId="4" xfId="140" applyFont="1" applyFill="1" applyBorder="1" applyAlignment="1">
      <alignment vertical="center" wrapText="1"/>
    </xf>
    <xf numFmtId="0" fontId="57" fillId="0" borderId="0" xfId="140" applyFont="1" applyAlignment="1">
      <alignment vertical="center"/>
    </xf>
    <xf numFmtId="0" fontId="5" fillId="0" borderId="89" xfId="140" applyFont="1" applyBorder="1" applyAlignment="1">
      <alignment horizontal="center"/>
    </xf>
    <xf numFmtId="0" fontId="5" fillId="0" borderId="87" xfId="140" applyFont="1" applyBorder="1" applyAlignment="1">
      <alignment horizontal="center"/>
    </xf>
    <xf numFmtId="0" fontId="5" fillId="32" borderId="87" xfId="140" applyFont="1" applyFill="1" applyBorder="1" applyAlignment="1">
      <alignment horizontal="center"/>
    </xf>
    <xf numFmtId="0" fontId="5" fillId="32" borderId="87" xfId="140" applyFont="1" applyFill="1" applyBorder="1" applyAlignment="1">
      <alignment wrapText="1"/>
    </xf>
    <xf numFmtId="0" fontId="57" fillId="0" borderId="0" xfId="140" applyFont="1"/>
    <xf numFmtId="0" fontId="57" fillId="0" borderId="104" xfId="140" applyFont="1" applyBorder="1" applyAlignment="1">
      <alignment horizontal="center"/>
    </xf>
    <xf numFmtId="2" fontId="5" fillId="0" borderId="87" xfId="140" applyNumberFormat="1" applyFont="1" applyBorder="1" applyAlignment="1">
      <alignment horizontal="center"/>
    </xf>
    <xf numFmtId="192" fontId="5" fillId="0" borderId="89" xfId="140" applyNumberFormat="1" applyBorder="1" applyAlignment="1">
      <alignment horizontal="center" vertical="center"/>
    </xf>
    <xf numFmtId="192" fontId="5" fillId="0" borderId="87" xfId="140" applyNumberFormat="1" applyBorder="1" applyAlignment="1">
      <alignment horizontal="center"/>
    </xf>
    <xf numFmtId="192" fontId="5" fillId="0" borderId="87" xfId="140" applyNumberFormat="1" applyFont="1" applyBorder="1" applyAlignment="1">
      <alignment horizontal="center" vertical="center"/>
    </xf>
    <xf numFmtId="192" fontId="68" fillId="0" borderId="87" xfId="140" applyNumberFormat="1" applyFont="1" applyBorder="1" applyAlignment="1">
      <alignment horizontal="center"/>
    </xf>
    <xf numFmtId="192" fontId="5" fillId="0" borderId="87" xfId="140" applyNumberFormat="1" applyBorder="1" applyAlignment="1">
      <alignment horizontal="center" vertical="center"/>
    </xf>
    <xf numFmtId="192" fontId="68" fillId="32" borderId="87" xfId="140" applyNumberFormat="1" applyFont="1" applyFill="1" applyBorder="1" applyAlignment="1">
      <alignment horizontal="center"/>
    </xf>
    <xf numFmtId="192" fontId="5" fillId="32" borderId="87" xfId="140" applyNumberFormat="1" applyFill="1" applyBorder="1"/>
    <xf numFmtId="1" fontId="5" fillId="0" borderId="89" xfId="140" applyNumberFormat="1" applyBorder="1" applyAlignment="1">
      <alignment horizontal="center" vertical="center"/>
    </xf>
    <xf numFmtId="1" fontId="5" fillId="0" borderId="87" xfId="140" applyNumberFormat="1" applyBorder="1" applyAlignment="1">
      <alignment horizontal="center"/>
    </xf>
    <xf numFmtId="1" fontId="5" fillId="0" borderId="87" xfId="140" applyNumberFormat="1" applyFont="1" applyBorder="1" applyAlignment="1">
      <alignment horizontal="center" vertical="center"/>
    </xf>
    <xf numFmtId="1" fontId="5" fillId="32" borderId="87" xfId="140" applyNumberFormat="1" applyFill="1" applyBorder="1" applyAlignment="1">
      <alignment horizontal="center"/>
    </xf>
    <xf numFmtId="192" fontId="69" fillId="0" borderId="135" xfId="140" applyNumberFormat="1" applyFont="1" applyBorder="1" applyAlignment="1">
      <alignment horizontal="center" vertical="center" wrapText="1"/>
    </xf>
    <xf numFmtId="192" fontId="69" fillId="0" borderId="130" xfId="140" applyNumberFormat="1" applyFont="1" applyBorder="1" applyAlignment="1">
      <alignment horizontal="center" vertical="center" wrapText="1"/>
    </xf>
    <xf numFmtId="192" fontId="54" fillId="0" borderId="130" xfId="140" applyNumberFormat="1" applyFont="1" applyBorder="1" applyAlignment="1">
      <alignment horizontal="center" vertical="center" wrapText="1"/>
    </xf>
    <xf numFmtId="192" fontId="54" fillId="32" borderId="130" xfId="140" applyNumberFormat="1" applyFont="1" applyFill="1" applyBorder="1" applyAlignment="1">
      <alignment horizontal="center" vertical="center" wrapText="1"/>
    </xf>
    <xf numFmtId="192" fontId="5" fillId="32" borderId="87" xfId="140" applyNumberFormat="1" applyFill="1" applyBorder="1" applyAlignment="1">
      <alignment vertical="center"/>
    </xf>
    <xf numFmtId="192" fontId="5" fillId="32" borderId="87" xfId="140" applyNumberFormat="1" applyFill="1" applyBorder="1" applyAlignment="1">
      <alignment vertical="center" wrapText="1"/>
    </xf>
    <xf numFmtId="17" fontId="5" fillId="0" borderId="129" xfId="140" applyNumberFormat="1" applyBorder="1" applyAlignment="1">
      <alignment horizontal="center" vertical="center"/>
    </xf>
    <xf numFmtId="17" fontId="5" fillId="0" borderId="130" xfId="140" applyNumberFormat="1" applyBorder="1" applyAlignment="1">
      <alignment horizontal="center" vertical="center"/>
    </xf>
    <xf numFmtId="17" fontId="5" fillId="0" borderId="130" xfId="140" applyNumberFormat="1" applyBorder="1" applyAlignment="1">
      <alignment horizontal="center" vertical="center" wrapText="1"/>
    </xf>
    <xf numFmtId="17" fontId="5" fillId="32" borderId="130" xfId="140" applyNumberFormat="1" applyFill="1" applyBorder="1" applyAlignment="1">
      <alignment horizontal="center" vertical="center"/>
    </xf>
    <xf numFmtId="192" fontId="5" fillId="32" borderId="89" xfId="140" applyNumberFormat="1" applyFill="1" applyBorder="1"/>
    <xf numFmtId="17" fontId="70" fillId="0" borderId="102" xfId="140" applyNumberFormat="1" applyFont="1" applyFill="1" applyBorder="1" applyAlignment="1">
      <alignment horizontal="center" vertical="center" wrapText="1"/>
    </xf>
    <xf numFmtId="17" fontId="70" fillId="0" borderId="87" xfId="140" applyNumberFormat="1" applyFont="1" applyFill="1" applyBorder="1" applyAlignment="1">
      <alignment horizontal="center" vertical="center" wrapText="1"/>
    </xf>
    <xf numFmtId="0" fontId="70" fillId="0" borderId="87" xfId="140" applyFont="1" applyFill="1" applyBorder="1" applyAlignment="1">
      <alignment horizontal="center" vertical="center" wrapText="1"/>
    </xf>
    <xf numFmtId="17" fontId="70" fillId="29" borderId="87" xfId="140" applyNumberFormat="1" applyFont="1" applyFill="1" applyBorder="1" applyAlignment="1">
      <alignment horizontal="center" vertical="center" wrapText="1"/>
    </xf>
    <xf numFmtId="17" fontId="70" fillId="32" borderId="87" xfId="140" applyNumberFormat="1" applyFont="1" applyFill="1" applyBorder="1" applyAlignment="1">
      <alignment horizontal="center" vertical="center" wrapText="1"/>
    </xf>
    <xf numFmtId="192" fontId="5" fillId="32" borderId="87" xfId="140" applyNumberFormat="1" applyFill="1" applyBorder="1" applyAlignment="1">
      <alignment horizontal="center" vertical="center"/>
    </xf>
    <xf numFmtId="0" fontId="57" fillId="0" borderId="0" xfId="140" applyFont="1" applyAlignment="1">
      <alignment horizontal="center" vertical="center"/>
    </xf>
    <xf numFmtId="3" fontId="5" fillId="0" borderId="136" xfId="140" applyNumberFormat="1" applyBorder="1" applyAlignment="1">
      <alignment horizontal="center" vertical="center"/>
    </xf>
    <xf numFmtId="3" fontId="5" fillId="0" borderId="125" xfId="140" applyNumberFormat="1" applyBorder="1" applyAlignment="1">
      <alignment horizontal="center"/>
    </xf>
    <xf numFmtId="3" fontId="5" fillId="0" borderId="125" xfId="140" applyNumberFormat="1" applyBorder="1" applyAlignment="1">
      <alignment vertical="center"/>
    </xf>
    <xf numFmtId="3" fontId="5" fillId="0" borderId="125" xfId="140" applyNumberFormat="1" applyBorder="1" applyAlignment="1">
      <alignment horizontal="center" vertical="center"/>
    </xf>
    <xf numFmtId="3" fontId="69" fillId="0" borderId="125" xfId="140" applyNumberFormat="1" applyFont="1" applyBorder="1" applyAlignment="1">
      <alignment horizontal="center"/>
    </xf>
    <xf numFmtId="0" fontId="5" fillId="0" borderId="125" xfId="140" applyBorder="1" applyAlignment="1">
      <alignment horizontal="center" vertical="center"/>
    </xf>
    <xf numFmtId="3" fontId="5" fillId="32" borderId="125" xfId="140" applyNumberFormat="1" applyFill="1" applyBorder="1" applyAlignment="1">
      <alignment horizontal="center" vertical="center"/>
    </xf>
    <xf numFmtId="3" fontId="5" fillId="0" borderId="89" xfId="140" applyNumberFormat="1" applyBorder="1" applyAlignment="1">
      <alignment horizontal="center"/>
    </xf>
    <xf numFmtId="3" fontId="5" fillId="0" borderId="87" xfId="140" applyNumberFormat="1" applyBorder="1" applyAlignment="1">
      <alignment horizontal="center"/>
    </xf>
    <xf numFmtId="0" fontId="5" fillId="0" borderId="87" xfId="140" applyBorder="1" applyAlignment="1">
      <alignment horizontal="center"/>
    </xf>
    <xf numFmtId="3" fontId="5" fillId="0" borderId="87" xfId="140" applyNumberFormat="1" applyBorder="1" applyAlignment="1">
      <alignment vertical="center"/>
    </xf>
    <xf numFmtId="3" fontId="5" fillId="0" borderId="87" xfId="140" applyNumberFormat="1" applyBorder="1" applyAlignment="1">
      <alignment horizontal="center" vertical="center"/>
    </xf>
    <xf numFmtId="0" fontId="5" fillId="0" borderId="87" xfId="140" applyBorder="1" applyAlignment="1">
      <alignment horizontal="center" vertical="center"/>
    </xf>
    <xf numFmtId="3" fontId="5" fillId="32" borderId="87" xfId="140" applyNumberFormat="1" applyFill="1" applyBorder="1" applyAlignment="1">
      <alignment horizontal="center" vertical="center"/>
    </xf>
    <xf numFmtId="3" fontId="5" fillId="0" borderId="137" xfId="140" applyNumberFormat="1" applyBorder="1" applyAlignment="1">
      <alignment horizontal="center"/>
    </xf>
    <xf numFmtId="3" fontId="5" fillId="0" borderId="114" xfId="140" applyNumberFormat="1" applyBorder="1" applyAlignment="1">
      <alignment horizontal="center"/>
    </xf>
    <xf numFmtId="3" fontId="5" fillId="0" borderId="114" xfId="140" applyNumberFormat="1" applyBorder="1" applyAlignment="1">
      <alignment vertical="center"/>
    </xf>
    <xf numFmtId="3" fontId="5" fillId="0" borderId="114" xfId="140" applyNumberFormat="1" applyBorder="1" applyAlignment="1">
      <alignment horizontal="center" vertical="center"/>
    </xf>
    <xf numFmtId="3" fontId="5" fillId="32" borderId="114" xfId="140" applyNumberFormat="1" applyFill="1" applyBorder="1" applyAlignment="1">
      <alignment horizontal="center" vertical="center"/>
    </xf>
    <xf numFmtId="192" fontId="5" fillId="32" borderId="114" xfId="140" applyNumberFormat="1" applyFill="1" applyBorder="1"/>
    <xf numFmtId="3" fontId="5" fillId="0" borderId="4" xfId="140" applyNumberFormat="1" applyBorder="1" applyAlignment="1">
      <alignment horizontal="center"/>
    </xf>
    <xf numFmtId="3" fontId="5" fillId="32" borderId="4" xfId="140" applyNumberFormat="1" applyFill="1" applyBorder="1" applyAlignment="1">
      <alignment horizontal="center" vertical="center"/>
    </xf>
    <xf numFmtId="0" fontId="57" fillId="0" borderId="87" xfId="140" applyFont="1" applyBorder="1"/>
    <xf numFmtId="3" fontId="58" fillId="0" borderId="114" xfId="140" applyNumberFormat="1" applyFont="1" applyFill="1" applyBorder="1" applyAlignment="1">
      <alignment horizontal="center"/>
    </xf>
    <xf numFmtId="0" fontId="57" fillId="35" borderId="138" xfId="140" applyFont="1" applyFill="1" applyBorder="1" applyAlignment="1">
      <alignment horizontal="right"/>
    </xf>
    <xf numFmtId="0" fontId="57" fillId="35" borderId="133" xfId="140" applyFont="1" applyFill="1" applyBorder="1" applyAlignment="1">
      <alignment horizontal="right"/>
    </xf>
    <xf numFmtId="192" fontId="57" fillId="35" borderId="100" xfId="140" applyNumberFormat="1" applyFont="1" applyFill="1" applyBorder="1" applyAlignment="1">
      <alignment horizontal="center"/>
    </xf>
    <xf numFmtId="0" fontId="5" fillId="0" borderId="133" xfId="140" applyBorder="1"/>
    <xf numFmtId="0" fontId="5" fillId="0" borderId="4" xfId="140" applyBorder="1"/>
    <xf numFmtId="0" fontId="5" fillId="32" borderId="4" xfId="140" applyFill="1" applyBorder="1"/>
    <xf numFmtId="192" fontId="5" fillId="0" borderId="87" xfId="140" applyNumberFormat="1" applyBorder="1"/>
    <xf numFmtId="192" fontId="5" fillId="0" borderId="0" xfId="140" applyNumberFormat="1"/>
    <xf numFmtId="0" fontId="5" fillId="0" borderId="0" xfId="140"/>
    <xf numFmtId="0" fontId="57" fillId="35" borderId="110" xfId="140" applyFont="1" applyFill="1" applyBorder="1" applyAlignment="1">
      <alignment horizontal="right"/>
    </xf>
    <xf numFmtId="0" fontId="57" fillId="35" borderId="89" xfId="140" applyFont="1" applyFill="1" applyBorder="1" applyAlignment="1">
      <alignment horizontal="right"/>
    </xf>
    <xf numFmtId="1" fontId="57" fillId="35" borderId="118" xfId="140" applyNumberFormat="1" applyFont="1" applyFill="1" applyBorder="1" applyAlignment="1">
      <alignment horizontal="center"/>
    </xf>
    <xf numFmtId="0" fontId="5" fillId="0" borderId="136" xfId="140" applyBorder="1"/>
    <xf numFmtId="0" fontId="5" fillId="0" borderId="125" xfId="140" applyBorder="1"/>
    <xf numFmtId="0" fontId="5" fillId="32" borderId="125" xfId="140" applyFill="1" applyBorder="1"/>
    <xf numFmtId="0" fontId="57" fillId="35" borderId="87" xfId="140" applyFont="1" applyFill="1" applyBorder="1" applyAlignment="1">
      <alignment vertical="center"/>
    </xf>
    <xf numFmtId="192" fontId="57" fillId="35" borderId="104" xfId="140" applyNumberFormat="1" applyFont="1" applyFill="1" applyBorder="1"/>
    <xf numFmtId="0" fontId="5" fillId="0" borderId="89" xfId="140" applyBorder="1"/>
    <xf numFmtId="0" fontId="5" fillId="0" borderId="87" xfId="140" applyBorder="1"/>
    <xf numFmtId="0" fontId="5" fillId="32" borderId="87" xfId="140" applyFill="1" applyBorder="1"/>
    <xf numFmtId="0" fontId="57" fillId="35" borderId="110" xfId="140" applyFont="1" applyFill="1" applyBorder="1" applyAlignment="1">
      <alignment horizontal="right" vertical="center"/>
    </xf>
    <xf numFmtId="0" fontId="57" fillId="35" borderId="89" xfId="140" applyFont="1" applyFill="1" applyBorder="1" applyAlignment="1">
      <alignment horizontal="right" vertical="center"/>
    </xf>
    <xf numFmtId="0" fontId="57" fillId="35" borderId="104" xfId="140" applyFont="1" applyFill="1" applyBorder="1"/>
    <xf numFmtId="0" fontId="5" fillId="0" borderId="89" xfId="140" applyBorder="1" applyAlignment="1">
      <alignment horizontal="center" vertical="center"/>
    </xf>
    <xf numFmtId="179" fontId="5" fillId="0" borderId="87" xfId="140" applyNumberFormat="1" applyBorder="1" applyAlignment="1">
      <alignment horizontal="center" vertical="center"/>
    </xf>
    <xf numFmtId="179" fontId="5" fillId="32" borderId="87" xfId="140" applyNumberFormat="1" applyFill="1" applyBorder="1" applyAlignment="1">
      <alignment horizontal="center" vertical="center"/>
    </xf>
    <xf numFmtId="0" fontId="57" fillId="35" borderId="110" xfId="140" applyFont="1" applyFill="1" applyBorder="1" applyAlignment="1">
      <alignment horizontal="left" vertical="center"/>
    </xf>
    <xf numFmtId="0" fontId="57" fillId="35" borderId="109" xfId="140" applyFont="1" applyFill="1" applyBorder="1" applyAlignment="1">
      <alignment horizontal="left" vertical="center"/>
    </xf>
    <xf numFmtId="0" fontId="57" fillId="35" borderId="134" xfId="140" applyFont="1" applyFill="1" applyBorder="1" applyAlignment="1">
      <alignment horizontal="left" vertical="center"/>
    </xf>
    <xf numFmtId="192" fontId="5" fillId="32" borderId="89" xfId="140" applyNumberFormat="1" applyFill="1" applyBorder="1" applyAlignment="1">
      <alignment horizontal="center" vertical="center"/>
    </xf>
    <xf numFmtId="3" fontId="71" fillId="35" borderId="104" xfId="140" applyNumberFormat="1" applyFont="1" applyFill="1" applyBorder="1" applyAlignment="1">
      <alignment horizontal="center"/>
    </xf>
    <xf numFmtId="3" fontId="5" fillId="32" borderId="87" xfId="140" applyNumberFormat="1" applyFill="1" applyBorder="1" applyAlignment="1">
      <alignment horizontal="center"/>
    </xf>
    <xf numFmtId="3" fontId="5" fillId="0" borderId="87" xfId="140" applyNumberFormat="1" applyBorder="1"/>
    <xf numFmtId="0" fontId="57" fillId="35" borderId="114" xfId="140" applyFont="1" applyFill="1" applyBorder="1" applyAlignment="1">
      <alignment vertical="center" wrapText="1"/>
    </xf>
    <xf numFmtId="3" fontId="71" fillId="35" borderId="116" xfId="140" applyNumberFormat="1" applyFont="1" applyFill="1" applyBorder="1" applyAlignment="1">
      <alignment horizontal="center" vertical="center"/>
    </xf>
    <xf numFmtId="3" fontId="5" fillId="0" borderId="137" xfId="140" applyNumberFormat="1" applyBorder="1" applyAlignment="1">
      <alignment horizontal="center" vertical="center"/>
    </xf>
    <xf numFmtId="0" fontId="5" fillId="0" borderId="0" xfId="140" applyAlignment="1">
      <alignment vertical="center"/>
    </xf>
    <xf numFmtId="0" fontId="57" fillId="35" borderId="106" xfId="140" applyFont="1" applyFill="1" applyBorder="1" applyAlignment="1">
      <alignment horizontal="right"/>
    </xf>
    <xf numFmtId="0" fontId="57" fillId="35" borderId="136" xfId="140" applyFont="1" applyFill="1" applyBorder="1" applyAlignment="1">
      <alignment horizontal="right"/>
    </xf>
    <xf numFmtId="192" fontId="57" fillId="35" borderId="118" xfId="140" applyNumberFormat="1" applyFont="1" applyFill="1" applyBorder="1" applyAlignment="1">
      <alignment horizontal="center"/>
    </xf>
    <xf numFmtId="192" fontId="5" fillId="0" borderId="125" xfId="140" applyNumberFormat="1" applyBorder="1"/>
    <xf numFmtId="0" fontId="57" fillId="35" borderId="114" xfId="140" applyFont="1" applyFill="1" applyBorder="1" applyAlignment="1">
      <alignment vertical="center"/>
    </xf>
    <xf numFmtId="3" fontId="71" fillId="35" borderId="116" xfId="140" applyNumberFormat="1" applyFont="1" applyFill="1" applyBorder="1" applyAlignment="1">
      <alignment horizontal="center"/>
    </xf>
    <xf numFmtId="3" fontId="5" fillId="32" borderId="114" xfId="140" applyNumberFormat="1" applyFill="1" applyBorder="1" applyAlignment="1">
      <alignment horizontal="center"/>
    </xf>
    <xf numFmtId="179" fontId="5" fillId="0" borderId="89" xfId="140" applyNumberFormat="1" applyBorder="1" applyAlignment="1">
      <alignment horizontal="center" vertical="center"/>
    </xf>
    <xf numFmtId="3" fontId="5" fillId="0" borderId="0" xfId="140" applyNumberFormat="1"/>
    <xf numFmtId="0" fontId="5" fillId="0" borderId="0" xfId="140" applyAlignment="1">
      <alignment horizontal="center"/>
    </xf>
    <xf numFmtId="0" fontId="5" fillId="32" borderId="0" xfId="140" applyFill="1"/>
    <xf numFmtId="2" fontId="5" fillId="0" borderId="89" xfId="140" applyNumberFormat="1" applyBorder="1" applyAlignment="1">
      <alignment horizontal="center"/>
    </xf>
    <xf numFmtId="2" fontId="5" fillId="0" borderId="87" xfId="140" applyNumberFormat="1" applyBorder="1" applyAlignment="1">
      <alignment horizontal="center"/>
    </xf>
    <xf numFmtId="2" fontId="5" fillId="32" borderId="87" xfId="140" applyNumberFormat="1" applyFill="1" applyBorder="1" applyAlignment="1">
      <alignment horizontal="center"/>
    </xf>
    <xf numFmtId="0" fontId="5" fillId="32" borderId="4" xfId="140" applyFont="1" applyFill="1" applyBorder="1" applyAlignment="1">
      <alignment horizontal="center" vertical="center" wrapText="1"/>
    </xf>
    <xf numFmtId="0" fontId="5" fillId="32" borderId="87" xfId="140" applyFont="1" applyFill="1" applyBorder="1" applyAlignment="1">
      <alignment horizontal="center" wrapText="1"/>
    </xf>
    <xf numFmtId="192" fontId="5" fillId="32" borderId="87" xfId="140" applyNumberFormat="1" applyFill="1" applyBorder="1" applyAlignment="1">
      <alignment horizontal="center"/>
    </xf>
    <xf numFmtId="192" fontId="5" fillId="0" borderId="87" xfId="140" applyNumberFormat="1" applyFont="1" applyBorder="1" applyAlignment="1">
      <alignment horizontal="center" vertical="center" wrapText="1"/>
    </xf>
    <xf numFmtId="192" fontId="5" fillId="32" borderId="87" xfId="140" applyNumberFormat="1" applyFill="1" applyBorder="1" applyAlignment="1">
      <alignment horizontal="center" vertical="center" wrapText="1"/>
    </xf>
    <xf numFmtId="3" fontId="69" fillId="0" borderId="87" xfId="140" applyNumberFormat="1" applyFont="1" applyBorder="1" applyAlignment="1">
      <alignment horizontal="center"/>
    </xf>
    <xf numFmtId="192" fontId="5" fillId="32" borderId="114" xfId="140" applyNumberFormat="1" applyFill="1" applyBorder="1" applyAlignment="1">
      <alignment horizontal="center"/>
    </xf>
    <xf numFmtId="0" fontId="57" fillId="0" borderId="100" xfId="140" applyFont="1" applyBorder="1"/>
    <xf numFmtId="0" fontId="57" fillId="0" borderId="104" xfId="140" applyFont="1" applyBorder="1"/>
    <xf numFmtId="0" fontId="5" fillId="32" borderId="4" xfId="140" applyFill="1" applyBorder="1" applyAlignment="1">
      <alignment horizontal="center"/>
    </xf>
    <xf numFmtId="192" fontId="5" fillId="0" borderId="104" xfId="140" applyNumberFormat="1" applyBorder="1"/>
    <xf numFmtId="0" fontId="5" fillId="32" borderId="125" xfId="140" applyFill="1" applyBorder="1" applyAlignment="1">
      <alignment horizontal="center"/>
    </xf>
    <xf numFmtId="0" fontId="5" fillId="32" borderId="87" xfId="140" applyFill="1" applyBorder="1" applyAlignment="1">
      <alignment horizontal="center"/>
    </xf>
    <xf numFmtId="0" fontId="5" fillId="0" borderId="104" xfId="140" applyBorder="1"/>
    <xf numFmtId="3" fontId="5" fillId="0" borderId="104" xfId="140" applyNumberFormat="1" applyBorder="1"/>
    <xf numFmtId="3" fontId="5" fillId="0" borderId="116" xfId="140" applyNumberFormat="1" applyBorder="1"/>
    <xf numFmtId="0" fontId="5" fillId="32" borderId="0" xfId="140" applyFill="1" applyAlignment="1">
      <alignment horizontal="center"/>
    </xf>
    <xf numFmtId="0" fontId="5" fillId="0" borderId="133" xfId="140" applyFill="1" applyBorder="1" applyAlignment="1">
      <alignment vertical="center"/>
    </xf>
    <xf numFmtId="0" fontId="5" fillId="0" borderId="4" xfId="140" applyFill="1" applyBorder="1" applyAlignment="1">
      <alignment vertical="center"/>
    </xf>
    <xf numFmtId="0" fontId="5" fillId="25" borderId="4" xfId="140" applyFill="1" applyBorder="1" applyAlignment="1">
      <alignment vertical="center" wrapText="1"/>
    </xf>
    <xf numFmtId="0" fontId="5" fillId="0" borderId="89" xfId="140" applyFont="1" applyFill="1" applyBorder="1" applyAlignment="1">
      <alignment horizontal="center"/>
    </xf>
    <xf numFmtId="0" fontId="5" fillId="0" borderId="87" xfId="140" applyFont="1" applyFill="1" applyBorder="1" applyAlignment="1">
      <alignment horizontal="center"/>
    </xf>
    <xf numFmtId="0" fontId="5" fillId="25" borderId="87" xfId="140" applyFont="1" applyFill="1" applyBorder="1" applyAlignment="1">
      <alignment horizontal="center"/>
    </xf>
    <xf numFmtId="192" fontId="5" fillId="0" borderId="89" xfId="140" applyNumberFormat="1" applyFill="1" applyBorder="1" applyAlignment="1">
      <alignment horizontal="center" vertical="center"/>
    </xf>
    <xf numFmtId="192" fontId="5" fillId="0" borderId="87" xfId="140" applyNumberFormat="1" applyFill="1" applyBorder="1" applyAlignment="1">
      <alignment horizontal="center"/>
    </xf>
    <xf numFmtId="192" fontId="5" fillId="25" borderId="87" xfId="140" applyNumberFormat="1" applyFont="1" applyFill="1" applyBorder="1" applyAlignment="1">
      <alignment horizontal="center" vertical="center"/>
    </xf>
    <xf numFmtId="1" fontId="5" fillId="0" borderId="89" xfId="140" applyNumberFormat="1" applyFill="1" applyBorder="1" applyAlignment="1">
      <alignment horizontal="center" vertical="center"/>
    </xf>
    <xf numFmtId="1" fontId="5" fillId="0" borderId="87" xfId="140" applyNumberFormat="1" applyFill="1" applyBorder="1" applyAlignment="1">
      <alignment horizontal="center"/>
    </xf>
    <xf numFmtId="1" fontId="5" fillId="25" borderId="87" xfId="140" applyNumberFormat="1" applyFont="1" applyFill="1" applyBorder="1" applyAlignment="1">
      <alignment horizontal="center" vertical="center"/>
    </xf>
    <xf numFmtId="192" fontId="5" fillId="0" borderId="89" xfId="140" applyNumberFormat="1" applyFill="1" applyBorder="1" applyAlignment="1">
      <alignment horizontal="center" vertical="center" wrapText="1"/>
    </xf>
    <xf numFmtId="192" fontId="5" fillId="0" borderId="87" xfId="140" applyNumberFormat="1" applyFill="1" applyBorder="1" applyAlignment="1">
      <alignment horizontal="center" vertical="center" wrapText="1"/>
    </xf>
    <xf numFmtId="192" fontId="5" fillId="25" borderId="87" xfId="140" applyNumberFormat="1" applyFont="1" applyFill="1" applyBorder="1" applyAlignment="1">
      <alignment horizontal="center" vertical="center" wrapText="1"/>
    </xf>
    <xf numFmtId="192" fontId="72" fillId="0" borderId="87" xfId="140" applyNumberFormat="1" applyFont="1" applyBorder="1" applyAlignment="1">
      <alignment horizontal="center" vertical="center" wrapText="1"/>
    </xf>
    <xf numFmtId="17" fontId="5" fillId="0" borderId="89" xfId="140" applyNumberFormat="1" applyFill="1" applyBorder="1" applyAlignment="1">
      <alignment horizontal="center" vertical="center"/>
    </xf>
    <xf numFmtId="17" fontId="5" fillId="0" borderId="87" xfId="140" applyNumberFormat="1" applyFill="1" applyBorder="1" applyAlignment="1">
      <alignment horizontal="center"/>
    </xf>
    <xf numFmtId="17" fontId="5" fillId="0" borderId="87" xfId="140" applyNumberFormat="1" applyBorder="1" applyAlignment="1">
      <alignment horizontal="center"/>
    </xf>
    <xf numFmtId="17" fontId="5" fillId="25" borderId="87" xfId="140" applyNumberFormat="1" applyFont="1" applyFill="1" applyBorder="1" applyAlignment="1">
      <alignment horizontal="center" vertical="center"/>
    </xf>
    <xf numFmtId="17" fontId="68" fillId="0" borderId="87" xfId="140" applyNumberFormat="1" applyFont="1" applyBorder="1" applyAlignment="1">
      <alignment horizontal="center"/>
    </xf>
    <xf numFmtId="17" fontId="5" fillId="0" borderId="87" xfId="140" applyNumberFormat="1" applyBorder="1" applyAlignment="1">
      <alignment horizontal="center" vertical="center"/>
    </xf>
    <xf numFmtId="17" fontId="5" fillId="32" borderId="87" xfId="140" applyNumberFormat="1" applyFill="1" applyBorder="1" applyAlignment="1">
      <alignment horizontal="center"/>
    </xf>
    <xf numFmtId="17" fontId="57" fillId="0" borderId="0" xfId="140" applyNumberFormat="1" applyFont="1"/>
    <xf numFmtId="17" fontId="5" fillId="29" borderId="89" xfId="140" applyNumberFormat="1" applyFont="1" applyFill="1" applyBorder="1" applyAlignment="1">
      <alignment horizontal="center" vertical="center" wrapText="1"/>
    </xf>
    <xf numFmtId="17" fontId="5" fillId="0" borderId="87" xfId="140" applyNumberFormat="1" applyFont="1" applyFill="1" applyBorder="1" applyAlignment="1">
      <alignment horizontal="center" vertical="center" wrapText="1"/>
    </xf>
    <xf numFmtId="17" fontId="5" fillId="0" borderId="87" xfId="140" applyNumberFormat="1" applyFont="1" applyBorder="1" applyAlignment="1">
      <alignment horizontal="center" vertical="center" wrapText="1"/>
    </xf>
    <xf numFmtId="17" fontId="5" fillId="25" borderId="87" xfId="140" applyNumberFormat="1" applyFont="1" applyFill="1" applyBorder="1" applyAlignment="1">
      <alignment horizontal="center" vertical="center" wrapText="1"/>
    </xf>
    <xf numFmtId="17" fontId="72" fillId="0" borderId="87" xfId="140" applyNumberFormat="1" applyFont="1" applyBorder="1" applyAlignment="1">
      <alignment horizontal="center" vertical="center" wrapText="1"/>
    </xf>
    <xf numFmtId="17" fontId="5" fillId="29" borderId="87" xfId="140" applyNumberFormat="1" applyFont="1" applyFill="1" applyBorder="1" applyAlignment="1">
      <alignment horizontal="center" vertical="center" wrapText="1"/>
    </xf>
    <xf numFmtId="17" fontId="5" fillId="32" borderId="87" xfId="140" applyNumberFormat="1" applyFill="1" applyBorder="1" applyAlignment="1">
      <alignment horizontal="center" vertical="center"/>
    </xf>
    <xf numFmtId="17" fontId="5" fillId="32" borderId="87" xfId="140" applyNumberFormat="1" applyFill="1" applyBorder="1" applyAlignment="1">
      <alignment horizontal="center" vertical="center" wrapText="1"/>
    </xf>
    <xf numFmtId="17" fontId="57" fillId="0" borderId="0" xfId="140" applyNumberFormat="1" applyFont="1" applyAlignment="1">
      <alignment vertical="center"/>
    </xf>
    <xf numFmtId="3" fontId="5" fillId="0" borderId="89" xfId="140" applyNumberFormat="1" applyFill="1" applyBorder="1" applyAlignment="1">
      <alignment horizontal="center" vertical="center"/>
    </xf>
    <xf numFmtId="3" fontId="5" fillId="0" borderId="87" xfId="140" applyNumberFormat="1" applyFill="1" applyBorder="1" applyAlignment="1">
      <alignment horizontal="center"/>
    </xf>
    <xf numFmtId="191" fontId="69" fillId="0" borderId="87" xfId="142" applyNumberFormat="1" applyFont="1" applyBorder="1" applyAlignment="1"/>
    <xf numFmtId="3" fontId="5" fillId="25" borderId="87" xfId="140" applyNumberFormat="1" applyFill="1" applyBorder="1" applyAlignment="1">
      <alignment horizontal="center" vertical="center"/>
    </xf>
    <xf numFmtId="3" fontId="5" fillId="0" borderId="89" xfId="140" applyNumberFormat="1" applyFill="1" applyBorder="1" applyAlignment="1">
      <alignment horizontal="center"/>
    </xf>
    <xf numFmtId="3" fontId="5" fillId="0" borderId="137" xfId="140" applyNumberFormat="1" applyFill="1" applyBorder="1" applyAlignment="1">
      <alignment horizontal="center"/>
    </xf>
    <xf numFmtId="3" fontId="5" fillId="0" borderId="114" xfId="140" applyNumberFormat="1" applyFill="1" applyBorder="1" applyAlignment="1">
      <alignment horizontal="center"/>
    </xf>
    <xf numFmtId="3" fontId="5" fillId="25" borderId="114" xfId="140" applyNumberFormat="1" applyFill="1" applyBorder="1" applyAlignment="1">
      <alignment horizontal="center" vertical="center"/>
    </xf>
    <xf numFmtId="3" fontId="5" fillId="0" borderId="133" xfId="140" applyNumberFormat="1" applyFill="1" applyBorder="1" applyAlignment="1">
      <alignment horizontal="center"/>
    </xf>
    <xf numFmtId="3" fontId="5" fillId="0" borderId="4" xfId="140" applyNumberFormat="1" applyFill="1" applyBorder="1" applyAlignment="1">
      <alignment horizontal="center"/>
    </xf>
    <xf numFmtId="3" fontId="5" fillId="25" borderId="4" xfId="140" applyNumberFormat="1" applyFill="1" applyBorder="1" applyAlignment="1">
      <alignment horizontal="center" vertical="center"/>
    </xf>
    <xf numFmtId="174" fontId="5" fillId="0" borderId="4" xfId="140" applyNumberFormat="1" applyBorder="1" applyAlignment="1">
      <alignment horizontal="center"/>
    </xf>
    <xf numFmtId="174" fontId="5" fillId="0" borderId="4" xfId="140" applyNumberFormat="1" applyBorder="1" applyAlignment="1">
      <alignment horizontal="center" vertical="center"/>
    </xf>
    <xf numFmtId="0" fontId="5" fillId="0" borderId="133" xfId="140" applyFill="1" applyBorder="1"/>
    <xf numFmtId="0" fontId="5" fillId="0" borderId="4" xfId="140" applyFill="1" applyBorder="1"/>
    <xf numFmtId="0" fontId="5" fillId="25" borderId="4" xfId="140" applyFill="1" applyBorder="1"/>
    <xf numFmtId="0" fontId="5" fillId="0" borderId="136" xfId="140" applyFill="1" applyBorder="1"/>
    <xf numFmtId="0" fontId="5" fillId="0" borderId="125" xfId="140" applyFill="1" applyBorder="1"/>
    <xf numFmtId="0" fontId="5" fillId="25" borderId="125" xfId="140" applyFill="1" applyBorder="1"/>
    <xf numFmtId="0" fontId="5" fillId="0" borderId="89" xfId="140" applyFill="1" applyBorder="1"/>
    <xf numFmtId="0" fontId="5" fillId="0" borderId="87" xfId="140" applyFill="1" applyBorder="1"/>
    <xf numFmtId="0" fontId="5" fillId="25" borderId="87" xfId="140" applyFill="1" applyBorder="1"/>
    <xf numFmtId="179" fontId="5" fillId="0" borderId="89" xfId="140" applyNumberFormat="1" applyFill="1" applyBorder="1" applyAlignment="1">
      <alignment horizontal="center" vertical="center"/>
    </xf>
    <xf numFmtId="179" fontId="5" fillId="0" borderId="87" xfId="140" applyNumberFormat="1" applyFill="1" applyBorder="1" applyAlignment="1">
      <alignment horizontal="center" vertical="center"/>
    </xf>
    <xf numFmtId="179" fontId="5" fillId="25" borderId="87" xfId="140" applyNumberFormat="1" applyFill="1" applyBorder="1" applyAlignment="1">
      <alignment horizontal="center" vertical="center"/>
    </xf>
    <xf numFmtId="192" fontId="5" fillId="25" borderId="89" xfId="140" applyNumberFormat="1" applyFill="1" applyBorder="1" applyAlignment="1">
      <alignment horizontal="center" vertical="center"/>
    </xf>
    <xf numFmtId="0" fontId="57" fillId="35" borderId="128" xfId="140" applyFont="1" applyFill="1" applyBorder="1" applyAlignment="1">
      <alignment horizontal="left" vertical="center"/>
    </xf>
    <xf numFmtId="0" fontId="57" fillId="35" borderId="145" xfId="140" applyFont="1" applyFill="1" applyBorder="1" applyAlignment="1">
      <alignment horizontal="left" vertical="center"/>
    </xf>
    <xf numFmtId="192" fontId="5" fillId="0" borderId="135" xfId="140" applyNumberFormat="1" applyFill="1" applyBorder="1" applyAlignment="1">
      <alignment horizontal="center" vertical="center"/>
    </xf>
    <xf numFmtId="192" fontId="5" fillId="0" borderId="135" xfId="140" applyNumberFormat="1" applyBorder="1" applyAlignment="1">
      <alignment horizontal="center" vertical="center"/>
    </xf>
    <xf numFmtId="192" fontId="5" fillId="25" borderId="135" xfId="140" applyNumberFormat="1" applyFill="1" applyBorder="1" applyAlignment="1">
      <alignment horizontal="center" vertical="center"/>
    </xf>
    <xf numFmtId="192" fontId="5" fillId="32" borderId="135" xfId="140" applyNumberFormat="1" applyFill="1" applyBorder="1" applyAlignment="1">
      <alignment horizontal="center" vertical="center"/>
    </xf>
    <xf numFmtId="0" fontId="5" fillId="0" borderId="111" xfId="140" applyBorder="1"/>
    <xf numFmtId="3" fontId="5" fillId="25" borderId="87" xfId="140" applyNumberFormat="1" applyFill="1" applyBorder="1" applyAlignment="1">
      <alignment horizontal="center"/>
    </xf>
    <xf numFmtId="0" fontId="5" fillId="0" borderId="109" xfId="140" applyBorder="1"/>
    <xf numFmtId="3" fontId="5" fillId="0" borderId="116" xfId="140" applyNumberFormat="1" applyBorder="1" applyAlignment="1">
      <alignment vertical="center"/>
    </xf>
    <xf numFmtId="192" fontId="5" fillId="0" borderId="118" xfId="140" applyNumberFormat="1" applyBorder="1"/>
    <xf numFmtId="0" fontId="5" fillId="0" borderId="89" xfId="140" applyFill="1" applyBorder="1" applyAlignment="1">
      <alignment horizontal="center" vertical="center"/>
    </xf>
    <xf numFmtId="3" fontId="5" fillId="25" borderId="114" xfId="140" applyNumberFormat="1" applyFill="1" applyBorder="1" applyAlignment="1">
      <alignment horizontal="center"/>
    </xf>
    <xf numFmtId="0" fontId="5" fillId="0" borderId="0" xfId="140" applyFill="1"/>
    <xf numFmtId="0" fontId="5" fillId="25" borderId="0" xfId="140" applyFill="1"/>
    <xf numFmtId="192" fontId="5" fillId="0" borderId="0" xfId="140" applyNumberFormat="1" applyFill="1"/>
    <xf numFmtId="0" fontId="5" fillId="0" borderId="0" xfId="140" applyAlignment="1">
      <alignment horizontal="center" vertical="center"/>
    </xf>
    <xf numFmtId="2" fontId="5" fillId="0" borderId="0" xfId="140" applyNumberFormat="1" applyAlignment="1">
      <alignment horizontal="center"/>
    </xf>
    <xf numFmtId="0" fontId="5" fillId="0" borderId="0" xfId="140" applyFill="1" applyAlignment="1">
      <alignment horizontal="center"/>
    </xf>
    <xf numFmtId="2" fontId="5" fillId="0" borderId="0" xfId="140" applyNumberFormat="1" applyFill="1" applyAlignment="1">
      <alignment horizontal="center"/>
    </xf>
    <xf numFmtId="0" fontId="36" fillId="0" borderId="123" xfId="90" applyFont="1" applyFill="1" applyBorder="1" applyProtection="1"/>
    <xf numFmtId="2" fontId="36" fillId="0" borderId="123" xfId="90" applyNumberFormat="1" applyFont="1" applyFill="1" applyBorder="1" applyProtection="1"/>
    <xf numFmtId="181" fontId="36" fillId="0" borderId="123" xfId="90" applyNumberFormat="1" applyFont="1" applyFill="1" applyBorder="1" applyProtection="1"/>
    <xf numFmtId="189" fontId="36" fillId="0" borderId="123" xfId="90" applyNumberFormat="1" applyFont="1" applyFill="1" applyBorder="1" applyProtection="1"/>
    <xf numFmtId="0" fontId="39" fillId="0" borderId="29" xfId="0" applyFont="1" applyFill="1" applyBorder="1" applyAlignment="1">
      <alignment horizontal="center"/>
    </xf>
    <xf numFmtId="175" fontId="35" fillId="0" borderId="0" xfId="133" applyNumberFormat="1" applyFont="1" applyFill="1" applyBorder="1" applyAlignment="1" applyProtection="1">
      <alignment horizontal="center" vertical="center" wrapText="1"/>
    </xf>
    <xf numFmtId="172" fontId="36" fillId="0" borderId="123" xfId="35" applyFont="1" applyFill="1" applyBorder="1" applyProtection="1"/>
    <xf numFmtId="0" fontId="36" fillId="0" borderId="123" xfId="90" applyFont="1" applyFill="1" applyBorder="1" applyAlignment="1" applyProtection="1">
      <alignment wrapText="1"/>
    </xf>
    <xf numFmtId="0" fontId="36" fillId="29" borderId="123" xfId="90" applyFont="1" applyFill="1" applyBorder="1" applyProtection="1"/>
    <xf numFmtId="0" fontId="0" fillId="0" borderId="102" xfId="144" applyFont="1" applyFill="1" applyBorder="1" applyAlignment="1">
      <alignment horizontal="center" vertical="center"/>
    </xf>
    <xf numFmtId="0" fontId="57" fillId="0" borderId="0" xfId="144" applyFont="1" applyAlignment="1">
      <alignment horizontal="center"/>
    </xf>
    <xf numFmtId="0" fontId="57" fillId="0" borderId="0" xfId="144" applyFont="1"/>
    <xf numFmtId="0" fontId="59" fillId="0" borderId="102" xfId="144" applyFont="1" applyFill="1" applyBorder="1" applyAlignment="1">
      <alignment horizontal="center" vertical="center"/>
    </xf>
    <xf numFmtId="0" fontId="59" fillId="0" borderId="102" xfId="144" applyFont="1" applyFill="1" applyBorder="1" applyAlignment="1">
      <alignment horizontal="center" vertical="center" wrapText="1"/>
    </xf>
    <xf numFmtId="0" fontId="59" fillId="0" borderId="103" xfId="144" applyFont="1" applyFill="1" applyBorder="1" applyAlignment="1">
      <alignment horizontal="center" vertical="center" wrapText="1"/>
    </xf>
    <xf numFmtId="192" fontId="58" fillId="0" borderId="102" xfId="144" applyNumberFormat="1" applyFont="1" applyFill="1" applyBorder="1" applyAlignment="1">
      <alignment horizontal="center" vertical="center"/>
    </xf>
    <xf numFmtId="192" fontId="58" fillId="29" borderId="102" xfId="144" applyNumberFormat="1" applyFont="1" applyFill="1" applyBorder="1" applyAlignment="1">
      <alignment horizontal="center" vertical="center"/>
    </xf>
    <xf numFmtId="192" fontId="58" fillId="29" borderId="87" xfId="144" applyNumberFormat="1" applyFont="1" applyFill="1" applyBorder="1" applyAlignment="1">
      <alignment horizontal="center" vertical="center"/>
    </xf>
    <xf numFmtId="192" fontId="58" fillId="26" borderId="102" xfId="144" applyNumberFormat="1" applyFont="1" applyFill="1" applyBorder="1" applyAlignment="1">
      <alignment horizontal="center" vertical="center"/>
    </xf>
    <xf numFmtId="192" fontId="58" fillId="26" borderId="109" xfId="144" applyNumberFormat="1" applyFont="1" applyFill="1" applyBorder="1" applyAlignment="1">
      <alignment horizontal="center" vertical="center"/>
    </xf>
    <xf numFmtId="192" fontId="58" fillId="26" borderId="87" xfId="144" applyNumberFormat="1" applyFont="1" applyFill="1" applyBorder="1" applyAlignment="1">
      <alignment horizontal="center" vertical="center"/>
    </xf>
    <xf numFmtId="193" fontId="59" fillId="29" borderId="102" xfId="144" applyNumberFormat="1" applyFont="1" applyFill="1" applyBorder="1" applyAlignment="1">
      <alignment horizontal="center" vertical="center" wrapText="1"/>
    </xf>
    <xf numFmtId="193" fontId="59" fillId="29" borderId="87" xfId="144" applyNumberFormat="1" applyFont="1" applyFill="1" applyBorder="1" applyAlignment="1">
      <alignment horizontal="center" vertical="center" wrapText="1"/>
    </xf>
    <xf numFmtId="193" fontId="59" fillId="27" borderId="87" xfId="144" applyNumberFormat="1" applyFont="1" applyFill="1" applyBorder="1" applyAlignment="1">
      <alignment horizontal="center" vertical="center" wrapText="1"/>
    </xf>
    <xf numFmtId="193" fontId="59" fillId="26" borderId="102" xfId="144" applyNumberFormat="1" applyFont="1" applyFill="1" applyBorder="1" applyAlignment="1">
      <alignment horizontal="center" vertical="center" wrapText="1"/>
    </xf>
    <xf numFmtId="193" fontId="59" fillId="26" borderId="87" xfId="144" applyNumberFormat="1" applyFont="1" applyFill="1" applyBorder="1" applyAlignment="1">
      <alignment horizontal="center" vertical="center" wrapText="1"/>
    </xf>
    <xf numFmtId="193" fontId="59" fillId="26" borderId="103" xfId="144" applyNumberFormat="1" applyFont="1" applyFill="1" applyBorder="1" applyAlignment="1">
      <alignment horizontal="center" vertical="center" wrapText="1"/>
    </xf>
    <xf numFmtId="192" fontId="58" fillId="0" borderId="87" xfId="144" applyNumberFormat="1" applyFont="1" applyFill="1" applyBorder="1" applyAlignment="1">
      <alignment horizontal="center" vertical="center"/>
    </xf>
    <xf numFmtId="0" fontId="4" fillId="0" borderId="0" xfId="144" applyFont="1"/>
    <xf numFmtId="192" fontId="58" fillId="0" borderId="113" xfId="144" applyNumberFormat="1" applyFont="1" applyFill="1" applyBorder="1" applyAlignment="1">
      <alignment horizontal="center" vertical="center"/>
    </xf>
    <xf numFmtId="192" fontId="58" fillId="29" borderId="113" xfId="144" applyNumberFormat="1" applyFont="1" applyFill="1" applyBorder="1" applyAlignment="1">
      <alignment horizontal="center" vertical="center"/>
    </xf>
    <xf numFmtId="192" fontId="58" fillId="29" borderId="114" xfId="144" applyNumberFormat="1" applyFont="1" applyFill="1" applyBorder="1" applyAlignment="1">
      <alignment horizontal="center" vertical="center"/>
    </xf>
    <xf numFmtId="192" fontId="58" fillId="26" borderId="113" xfId="144" applyNumberFormat="1" applyFont="1" applyFill="1" applyBorder="1" applyAlignment="1">
      <alignment horizontal="center" vertical="center"/>
    </xf>
    <xf numFmtId="192" fontId="58" fillId="26" borderId="143" xfId="144" applyNumberFormat="1" applyFont="1" applyFill="1" applyBorder="1" applyAlignment="1">
      <alignment horizontal="center" vertical="center"/>
    </xf>
    <xf numFmtId="192" fontId="58" fillId="26" borderId="114" xfId="144" applyNumberFormat="1" applyFont="1" applyFill="1" applyBorder="1" applyAlignment="1">
      <alignment horizontal="center" vertical="center"/>
    </xf>
    <xf numFmtId="0" fontId="74" fillId="27" borderId="119" xfId="144" applyFont="1" applyFill="1" applyBorder="1" applyAlignment="1">
      <alignment horizontal="center" vertical="center"/>
    </xf>
    <xf numFmtId="0" fontId="73" fillId="27" borderId="120" xfId="144" applyFont="1" applyFill="1" applyBorder="1" applyAlignment="1">
      <alignment horizontal="center" vertical="center" wrapText="1"/>
    </xf>
    <xf numFmtId="0" fontId="74" fillId="27" borderId="121" xfId="144" applyFont="1" applyFill="1" applyBorder="1" applyAlignment="1">
      <alignment horizontal="center" vertical="center"/>
    </xf>
    <xf numFmtId="192" fontId="74" fillId="27" borderId="119" xfId="144" applyNumberFormat="1" applyFont="1" applyFill="1" applyBorder="1" applyAlignment="1">
      <alignment horizontal="center" vertical="center"/>
    </xf>
    <xf numFmtId="0" fontId="73" fillId="27" borderId="122" xfId="144" applyFont="1" applyFill="1" applyBorder="1" applyAlignment="1">
      <alignment horizontal="center" vertical="center" wrapText="1"/>
    </xf>
    <xf numFmtId="192" fontId="74" fillId="27" borderId="120" xfId="144" applyNumberFormat="1" applyFont="1" applyFill="1" applyBorder="1" applyAlignment="1">
      <alignment horizontal="center" vertical="center"/>
    </xf>
    <xf numFmtId="192" fontId="74" fillId="27" borderId="155" xfId="144" applyNumberFormat="1" applyFont="1" applyFill="1" applyBorder="1" applyAlignment="1">
      <alignment horizontal="center" vertical="center"/>
    </xf>
    <xf numFmtId="0" fontId="73" fillId="27" borderId="122" xfId="144" applyFont="1" applyFill="1" applyBorder="1" applyAlignment="1">
      <alignment horizontal="center" vertical="center"/>
    </xf>
    <xf numFmtId="0" fontId="73" fillId="27" borderId="123" xfId="144" applyFont="1" applyFill="1" applyBorder="1" applyAlignment="1">
      <alignment horizontal="center" vertical="center" wrapText="1"/>
    </xf>
    <xf numFmtId="0" fontId="74" fillId="27" borderId="102" xfId="144" applyFont="1" applyFill="1" applyBorder="1" applyAlignment="1">
      <alignment horizontal="center" vertical="center"/>
    </xf>
    <xf numFmtId="0" fontId="74" fillId="27" borderId="87" xfId="144" applyFont="1" applyFill="1" applyBorder="1" applyAlignment="1">
      <alignment horizontal="center" vertical="center"/>
    </xf>
    <xf numFmtId="0" fontId="74" fillId="27" borderId="104" xfId="144" applyFont="1" applyFill="1" applyBorder="1" applyAlignment="1">
      <alignment horizontal="center" vertical="center"/>
    </xf>
    <xf numFmtId="0" fontId="74" fillId="27" borderId="103" xfId="144" applyFont="1" applyFill="1" applyBorder="1" applyAlignment="1">
      <alignment horizontal="center" vertical="center"/>
    </xf>
    <xf numFmtId="0" fontId="74" fillId="27" borderId="156" xfId="144" applyFont="1" applyFill="1" applyBorder="1" applyAlignment="1">
      <alignment horizontal="center" vertical="center"/>
    </xf>
    <xf numFmtId="0" fontId="73" fillId="27" borderId="102" xfId="144" applyFont="1" applyFill="1" applyBorder="1" applyAlignment="1">
      <alignment horizontal="center" vertical="center" wrapText="1"/>
    </xf>
    <xf numFmtId="0" fontId="73" fillId="27" borderId="87" xfId="144" applyFont="1" applyFill="1" applyBorder="1" applyAlignment="1">
      <alignment horizontal="center" vertical="center" wrapText="1"/>
    </xf>
    <xf numFmtId="192" fontId="74" fillId="27" borderId="87" xfId="144" applyNumberFormat="1" applyFont="1" applyFill="1" applyBorder="1" applyAlignment="1">
      <alignment horizontal="center" vertical="center"/>
    </xf>
    <xf numFmtId="0" fontId="73" fillId="27" borderId="104" xfId="144" applyFont="1" applyFill="1" applyBorder="1" applyAlignment="1">
      <alignment horizontal="center" vertical="center" wrapText="1"/>
    </xf>
    <xf numFmtId="192" fontId="74" fillId="27" borderId="102" xfId="144" applyNumberFormat="1" applyFont="1" applyFill="1" applyBorder="1" applyAlignment="1">
      <alignment horizontal="center" vertical="center"/>
    </xf>
    <xf numFmtId="0" fontId="73" fillId="27" borderId="103" xfId="144" applyFont="1" applyFill="1" applyBorder="1" applyAlignment="1">
      <alignment horizontal="center" vertical="center" wrapText="1"/>
    </xf>
    <xf numFmtId="0" fontId="4" fillId="34" borderId="124" xfId="144" applyFont="1" applyFill="1" applyBorder="1" applyAlignment="1">
      <alignment horizontal="center"/>
    </xf>
    <xf numFmtId="0" fontId="57" fillId="34" borderId="125" xfId="144" applyFont="1" applyFill="1" applyBorder="1" applyAlignment="1">
      <alignment vertical="center" wrapText="1"/>
    </xf>
    <xf numFmtId="0" fontId="57" fillId="34" borderId="126" xfId="144" applyFont="1" applyFill="1" applyBorder="1" applyAlignment="1">
      <alignment horizontal="center" vertical="center"/>
    </xf>
    <xf numFmtId="0" fontId="4" fillId="34" borderId="124" xfId="144" applyFont="1" applyFill="1" applyBorder="1" applyAlignment="1">
      <alignment horizontal="center" vertical="center"/>
    </xf>
    <xf numFmtId="0" fontId="57" fillId="34" borderId="118" xfId="144" applyFont="1" applyFill="1" applyBorder="1" applyAlignment="1">
      <alignment vertical="center"/>
    </xf>
    <xf numFmtId="0" fontId="4" fillId="34" borderId="107" xfId="144" applyFont="1" applyFill="1" applyBorder="1" applyAlignment="1">
      <alignment horizontal="center" vertical="center"/>
    </xf>
    <xf numFmtId="0" fontId="4" fillId="34" borderId="125" xfId="144" applyFont="1" applyFill="1" applyBorder="1" applyAlignment="1">
      <alignment horizontal="center" vertical="center"/>
    </xf>
    <xf numFmtId="4" fontId="57" fillId="34" borderId="127" xfId="144" applyNumberFormat="1" applyFont="1" applyFill="1" applyBorder="1" applyAlignment="1">
      <alignment vertical="center"/>
    </xf>
    <xf numFmtId="0" fontId="58" fillId="34" borderId="102" xfId="144" applyFont="1" applyFill="1" applyBorder="1" applyAlignment="1">
      <alignment horizontal="center" vertical="center"/>
    </xf>
    <xf numFmtId="0" fontId="58" fillId="34" borderId="87" xfId="144" applyFont="1" applyFill="1" applyBorder="1" applyAlignment="1">
      <alignment horizontal="center" vertical="center"/>
    </xf>
    <xf numFmtId="0" fontId="58" fillId="34" borderId="104" xfId="144" applyFont="1" applyFill="1" applyBorder="1" applyAlignment="1">
      <alignment horizontal="center" vertical="center"/>
    </xf>
    <xf numFmtId="0" fontId="58" fillId="34" borderId="103" xfId="144" applyFont="1" applyFill="1" applyBorder="1" applyAlignment="1">
      <alignment horizontal="center" vertical="center"/>
    </xf>
    <xf numFmtId="0" fontId="58" fillId="34" borderId="157" xfId="144" applyFont="1" applyFill="1" applyBorder="1" applyAlignment="1">
      <alignment horizontal="center" vertical="center"/>
    </xf>
    <xf numFmtId="0" fontId="57" fillId="34" borderId="124" xfId="144" applyFont="1" applyFill="1" applyBorder="1" applyAlignment="1">
      <alignment horizontal="center" vertical="center" wrapText="1"/>
    </xf>
    <xf numFmtId="0" fontId="57" fillId="34" borderId="125" xfId="144" applyFont="1" applyFill="1" applyBorder="1" applyAlignment="1">
      <alignment horizontal="center" vertical="center" wrapText="1"/>
    </xf>
    <xf numFmtId="0" fontId="57" fillId="34" borderId="118" xfId="144" applyFont="1" applyFill="1" applyBorder="1" applyAlignment="1">
      <alignment horizontal="center" vertical="center" wrapText="1"/>
    </xf>
    <xf numFmtId="0" fontId="57" fillId="34" borderId="102" xfId="144" applyFont="1" applyFill="1" applyBorder="1" applyAlignment="1">
      <alignment horizontal="center" vertical="center" wrapText="1"/>
    </xf>
    <xf numFmtId="0" fontId="57" fillId="34" borderId="87" xfId="144" applyFont="1" applyFill="1" applyBorder="1" applyAlignment="1">
      <alignment horizontal="center" vertical="center" wrapText="1"/>
    </xf>
    <xf numFmtId="0" fontId="57" fillId="34" borderId="104" xfId="144" applyFont="1" applyFill="1" applyBorder="1" applyAlignment="1">
      <alignment horizontal="center" vertical="center" wrapText="1"/>
    </xf>
    <xf numFmtId="0" fontId="4" fillId="34" borderId="102" xfId="144" applyFont="1" applyFill="1" applyBorder="1" applyAlignment="1">
      <alignment horizontal="center" wrapText="1"/>
    </xf>
    <xf numFmtId="0" fontId="4" fillId="34" borderId="87" xfId="144" applyFont="1" applyFill="1" applyBorder="1" applyAlignment="1">
      <alignment horizontal="center" wrapText="1"/>
    </xf>
    <xf numFmtId="0" fontId="57" fillId="34" borderId="104" xfId="144" applyFont="1" applyFill="1" applyBorder="1" applyAlignment="1">
      <alignment wrapText="1"/>
    </xf>
    <xf numFmtId="0" fontId="57" fillId="34" borderId="102" xfId="144" applyFont="1" applyFill="1" applyBorder="1" applyAlignment="1">
      <alignment wrapText="1"/>
    </xf>
    <xf numFmtId="0" fontId="57" fillId="34" borderId="87" xfId="144" applyFont="1" applyFill="1" applyBorder="1" applyAlignment="1">
      <alignment wrapText="1"/>
    </xf>
    <xf numFmtId="0" fontId="57" fillId="34" borderId="103" xfId="144" applyFont="1" applyFill="1" applyBorder="1" applyAlignment="1">
      <alignment wrapText="1"/>
    </xf>
    <xf numFmtId="4" fontId="57" fillId="34" borderId="127" xfId="144" applyNumberFormat="1" applyFont="1" applyFill="1" applyBorder="1"/>
    <xf numFmtId="0" fontId="4" fillId="34" borderId="109" xfId="144" applyFont="1" applyFill="1" applyBorder="1"/>
    <xf numFmtId="0" fontId="4" fillId="0" borderId="102" xfId="144" applyFont="1" applyFill="1" applyBorder="1" applyAlignment="1">
      <alignment horizontal="center"/>
    </xf>
    <xf numFmtId="0" fontId="57" fillId="0" borderId="87" xfId="144" applyFont="1" applyFill="1" applyBorder="1" applyAlignment="1">
      <alignment horizontal="left" vertical="center" wrapText="1"/>
    </xf>
    <xf numFmtId="0" fontId="4" fillId="0" borderId="103" xfId="144" applyFont="1" applyFill="1" applyBorder="1" applyAlignment="1">
      <alignment horizontal="center" vertical="center"/>
    </xf>
    <xf numFmtId="4" fontId="4" fillId="0" borderId="102" xfId="144" applyNumberFormat="1" applyFont="1" applyFill="1" applyBorder="1" applyAlignment="1">
      <alignment horizontal="center" vertical="center"/>
    </xf>
    <xf numFmtId="4" fontId="57" fillId="0" borderId="104" xfId="144" applyNumberFormat="1" applyFont="1" applyFill="1" applyBorder="1" applyAlignment="1">
      <alignment vertical="center"/>
    </xf>
    <xf numFmtId="4" fontId="4" fillId="0" borderId="87" xfId="144" applyNumberFormat="1" applyFont="1" applyFill="1" applyBorder="1" applyAlignment="1">
      <alignment horizontal="center" vertical="center"/>
    </xf>
    <xf numFmtId="4" fontId="4" fillId="0" borderId="109" xfId="144" applyNumberFormat="1" applyFont="1" applyFill="1" applyBorder="1" applyAlignment="1">
      <alignment horizontal="center" vertical="center"/>
    </xf>
    <xf numFmtId="4" fontId="4" fillId="0" borderId="102" xfId="144" applyNumberFormat="1" applyFont="1" applyFill="1" applyBorder="1" applyAlignment="1">
      <alignment vertical="center"/>
    </xf>
    <xf numFmtId="4" fontId="4" fillId="0" borderId="87" xfId="144" applyNumberFormat="1" applyFont="1" applyFill="1" applyBorder="1" applyAlignment="1">
      <alignment vertical="center"/>
    </xf>
    <xf numFmtId="4" fontId="57" fillId="0" borderId="105" xfId="144" applyNumberFormat="1" applyFont="1" applyFill="1" applyBorder="1" applyAlignment="1">
      <alignment vertical="center"/>
    </xf>
    <xf numFmtId="4" fontId="58" fillId="0" borderId="102" xfId="144" applyNumberFormat="1" applyFont="1" applyBorder="1" applyAlignment="1">
      <alignment horizontal="center" vertical="center"/>
    </xf>
    <xf numFmtId="4" fontId="58" fillId="0" borderId="87" xfId="144" applyNumberFormat="1" applyFont="1" applyBorder="1" applyAlignment="1">
      <alignment horizontal="center" vertical="center"/>
    </xf>
    <xf numFmtId="4" fontId="58" fillId="0" borderId="104" xfId="144" applyNumberFormat="1" applyFont="1" applyBorder="1" applyAlignment="1">
      <alignment horizontal="center" vertical="center"/>
    </xf>
    <xf numFmtId="4" fontId="58" fillId="0" borderId="103" xfId="144" applyNumberFormat="1" applyFont="1" applyBorder="1" applyAlignment="1">
      <alignment horizontal="center" vertical="center"/>
    </xf>
    <xf numFmtId="4" fontId="58" fillId="0" borderId="158" xfId="144" applyNumberFormat="1" applyFont="1" applyFill="1" applyBorder="1" applyAlignment="1">
      <alignment horizontal="center" vertical="center"/>
    </xf>
    <xf numFmtId="0" fontId="4" fillId="0" borderId="102" xfId="144" applyFont="1" applyBorder="1" applyAlignment="1">
      <alignment horizontal="center" vertical="center"/>
    </xf>
    <xf numFmtId="0" fontId="4" fillId="0" borderId="87" xfId="144" applyFont="1" applyBorder="1" applyAlignment="1">
      <alignment horizontal="center" vertical="center"/>
    </xf>
    <xf numFmtId="0" fontId="4" fillId="0" borderId="104" xfId="144" applyFont="1" applyBorder="1" applyAlignment="1">
      <alignment horizontal="center" vertical="center"/>
    </xf>
    <xf numFmtId="4" fontId="4" fillId="0" borderId="102" xfId="144" applyNumberFormat="1" applyFont="1" applyFill="1" applyBorder="1" applyAlignment="1">
      <alignment horizontal="center"/>
    </xf>
    <xf numFmtId="4" fontId="4" fillId="0" borderId="87" xfId="144" applyNumberFormat="1" applyFont="1" applyFill="1" applyBorder="1" applyAlignment="1">
      <alignment horizontal="center"/>
    </xf>
    <xf numFmtId="4" fontId="57" fillId="0" borderId="104" xfId="144" applyNumberFormat="1" applyFont="1" applyFill="1" applyBorder="1"/>
    <xf numFmtId="4" fontId="57" fillId="0" borderId="102" xfId="144" applyNumberFormat="1" applyFont="1" applyFill="1" applyBorder="1"/>
    <xf numFmtId="4" fontId="57" fillId="0" borderId="87" xfId="144" applyNumberFormat="1" applyFont="1" applyFill="1" applyBorder="1"/>
    <xf numFmtId="4" fontId="57" fillId="0" borderId="103" xfId="144" applyNumberFormat="1" applyFont="1" applyFill="1" applyBorder="1"/>
    <xf numFmtId="4" fontId="4" fillId="0" borderId="102" xfId="144" applyNumberFormat="1" applyFont="1" applyFill="1" applyBorder="1"/>
    <xf numFmtId="4" fontId="4" fillId="0" borderId="87" xfId="144" applyNumberFormat="1" applyFont="1" applyFill="1" applyBorder="1"/>
    <xf numFmtId="4" fontId="57" fillId="0" borderId="105" xfId="144" applyNumberFormat="1" applyFont="1" applyBorder="1"/>
    <xf numFmtId="0" fontId="4" fillId="0" borderId="109" xfId="144" applyFont="1" applyFill="1" applyBorder="1"/>
    <xf numFmtId="0" fontId="4" fillId="34" borderId="102" xfId="144" applyFont="1" applyFill="1" applyBorder="1" applyAlignment="1">
      <alignment horizontal="center"/>
    </xf>
    <xf numFmtId="0" fontId="57" fillId="34" borderId="87" xfId="144" applyFont="1" applyFill="1" applyBorder="1" applyAlignment="1">
      <alignment vertical="center" wrapText="1"/>
    </xf>
    <xf numFmtId="0" fontId="57" fillId="34" borderId="103" xfId="144" applyFont="1" applyFill="1" applyBorder="1" applyAlignment="1">
      <alignment horizontal="center" vertical="center"/>
    </xf>
    <xf numFmtId="0" fontId="4" fillId="34" borderId="102" xfId="144" applyFont="1" applyFill="1" applyBorder="1" applyAlignment="1">
      <alignment horizontal="center" vertical="center"/>
    </xf>
    <xf numFmtId="0" fontId="57" fillId="34" borderId="104" xfId="144" applyFont="1" applyFill="1" applyBorder="1" applyAlignment="1">
      <alignment vertical="center"/>
    </xf>
    <xf numFmtId="0" fontId="4" fillId="34" borderId="87" xfId="144" applyFont="1" applyFill="1" applyBorder="1" applyAlignment="1">
      <alignment horizontal="center" vertical="center"/>
    </xf>
    <xf numFmtId="0" fontId="4" fillId="34" borderId="109" xfId="144" applyFont="1" applyFill="1" applyBorder="1" applyAlignment="1">
      <alignment horizontal="center" vertical="center"/>
    </xf>
    <xf numFmtId="4" fontId="57" fillId="34" borderId="105" xfId="144" applyNumberFormat="1" applyFont="1" applyFill="1" applyBorder="1" applyAlignment="1">
      <alignment vertical="center"/>
    </xf>
    <xf numFmtId="0" fontId="58" fillId="34" borderId="158" xfId="144" applyFont="1" applyFill="1" applyBorder="1" applyAlignment="1">
      <alignment horizontal="center" vertical="center"/>
    </xf>
    <xf numFmtId="0" fontId="57" fillId="34" borderId="102" xfId="144" applyFont="1" applyFill="1" applyBorder="1" applyAlignment="1">
      <alignment horizontal="center" vertical="center"/>
    </xf>
    <xf numFmtId="0" fontId="57" fillId="34" borderId="87" xfId="144" applyFont="1" applyFill="1" applyBorder="1" applyAlignment="1">
      <alignment horizontal="center" vertical="center"/>
    </xf>
    <xf numFmtId="0" fontId="57" fillId="34" borderId="104" xfId="144" applyFont="1" applyFill="1" applyBorder="1" applyAlignment="1">
      <alignment horizontal="center" vertical="center"/>
    </xf>
    <xf numFmtId="0" fontId="4" fillId="34" borderId="87" xfId="144" applyFont="1" applyFill="1" applyBorder="1" applyAlignment="1">
      <alignment horizontal="center"/>
    </xf>
    <xf numFmtId="0" fontId="57" fillId="34" borderId="104" xfId="144" applyFont="1" applyFill="1" applyBorder="1"/>
    <xf numFmtId="0" fontId="57" fillId="34" borderId="102" xfId="144" applyFont="1" applyFill="1" applyBorder="1"/>
    <xf numFmtId="0" fontId="57" fillId="34" borderId="87" xfId="144" applyFont="1" applyFill="1" applyBorder="1"/>
    <xf numFmtId="0" fontId="57" fillId="34" borderId="103" xfId="144" applyFont="1" applyFill="1" applyBorder="1"/>
    <xf numFmtId="4" fontId="57" fillId="34" borderId="105" xfId="144" applyNumberFormat="1" applyFont="1" applyFill="1" applyBorder="1"/>
    <xf numFmtId="4" fontId="4" fillId="0" borderId="109" xfId="144" applyNumberFormat="1" applyFont="1" applyFill="1" applyBorder="1" applyAlignment="1">
      <alignment vertical="center"/>
    </xf>
    <xf numFmtId="4" fontId="4" fillId="34" borderId="102" xfId="144" applyNumberFormat="1" applyFont="1" applyFill="1" applyBorder="1"/>
    <xf numFmtId="4" fontId="4" fillId="34" borderId="87" xfId="144" applyNumberFormat="1" applyFont="1" applyFill="1" applyBorder="1"/>
    <xf numFmtId="4" fontId="57" fillId="34" borderId="104" xfId="144" applyNumberFormat="1" applyFont="1" applyFill="1" applyBorder="1"/>
    <xf numFmtId="4" fontId="57" fillId="34" borderId="102" xfId="144" applyNumberFormat="1" applyFont="1" applyFill="1" applyBorder="1"/>
    <xf numFmtId="4" fontId="57" fillId="34" borderId="87" xfId="144" applyNumberFormat="1" applyFont="1" applyFill="1" applyBorder="1"/>
    <xf numFmtId="4" fontId="57" fillId="34" borderId="103" xfId="144" applyNumberFormat="1" applyFont="1" applyFill="1" applyBorder="1"/>
    <xf numFmtId="0" fontId="4" fillId="36" borderId="102" xfId="144" applyFont="1" applyFill="1" applyBorder="1" applyAlignment="1">
      <alignment horizontal="center"/>
    </xf>
    <xf numFmtId="0" fontId="57" fillId="36" borderId="87" xfId="144" applyFont="1" applyFill="1" applyBorder="1" applyAlignment="1">
      <alignment horizontal="left" vertical="center" wrapText="1"/>
    </xf>
    <xf numFmtId="0" fontId="4" fillId="36" borderId="103" xfId="144" applyFont="1" applyFill="1" applyBorder="1" applyAlignment="1">
      <alignment horizontal="center" vertical="center"/>
    </xf>
    <xf numFmtId="4" fontId="4" fillId="36" borderId="102" xfId="144" applyNumberFormat="1" applyFont="1" applyFill="1" applyBorder="1" applyAlignment="1">
      <alignment vertical="center"/>
    </xf>
    <xf numFmtId="4" fontId="57" fillId="36" borderId="104" xfId="144" applyNumberFormat="1" applyFont="1" applyFill="1" applyBorder="1" applyAlignment="1">
      <alignment vertical="center"/>
    </xf>
    <xf numFmtId="4" fontId="4" fillId="36" borderId="87" xfId="144" applyNumberFormat="1" applyFont="1" applyFill="1" applyBorder="1" applyAlignment="1">
      <alignment vertical="center"/>
    </xf>
    <xf numFmtId="4" fontId="4" fillId="36" borderId="109" xfId="144" applyNumberFormat="1" applyFont="1" applyFill="1" applyBorder="1" applyAlignment="1">
      <alignment vertical="center"/>
    </xf>
    <xf numFmtId="4" fontId="57" fillId="36" borderId="105" xfId="144" applyNumberFormat="1" applyFont="1" applyFill="1" applyBorder="1" applyAlignment="1">
      <alignment vertical="center"/>
    </xf>
    <xf numFmtId="0" fontId="58" fillId="36" borderId="102" xfId="144" applyFont="1" applyFill="1" applyBorder="1" applyAlignment="1">
      <alignment horizontal="center" vertical="center"/>
    </xf>
    <xf numFmtId="0" fontId="58" fillId="36" borderId="87" xfId="144" applyFont="1" applyFill="1" applyBorder="1" applyAlignment="1">
      <alignment horizontal="center" vertical="center"/>
    </xf>
    <xf numFmtId="0" fontId="58" fillId="36" borderId="104" xfId="144" applyFont="1" applyFill="1" applyBorder="1" applyAlignment="1">
      <alignment horizontal="center" vertical="center"/>
    </xf>
    <xf numFmtId="0" fontId="58" fillId="36" borderId="103" xfId="144" applyFont="1" applyFill="1" applyBorder="1" applyAlignment="1">
      <alignment horizontal="center" vertical="center"/>
    </xf>
    <xf numFmtId="0" fontId="58" fillId="36" borderId="158" xfId="144" applyFont="1" applyFill="1" applyBorder="1" applyAlignment="1">
      <alignment horizontal="center" vertical="center"/>
    </xf>
    <xf numFmtId="4" fontId="4" fillId="36" borderId="102" xfId="144" applyNumberFormat="1" applyFont="1" applyFill="1" applyBorder="1"/>
    <xf numFmtId="4" fontId="4" fillId="36" borderId="87" xfId="144" applyNumberFormat="1" applyFont="1" applyFill="1" applyBorder="1"/>
    <xf numFmtId="4" fontId="57" fillId="36" borderId="104" xfId="144" applyNumberFormat="1" applyFont="1" applyFill="1" applyBorder="1"/>
    <xf numFmtId="4" fontId="57" fillId="36" borderId="102" xfId="144" applyNumberFormat="1" applyFont="1" applyFill="1" applyBorder="1"/>
    <xf numFmtId="4" fontId="57" fillId="36" borderId="87" xfId="144" applyNumberFormat="1" applyFont="1" applyFill="1" applyBorder="1"/>
    <xf numFmtId="4" fontId="57" fillId="36" borderId="103" xfId="144" applyNumberFormat="1" applyFont="1" applyFill="1" applyBorder="1"/>
    <xf numFmtId="4" fontId="57" fillId="36" borderId="105" xfId="144" applyNumberFormat="1" applyFont="1" applyFill="1" applyBorder="1"/>
    <xf numFmtId="0" fontId="4" fillId="36" borderId="109" xfId="144" applyFont="1" applyFill="1" applyBorder="1"/>
    <xf numFmtId="0" fontId="4" fillId="0" borderId="87" xfId="144" applyFont="1" applyFill="1" applyBorder="1" applyAlignment="1">
      <alignment horizontal="left" vertical="center" wrapText="1"/>
    </xf>
    <xf numFmtId="4" fontId="57" fillId="0" borderId="105" xfId="144" applyNumberFormat="1" applyFont="1" applyFill="1" applyBorder="1"/>
    <xf numFmtId="174" fontId="57" fillId="0" borderId="105" xfId="144" applyNumberFormat="1" applyFont="1" applyFill="1" applyBorder="1"/>
    <xf numFmtId="174" fontId="57" fillId="36" borderId="105" xfId="144" applyNumberFormat="1" applyFont="1" applyFill="1" applyBorder="1"/>
    <xf numFmtId="4" fontId="58" fillId="0" borderId="102" xfId="144" applyNumberFormat="1" applyFont="1" applyFill="1" applyBorder="1" applyAlignment="1">
      <alignment horizontal="center" vertical="center"/>
    </xf>
    <xf numFmtId="4" fontId="58" fillId="0" borderId="87" xfId="144" applyNumberFormat="1" applyFont="1" applyFill="1" applyBorder="1" applyAlignment="1">
      <alignment horizontal="center" vertical="center"/>
    </xf>
    <xf numFmtId="4" fontId="58" fillId="0" borderId="104" xfId="144" applyNumberFormat="1" applyFont="1" applyFill="1" applyBorder="1" applyAlignment="1">
      <alignment horizontal="center" vertical="center"/>
    </xf>
    <xf numFmtId="4" fontId="58" fillId="0" borderId="103" xfId="144" applyNumberFormat="1" applyFont="1" applyFill="1" applyBorder="1" applyAlignment="1">
      <alignment horizontal="center" vertical="center"/>
    </xf>
    <xf numFmtId="0" fontId="58" fillId="0" borderId="87" xfId="144" applyFont="1" applyFill="1" applyBorder="1" applyAlignment="1">
      <alignment horizontal="left" vertical="center" wrapText="1"/>
    </xf>
    <xf numFmtId="4" fontId="57" fillId="0" borderId="103" xfId="144" applyNumberFormat="1" applyFont="1" applyFill="1" applyBorder="1" applyAlignment="1">
      <alignment vertical="center"/>
    </xf>
    <xf numFmtId="174" fontId="57" fillId="0" borderId="105" xfId="144" applyNumberFormat="1" applyFont="1" applyFill="1" applyBorder="1" applyAlignment="1">
      <alignment vertical="center"/>
    </xf>
    <xf numFmtId="0" fontId="4" fillId="0" borderId="109" xfId="144" applyFont="1" applyFill="1" applyBorder="1" applyAlignment="1">
      <alignment vertical="center"/>
    </xf>
    <xf numFmtId="0" fontId="4" fillId="35" borderId="102" xfId="144" applyFont="1" applyFill="1" applyBorder="1" applyAlignment="1">
      <alignment horizontal="center"/>
    </xf>
    <xf numFmtId="0" fontId="57" fillId="35" borderId="87" xfId="144" applyFont="1" applyFill="1" applyBorder="1" applyAlignment="1">
      <alignment horizontal="left" vertical="center" wrapText="1"/>
    </xf>
    <xf numFmtId="0" fontId="4" fillId="35" borderId="103" xfId="144" applyFont="1" applyFill="1" applyBorder="1" applyAlignment="1">
      <alignment horizontal="center" vertical="center"/>
    </xf>
    <xf numFmtId="4" fontId="4" fillId="35" borderId="102" xfId="144" applyNumberFormat="1" applyFont="1" applyFill="1" applyBorder="1" applyAlignment="1">
      <alignment vertical="center"/>
    </xf>
    <xf numFmtId="4" fontId="57" fillId="35" borderId="104" xfId="144" applyNumberFormat="1" applyFont="1" applyFill="1" applyBorder="1" applyAlignment="1">
      <alignment vertical="center"/>
    </xf>
    <xf numFmtId="4" fontId="4" fillId="35" borderId="87" xfId="144" applyNumberFormat="1" applyFont="1" applyFill="1" applyBorder="1" applyAlignment="1">
      <alignment vertical="center"/>
    </xf>
    <xf numFmtId="4" fontId="4" fillId="35" borderId="109" xfId="144" applyNumberFormat="1" applyFont="1" applyFill="1" applyBorder="1" applyAlignment="1">
      <alignment vertical="center"/>
    </xf>
    <xf numFmtId="4" fontId="57" fillId="35" borderId="105" xfId="144" applyNumberFormat="1" applyFont="1" applyFill="1" applyBorder="1" applyAlignment="1">
      <alignment vertical="center"/>
    </xf>
    <xf numFmtId="0" fontId="58" fillId="35" borderId="102" xfId="144" applyFont="1" applyFill="1" applyBorder="1" applyAlignment="1">
      <alignment horizontal="center" vertical="center"/>
    </xf>
    <xf numFmtId="0" fontId="58" fillId="35" borderId="87" xfId="144" applyFont="1" applyFill="1" applyBorder="1" applyAlignment="1">
      <alignment horizontal="center" vertical="center"/>
    </xf>
    <xf numFmtId="0" fontId="58" fillId="35" borderId="104" xfId="144" applyFont="1" applyFill="1" applyBorder="1" applyAlignment="1">
      <alignment horizontal="center" vertical="center"/>
    </xf>
    <xf numFmtId="0" fontId="58" fillId="35" borderId="103" xfId="144" applyFont="1" applyFill="1" applyBorder="1" applyAlignment="1">
      <alignment horizontal="center" vertical="center"/>
    </xf>
    <xf numFmtId="0" fontId="58" fillId="35" borderId="158" xfId="144" applyFont="1" applyFill="1" applyBorder="1" applyAlignment="1">
      <alignment horizontal="center" vertical="center"/>
    </xf>
    <xf numFmtId="4" fontId="4" fillId="35" borderId="102" xfId="144" applyNumberFormat="1" applyFont="1" applyFill="1" applyBorder="1"/>
    <xf numFmtId="4" fontId="4" fillId="35" borderId="87" xfId="144" applyNumberFormat="1" applyFont="1" applyFill="1" applyBorder="1"/>
    <xf numFmtId="4" fontId="57" fillId="35" borderId="104" xfId="144" applyNumberFormat="1" applyFont="1" applyFill="1" applyBorder="1"/>
    <xf numFmtId="4" fontId="57" fillId="35" borderId="102" xfId="144" applyNumberFormat="1" applyFont="1" applyFill="1" applyBorder="1"/>
    <xf numFmtId="4" fontId="57" fillId="35" borderId="87" xfId="144" applyNumberFormat="1" applyFont="1" applyFill="1" applyBorder="1"/>
    <xf numFmtId="4" fontId="57" fillId="35" borderId="103" xfId="144" applyNumberFormat="1" applyFont="1" applyFill="1" applyBorder="1"/>
    <xf numFmtId="174" fontId="57" fillId="35" borderId="105" xfId="144" applyNumberFormat="1" applyFont="1" applyFill="1" applyBorder="1"/>
    <xf numFmtId="0" fontId="4" fillId="35" borderId="109" xfId="144" applyFont="1" applyFill="1" applyBorder="1"/>
    <xf numFmtId="4" fontId="57" fillId="0" borderId="102" xfId="144" applyNumberFormat="1" applyFont="1" applyFill="1" applyBorder="1" applyAlignment="1">
      <alignment vertical="center"/>
    </xf>
    <xf numFmtId="4" fontId="57" fillId="0" borderId="87" xfId="144" applyNumberFormat="1" applyFont="1" applyFill="1" applyBorder="1" applyAlignment="1">
      <alignment vertical="center"/>
    </xf>
    <xf numFmtId="0" fontId="4" fillId="31" borderId="102" xfId="144" applyFont="1" applyFill="1" applyBorder="1" applyAlignment="1">
      <alignment horizontal="center"/>
    </xf>
    <xf numFmtId="0" fontId="4" fillId="31" borderId="87" xfId="144" applyFont="1" applyFill="1" applyBorder="1" applyAlignment="1">
      <alignment horizontal="left" vertical="center" wrapText="1"/>
    </xf>
    <xf numFmtId="0" fontId="4" fillId="31" borderId="103" xfId="144" applyFont="1" applyFill="1" applyBorder="1" applyAlignment="1">
      <alignment horizontal="center" vertical="center"/>
    </xf>
    <xf numFmtId="4" fontId="4" fillId="31" borderId="102" xfId="144" applyNumberFormat="1" applyFont="1" applyFill="1" applyBorder="1" applyAlignment="1">
      <alignment vertical="center"/>
    </xf>
    <xf numFmtId="4" fontId="57" fillId="31" borderId="104" xfId="144" applyNumberFormat="1" applyFont="1" applyFill="1" applyBorder="1" applyAlignment="1">
      <alignment vertical="center"/>
    </xf>
    <xf numFmtId="4" fontId="4" fillId="31" borderId="87" xfId="144" applyNumberFormat="1" applyFont="1" applyFill="1" applyBorder="1" applyAlignment="1">
      <alignment vertical="center"/>
    </xf>
    <xf numFmtId="4" fontId="4" fillId="31" borderId="109" xfId="144" applyNumberFormat="1" applyFont="1" applyFill="1" applyBorder="1" applyAlignment="1">
      <alignment vertical="center"/>
    </xf>
    <xf numFmtId="4" fontId="57" fillId="31" borderId="105" xfId="144" applyNumberFormat="1" applyFont="1" applyFill="1" applyBorder="1" applyAlignment="1">
      <alignment vertical="center"/>
    </xf>
    <xf numFmtId="4" fontId="58" fillId="31" borderId="102" xfId="144" applyNumberFormat="1" applyFont="1" applyFill="1" applyBorder="1" applyAlignment="1">
      <alignment horizontal="center" vertical="center"/>
    </xf>
    <xf numFmtId="4" fontId="58" fillId="31" borderId="87" xfId="144" applyNumberFormat="1" applyFont="1" applyFill="1" applyBorder="1" applyAlignment="1">
      <alignment horizontal="center" vertical="center"/>
    </xf>
    <xf numFmtId="4" fontId="58" fillId="31" borderId="104" xfId="144" applyNumberFormat="1" applyFont="1" applyFill="1" applyBorder="1" applyAlignment="1">
      <alignment horizontal="center" vertical="center"/>
    </xf>
    <xf numFmtId="4" fontId="58" fillId="31" borderId="103" xfId="144" applyNumberFormat="1" applyFont="1" applyFill="1" applyBorder="1" applyAlignment="1">
      <alignment horizontal="center" vertical="center"/>
    </xf>
    <xf numFmtId="4" fontId="58" fillId="31" borderId="158" xfId="144" applyNumberFormat="1" applyFont="1" applyFill="1" applyBorder="1" applyAlignment="1">
      <alignment horizontal="center" vertical="center"/>
    </xf>
    <xf numFmtId="4" fontId="4" fillId="31" borderId="102" xfId="144" applyNumberFormat="1" applyFont="1" applyFill="1" applyBorder="1"/>
    <xf numFmtId="4" fontId="4" fillId="31" borderId="87" xfId="144" applyNumberFormat="1" applyFont="1" applyFill="1" applyBorder="1"/>
    <xf numFmtId="4" fontId="57" fillId="31" borderId="104" xfId="144" applyNumberFormat="1" applyFont="1" applyFill="1" applyBorder="1"/>
    <xf numFmtId="4" fontId="57" fillId="31" borderId="102" xfId="144" applyNumberFormat="1" applyFont="1" applyFill="1" applyBorder="1"/>
    <xf numFmtId="4" fontId="57" fillId="31" borderId="87" xfId="144" applyNumberFormat="1" applyFont="1" applyFill="1" applyBorder="1"/>
    <xf numFmtId="4" fontId="57" fillId="31" borderId="103" xfId="144" applyNumberFormat="1" applyFont="1" applyFill="1" applyBorder="1"/>
    <xf numFmtId="4" fontId="57" fillId="31" borderId="105" xfId="144" applyNumberFormat="1" applyFont="1" applyFill="1" applyBorder="1"/>
    <xf numFmtId="174" fontId="57" fillId="31" borderId="105" xfId="144" applyNumberFormat="1" applyFont="1" applyFill="1" applyBorder="1"/>
    <xf numFmtId="0" fontId="4" fillId="31" borderId="109" xfId="144" applyFont="1" applyFill="1" applyBorder="1"/>
    <xf numFmtId="3" fontId="57" fillId="0" borderId="104" xfId="144" applyNumberFormat="1" applyFont="1" applyFill="1" applyBorder="1"/>
    <xf numFmtId="0" fontId="4" fillId="40" borderId="102" xfId="144" applyFont="1" applyFill="1" applyBorder="1" applyAlignment="1">
      <alignment horizontal="center"/>
    </xf>
    <xf numFmtId="0" fontId="4" fillId="40" borderId="87" xfId="144" applyFont="1" applyFill="1" applyBorder="1" applyAlignment="1">
      <alignment horizontal="left" vertical="center" wrapText="1"/>
    </xf>
    <xf numFmtId="0" fontId="4" fillId="40" borderId="103" xfId="144" applyFont="1" applyFill="1" applyBorder="1" applyAlignment="1">
      <alignment horizontal="center" vertical="center"/>
    </xf>
    <xf numFmtId="4" fontId="4" fillId="40" borderId="102" xfId="144" applyNumberFormat="1" applyFont="1" applyFill="1" applyBorder="1" applyAlignment="1">
      <alignment vertical="center"/>
    </xf>
    <xf numFmtId="4" fontId="57" fillId="40" borderId="104" xfId="144" applyNumberFormat="1" applyFont="1" applyFill="1" applyBorder="1" applyAlignment="1">
      <alignment vertical="center"/>
    </xf>
    <xf numFmtId="4" fontId="4" fillId="40" borderId="87" xfId="144" applyNumberFormat="1" applyFont="1" applyFill="1" applyBorder="1" applyAlignment="1">
      <alignment vertical="center"/>
    </xf>
    <xf numFmtId="4" fontId="4" fillId="40" borderId="109" xfId="144" applyNumberFormat="1" applyFont="1" applyFill="1" applyBorder="1" applyAlignment="1">
      <alignment vertical="center"/>
    </xf>
    <xf numFmtId="4" fontId="57" fillId="40" borderId="105" xfId="144" applyNumberFormat="1" applyFont="1" applyFill="1" applyBorder="1" applyAlignment="1">
      <alignment vertical="center"/>
    </xf>
    <xf numFmtId="4" fontId="58" fillId="40" borderId="102" xfId="144" applyNumberFormat="1" applyFont="1" applyFill="1" applyBorder="1" applyAlignment="1">
      <alignment horizontal="center" vertical="center"/>
    </xf>
    <xf numFmtId="4" fontId="58" fillId="40" borderId="87" xfId="144" applyNumberFormat="1" applyFont="1" applyFill="1" applyBorder="1" applyAlignment="1">
      <alignment horizontal="center" vertical="center"/>
    </xf>
    <xf numFmtId="4" fontId="58" fillId="40" borderId="104" xfId="144" applyNumberFormat="1" applyFont="1" applyFill="1" applyBorder="1" applyAlignment="1">
      <alignment horizontal="center" vertical="center"/>
    </xf>
    <xf numFmtId="4" fontId="58" fillId="40" borderId="103" xfId="144" applyNumberFormat="1" applyFont="1" applyFill="1" applyBorder="1" applyAlignment="1">
      <alignment horizontal="center" vertical="center"/>
    </xf>
    <xf numFmtId="4" fontId="58" fillId="40" borderId="158" xfId="144" applyNumberFormat="1" applyFont="1" applyFill="1" applyBorder="1" applyAlignment="1">
      <alignment horizontal="center" vertical="center"/>
    </xf>
    <xf numFmtId="4" fontId="4" fillId="40" borderId="102" xfId="144" applyNumberFormat="1" applyFont="1" applyFill="1" applyBorder="1"/>
    <xf numFmtId="4" fontId="4" fillId="40" borderId="87" xfId="144" applyNumberFormat="1" applyFont="1" applyFill="1" applyBorder="1"/>
    <xf numFmtId="4" fontId="57" fillId="40" borderId="104" xfId="144" applyNumberFormat="1" applyFont="1" applyFill="1" applyBorder="1"/>
    <xf numFmtId="4" fontId="57" fillId="40" borderId="102" xfId="144" applyNumberFormat="1" applyFont="1" applyFill="1" applyBorder="1"/>
    <xf numFmtId="4" fontId="57" fillId="40" borderId="87" xfId="144" applyNumberFormat="1" applyFont="1" applyFill="1" applyBorder="1"/>
    <xf numFmtId="4" fontId="57" fillId="40" borderId="103" xfId="144" applyNumberFormat="1" applyFont="1" applyFill="1" applyBorder="1"/>
    <xf numFmtId="4" fontId="57" fillId="40" borderId="105" xfId="144" applyNumberFormat="1" applyFont="1" applyFill="1" applyBorder="1"/>
    <xf numFmtId="174" fontId="57" fillId="40" borderId="105" xfId="144" applyNumberFormat="1" applyFont="1" applyFill="1" applyBorder="1"/>
    <xf numFmtId="0" fontId="4" fillId="40" borderId="109" xfId="144" applyFont="1" applyFill="1" applyBorder="1"/>
    <xf numFmtId="0" fontId="4" fillId="0" borderId="0" xfId="144" applyFont="1" applyAlignment="1">
      <alignment horizontal="center"/>
    </xf>
    <xf numFmtId="0" fontId="4" fillId="0" borderId="0" xfId="144" applyFont="1" applyAlignment="1">
      <alignment vertical="center" wrapText="1"/>
    </xf>
    <xf numFmtId="0" fontId="4" fillId="0" borderId="0" xfId="144" applyFont="1" applyAlignment="1">
      <alignment horizontal="center" vertical="center"/>
    </xf>
    <xf numFmtId="0" fontId="4" fillId="0" borderId="0" xfId="144"/>
    <xf numFmtId="0" fontId="4" fillId="0" borderId="0" xfId="144" applyAlignment="1">
      <alignment vertical="center"/>
    </xf>
    <xf numFmtId="0" fontId="4" fillId="0" borderId="0" xfId="144" applyAlignment="1">
      <alignment horizontal="center"/>
    </xf>
    <xf numFmtId="0" fontId="4" fillId="0" borderId="133" xfId="144" applyBorder="1" applyAlignment="1">
      <alignment vertical="center"/>
    </xf>
    <xf numFmtId="0" fontId="4" fillId="0" borderId="99" xfId="144" applyBorder="1" applyAlignment="1">
      <alignment vertical="center"/>
    </xf>
    <xf numFmtId="0" fontId="4" fillId="0" borderId="99" xfId="144" applyBorder="1" applyAlignment="1">
      <alignment vertical="center" wrapText="1"/>
    </xf>
    <xf numFmtId="0" fontId="4" fillId="32" borderId="99" xfId="144" applyFill="1" applyBorder="1" applyAlignment="1">
      <alignment vertical="center" wrapText="1"/>
    </xf>
    <xf numFmtId="0" fontId="4" fillId="32" borderId="99" xfId="144" applyFont="1" applyFill="1" applyBorder="1" applyAlignment="1">
      <alignment vertical="center" wrapText="1"/>
    </xf>
    <xf numFmtId="0" fontId="57" fillId="0" borderId="0" xfId="144" applyFont="1" applyAlignment="1">
      <alignment vertical="center"/>
    </xf>
    <xf numFmtId="0" fontId="4" fillId="0" borderId="89" xfId="144" applyFont="1" applyBorder="1" applyAlignment="1">
      <alignment horizontal="center"/>
    </xf>
    <xf numFmtId="0" fontId="4" fillId="0" borderId="87" xfId="144" applyFont="1" applyBorder="1" applyAlignment="1">
      <alignment horizontal="center"/>
    </xf>
    <xf numFmtId="0" fontId="4" fillId="32" borderId="87" xfId="144" applyFont="1" applyFill="1" applyBorder="1" applyAlignment="1">
      <alignment horizontal="center"/>
    </xf>
    <xf numFmtId="0" fontId="4" fillId="32" borderId="87" xfId="144" applyFont="1" applyFill="1" applyBorder="1" applyAlignment="1">
      <alignment wrapText="1"/>
    </xf>
    <xf numFmtId="0" fontId="57" fillId="0" borderId="104" xfId="144" applyFont="1" applyBorder="1" applyAlignment="1">
      <alignment horizontal="center"/>
    </xf>
    <xf numFmtId="2" fontId="4" fillId="0" borderId="87" xfId="144" applyNumberFormat="1" applyFont="1" applyBorder="1" applyAlignment="1">
      <alignment horizontal="center"/>
    </xf>
    <xf numFmtId="192" fontId="4" fillId="0" borderId="89" xfId="144" applyNumberFormat="1" applyBorder="1" applyAlignment="1">
      <alignment horizontal="center" vertical="center"/>
    </xf>
    <xf numFmtId="192" fontId="4" fillId="0" borderId="87" xfId="144" applyNumberFormat="1" applyBorder="1" applyAlignment="1">
      <alignment horizontal="center"/>
    </xf>
    <xf numFmtId="192" fontId="4" fillId="0" borderId="87" xfId="144" applyNumberFormat="1" applyFont="1" applyBorder="1" applyAlignment="1">
      <alignment horizontal="center" vertical="center"/>
    </xf>
    <xf numFmtId="192" fontId="68" fillId="0" borderId="87" xfId="144" applyNumberFormat="1" applyFont="1" applyBorder="1" applyAlignment="1">
      <alignment horizontal="center"/>
    </xf>
    <xf numFmtId="192" fontId="4" fillId="0" borderId="87" xfId="144" applyNumberFormat="1" applyBorder="1" applyAlignment="1">
      <alignment horizontal="center" vertical="center"/>
    </xf>
    <xf numFmtId="192" fontId="68" fillId="32" borderId="87" xfId="144" applyNumberFormat="1" applyFont="1" applyFill="1" applyBorder="1" applyAlignment="1">
      <alignment horizontal="center"/>
    </xf>
    <xf numFmtId="192" fontId="4" fillId="32" borderId="87" xfId="144" applyNumberFormat="1" applyFill="1" applyBorder="1"/>
    <xf numFmtId="1" fontId="4" fillId="0" borderId="89" xfId="144" applyNumberFormat="1" applyBorder="1" applyAlignment="1">
      <alignment horizontal="center" vertical="center"/>
    </xf>
    <xf numFmtId="1" fontId="4" fillId="0" borderId="87" xfId="144" applyNumberFormat="1" applyBorder="1" applyAlignment="1">
      <alignment horizontal="center"/>
    </xf>
    <xf numFmtId="1" fontId="4" fillId="0" borderId="87" xfId="144" applyNumberFormat="1" applyFont="1" applyBorder="1" applyAlignment="1">
      <alignment horizontal="center" vertical="center"/>
    </xf>
    <xf numFmtId="1" fontId="4" fillId="32" borderId="87" xfId="144" applyNumberFormat="1" applyFill="1" applyBorder="1" applyAlignment="1">
      <alignment horizontal="center"/>
    </xf>
    <xf numFmtId="192" fontId="69" fillId="0" borderId="135" xfId="144" applyNumberFormat="1" applyFont="1" applyBorder="1" applyAlignment="1">
      <alignment horizontal="center" vertical="center" wrapText="1"/>
    </xf>
    <xf numFmtId="192" fontId="69" fillId="0" borderId="130" xfId="144" applyNumberFormat="1" applyFont="1" applyBorder="1" applyAlignment="1">
      <alignment horizontal="center" vertical="center" wrapText="1"/>
    </xf>
    <xf numFmtId="192" fontId="54" fillId="0" borderId="130" xfId="144" applyNumberFormat="1" applyFont="1" applyBorder="1" applyAlignment="1">
      <alignment horizontal="center" vertical="center" wrapText="1"/>
    </xf>
    <xf numFmtId="192" fontId="54" fillId="32" borderId="130" xfId="144" applyNumberFormat="1" applyFont="1" applyFill="1" applyBorder="1" applyAlignment="1">
      <alignment horizontal="center" vertical="center" wrapText="1"/>
    </xf>
    <xf numFmtId="192" fontId="4" fillId="32" borderId="87" xfId="144" applyNumberFormat="1" applyFill="1" applyBorder="1" applyAlignment="1">
      <alignment vertical="center"/>
    </xf>
    <xf numFmtId="192" fontId="4" fillId="32" borderId="87" xfId="144" applyNumberFormat="1" applyFill="1" applyBorder="1" applyAlignment="1">
      <alignment vertical="center" wrapText="1"/>
    </xf>
    <xf numFmtId="17" fontId="4" fillId="0" borderId="129" xfId="144" applyNumberFormat="1" applyBorder="1" applyAlignment="1">
      <alignment horizontal="center" vertical="center"/>
    </xf>
    <xf numFmtId="17" fontId="4" fillId="0" borderId="130" xfId="144" applyNumberFormat="1" applyBorder="1" applyAlignment="1">
      <alignment horizontal="center" vertical="center"/>
    </xf>
    <xf numFmtId="17" fontId="4" fillId="0" borderId="130" xfId="144" applyNumberFormat="1" applyBorder="1" applyAlignment="1">
      <alignment horizontal="center" vertical="center" wrapText="1"/>
    </xf>
    <xf numFmtId="17" fontId="4" fillId="32" borderId="130" xfId="144" applyNumberFormat="1" applyFill="1" applyBorder="1" applyAlignment="1">
      <alignment horizontal="center" vertical="center"/>
    </xf>
    <xf numFmtId="192" fontId="4" fillId="32" borderId="89" xfId="144" applyNumberFormat="1" applyFill="1" applyBorder="1"/>
    <xf numFmtId="17" fontId="70" fillId="0" borderId="102" xfId="144" applyNumberFormat="1" applyFont="1" applyFill="1" applyBorder="1" applyAlignment="1">
      <alignment horizontal="center" vertical="center" wrapText="1"/>
    </xf>
    <xf numFmtId="17" fontId="70" fillId="0" borderId="87" xfId="144" applyNumberFormat="1" applyFont="1" applyFill="1" applyBorder="1" applyAlignment="1">
      <alignment horizontal="center" vertical="center" wrapText="1"/>
    </xf>
    <xf numFmtId="0" fontId="70" fillId="0" borderId="87" xfId="144" applyFont="1" applyFill="1" applyBorder="1" applyAlignment="1">
      <alignment horizontal="center" vertical="center" wrapText="1"/>
    </xf>
    <xf numFmtId="17" fontId="70" fillId="29" borderId="87" xfId="144" applyNumberFormat="1" applyFont="1" applyFill="1" applyBorder="1" applyAlignment="1">
      <alignment horizontal="center" vertical="center" wrapText="1"/>
    </xf>
    <xf numFmtId="17" fontId="70" fillId="32" borderId="87" xfId="144" applyNumberFormat="1" applyFont="1" applyFill="1" applyBorder="1" applyAlignment="1">
      <alignment horizontal="center" vertical="center" wrapText="1"/>
    </xf>
    <xf numFmtId="192" fontId="4" fillId="32" borderId="87" xfId="144" applyNumberFormat="1" applyFill="1" applyBorder="1" applyAlignment="1">
      <alignment horizontal="center" vertical="center"/>
    </xf>
    <xf numFmtId="0" fontId="57" fillId="0" borderId="0" xfId="144" applyFont="1" applyAlignment="1">
      <alignment horizontal="center" vertical="center"/>
    </xf>
    <xf numFmtId="3" fontId="4" fillId="0" borderId="136" xfId="144" applyNumberFormat="1" applyBorder="1" applyAlignment="1">
      <alignment horizontal="center" vertical="center"/>
    </xf>
    <xf numFmtId="3" fontId="4" fillId="0" borderId="125" xfId="144" applyNumberFormat="1" applyBorder="1" applyAlignment="1">
      <alignment horizontal="center"/>
    </xf>
    <xf numFmtId="3" fontId="4" fillId="0" borderId="125" xfId="144" applyNumberFormat="1" applyBorder="1" applyAlignment="1">
      <alignment vertical="center"/>
    </xf>
    <xf numFmtId="3" fontId="4" fillId="0" borderId="125" xfId="144" applyNumberFormat="1" applyBorder="1" applyAlignment="1">
      <alignment horizontal="center" vertical="center"/>
    </xf>
    <xf numFmtId="3" fontId="69" fillId="0" borderId="125" xfId="144" applyNumberFormat="1" applyFont="1" applyBorder="1" applyAlignment="1">
      <alignment horizontal="center"/>
    </xf>
    <xf numFmtId="0" fontId="4" fillId="0" borderId="125" xfId="144" applyBorder="1" applyAlignment="1">
      <alignment horizontal="center" vertical="center"/>
    </xf>
    <xf numFmtId="3" fontId="4" fillId="32" borderId="125" xfId="144" applyNumberFormat="1" applyFill="1" applyBorder="1" applyAlignment="1">
      <alignment horizontal="center" vertical="center"/>
    </xf>
    <xf numFmtId="3" fontId="4" fillId="0" borderId="89" xfId="144" applyNumberFormat="1" applyBorder="1" applyAlignment="1">
      <alignment horizontal="center"/>
    </xf>
    <xf numFmtId="3" fontId="4" fillId="0" borderId="87" xfId="144" applyNumberFormat="1" applyBorder="1" applyAlignment="1">
      <alignment horizontal="center"/>
    </xf>
    <xf numFmtId="0" fontId="4" fillId="0" borderId="87" xfId="144" applyBorder="1" applyAlignment="1">
      <alignment horizontal="center"/>
    </xf>
    <xf numFmtId="3" fontId="4" fillId="0" borderId="87" xfId="144" applyNumberFormat="1" applyBorder="1" applyAlignment="1">
      <alignment vertical="center"/>
    </xf>
    <xf numFmtId="3" fontId="4" fillId="0" borderId="87" xfId="144" applyNumberFormat="1" applyBorder="1" applyAlignment="1">
      <alignment horizontal="center" vertical="center"/>
    </xf>
    <xf numFmtId="0" fontId="4" fillId="0" borderId="87" xfId="144" applyBorder="1" applyAlignment="1">
      <alignment horizontal="center" vertical="center"/>
    </xf>
    <xf numFmtId="3" fontId="4" fillId="32" borderId="87" xfId="144" applyNumberFormat="1" applyFill="1" applyBorder="1" applyAlignment="1">
      <alignment horizontal="center" vertical="center"/>
    </xf>
    <xf numFmtId="3" fontId="4" fillId="0" borderId="137" xfId="144" applyNumberFormat="1" applyBorder="1" applyAlignment="1">
      <alignment horizontal="center"/>
    </xf>
    <xf numFmtId="3" fontId="4" fillId="0" borderId="114" xfId="144" applyNumberFormat="1" applyBorder="1" applyAlignment="1">
      <alignment horizontal="center"/>
    </xf>
    <xf numFmtId="3" fontId="4" fillId="0" borderId="114" xfId="144" applyNumberFormat="1" applyBorder="1" applyAlignment="1">
      <alignment vertical="center"/>
    </xf>
    <xf numFmtId="3" fontId="4" fillId="0" borderId="114" xfId="144" applyNumberFormat="1" applyBorder="1" applyAlignment="1">
      <alignment horizontal="center" vertical="center"/>
    </xf>
    <xf numFmtId="3" fontId="4" fillId="32" borderId="114" xfId="144" applyNumberFormat="1" applyFill="1" applyBorder="1" applyAlignment="1">
      <alignment horizontal="center" vertical="center"/>
    </xf>
    <xf numFmtId="192" fontId="4" fillId="32" borderId="114" xfId="144" applyNumberFormat="1" applyFill="1" applyBorder="1"/>
    <xf numFmtId="3" fontId="4" fillId="0" borderId="99" xfId="144" applyNumberFormat="1" applyBorder="1" applyAlignment="1">
      <alignment horizontal="center"/>
    </xf>
    <xf numFmtId="3" fontId="4" fillId="32" borderId="99" xfId="144" applyNumberFormat="1" applyFill="1" applyBorder="1" applyAlignment="1">
      <alignment horizontal="center" vertical="center"/>
    </xf>
    <xf numFmtId="0" fontId="57" fillId="0" borderId="87" xfId="144" applyFont="1" applyBorder="1"/>
    <xf numFmtId="3" fontId="58" fillId="0" borderId="114" xfId="144" applyNumberFormat="1" applyFont="1" applyFill="1" applyBorder="1" applyAlignment="1">
      <alignment horizontal="center"/>
    </xf>
    <xf numFmtId="0" fontId="57" fillId="35" borderId="159" xfId="144" applyFont="1" applyFill="1" applyBorder="1" applyAlignment="1">
      <alignment horizontal="right"/>
    </xf>
    <xf numFmtId="0" fontId="57" fillId="35" borderId="88" xfId="144" applyFont="1" applyFill="1" applyBorder="1" applyAlignment="1">
      <alignment horizontal="right"/>
    </xf>
    <xf numFmtId="192" fontId="57" fillId="35" borderId="100" xfId="144" applyNumberFormat="1" applyFont="1" applyFill="1" applyBorder="1" applyAlignment="1">
      <alignment horizontal="center"/>
    </xf>
    <xf numFmtId="0" fontId="4" fillId="0" borderId="88" xfId="144" applyBorder="1"/>
    <xf numFmtId="0" fontId="4" fillId="0" borderId="99" xfId="144" applyBorder="1"/>
    <xf numFmtId="0" fontId="4" fillId="32" borderId="99" xfId="144" applyFill="1" applyBorder="1"/>
    <xf numFmtId="192" fontId="4" fillId="0" borderId="87" xfId="144" applyNumberFormat="1" applyBorder="1"/>
    <xf numFmtId="192" fontId="4" fillId="0" borderId="0" xfId="144" applyNumberFormat="1"/>
    <xf numFmtId="0" fontId="57" fillId="35" borderId="110" xfId="144" applyFont="1" applyFill="1" applyBorder="1" applyAlignment="1">
      <alignment horizontal="right"/>
    </xf>
    <xf numFmtId="0" fontId="57" fillId="35" borderId="89" xfId="144" applyFont="1" applyFill="1" applyBorder="1" applyAlignment="1">
      <alignment horizontal="right"/>
    </xf>
    <xf numFmtId="1" fontId="57" fillId="35" borderId="118" xfId="144" applyNumberFormat="1" applyFont="1" applyFill="1" applyBorder="1" applyAlignment="1">
      <alignment horizontal="center"/>
    </xf>
    <xf numFmtId="0" fontId="4" fillId="0" borderId="136" xfId="144" applyBorder="1"/>
    <xf numFmtId="0" fontId="4" fillId="0" borderId="125" xfId="144" applyBorder="1"/>
    <xf numFmtId="0" fontId="4" fillId="32" borderId="125" xfId="144" applyFill="1" applyBorder="1"/>
    <xf numFmtId="0" fontId="57" fillId="35" borderId="87" xfId="144" applyFont="1" applyFill="1" applyBorder="1" applyAlignment="1">
      <alignment vertical="center"/>
    </xf>
    <xf numFmtId="192" fontId="57" fillId="35" borderId="104" xfId="144" applyNumberFormat="1" applyFont="1" applyFill="1" applyBorder="1"/>
    <xf numFmtId="0" fontId="4" fillId="0" borderId="89" xfId="144" applyBorder="1"/>
    <xf numFmtId="0" fontId="4" fillId="0" borderId="87" xfId="144" applyBorder="1"/>
    <xf numFmtId="0" fontId="4" fillId="32" borderId="87" xfId="144" applyFill="1" applyBorder="1"/>
    <xf numFmtId="0" fontId="57" fillId="35" borderId="110" xfId="144" applyFont="1" applyFill="1" applyBorder="1" applyAlignment="1">
      <alignment horizontal="right" vertical="center"/>
    </xf>
    <xf numFmtId="0" fontId="57" fillId="35" borderId="89" xfId="144" applyFont="1" applyFill="1" applyBorder="1" applyAlignment="1">
      <alignment horizontal="right" vertical="center"/>
    </xf>
    <xf numFmtId="0" fontId="57" fillId="35" borderId="104" xfId="144" applyFont="1" applyFill="1" applyBorder="1"/>
    <xf numFmtId="0" fontId="4" fillId="0" borderId="89" xfId="144" applyBorder="1" applyAlignment="1">
      <alignment horizontal="center" vertical="center"/>
    </xf>
    <xf numFmtId="179" fontId="4" fillId="0" borderId="87" xfId="144" applyNumberFormat="1" applyBorder="1" applyAlignment="1">
      <alignment horizontal="center" vertical="center"/>
    </xf>
    <xf numFmtId="179" fontId="4" fillId="32" borderId="87" xfId="144" applyNumberFormat="1" applyFill="1" applyBorder="1" applyAlignment="1">
      <alignment horizontal="center" vertical="center"/>
    </xf>
    <xf numFmtId="0" fontId="57" fillId="35" borderId="110" xfId="144" applyFont="1" applyFill="1" applyBorder="1" applyAlignment="1">
      <alignment horizontal="left" vertical="center"/>
    </xf>
    <xf numFmtId="0" fontId="57" fillId="35" borderId="109" xfId="144" applyFont="1" applyFill="1" applyBorder="1" applyAlignment="1">
      <alignment horizontal="left" vertical="center"/>
    </xf>
    <xf numFmtId="0" fontId="57" fillId="35" borderId="134" xfId="144" applyFont="1" applyFill="1" applyBorder="1" applyAlignment="1">
      <alignment horizontal="left" vertical="center"/>
    </xf>
    <xf numFmtId="192" fontId="4" fillId="32" borderId="89" xfId="144" applyNumberFormat="1" applyFill="1" applyBorder="1" applyAlignment="1">
      <alignment horizontal="center" vertical="center"/>
    </xf>
    <xf numFmtId="3" fontId="71" fillId="35" borderId="104" xfId="144" applyNumberFormat="1" applyFont="1" applyFill="1" applyBorder="1" applyAlignment="1">
      <alignment horizontal="center"/>
    </xf>
    <xf numFmtId="3" fontId="4" fillId="32" borderId="87" xfId="144" applyNumberFormat="1" applyFill="1" applyBorder="1" applyAlignment="1">
      <alignment horizontal="center"/>
    </xf>
    <xf numFmtId="3" fontId="4" fillId="0" borderId="87" xfId="144" applyNumberFormat="1" applyBorder="1"/>
    <xf numFmtId="0" fontId="57" fillId="35" borderId="114" xfId="144" applyFont="1" applyFill="1" applyBorder="1" applyAlignment="1">
      <alignment vertical="center" wrapText="1"/>
    </xf>
    <xf numFmtId="3" fontId="71" fillId="35" borderId="116" xfId="144" applyNumberFormat="1" applyFont="1" applyFill="1" applyBorder="1" applyAlignment="1">
      <alignment horizontal="center" vertical="center"/>
    </xf>
    <xf numFmtId="3" fontId="4" fillId="0" borderId="137" xfId="144" applyNumberFormat="1" applyBorder="1" applyAlignment="1">
      <alignment horizontal="center" vertical="center"/>
    </xf>
    <xf numFmtId="0" fontId="57" fillId="35" borderId="106" xfId="144" applyFont="1" applyFill="1" applyBorder="1" applyAlignment="1">
      <alignment horizontal="right"/>
    </xf>
    <xf numFmtId="0" fontId="57" fillId="35" borderId="136" xfId="144" applyFont="1" applyFill="1" applyBorder="1" applyAlignment="1">
      <alignment horizontal="right"/>
    </xf>
    <xf numFmtId="192" fontId="57" fillId="35" borderId="118" xfId="144" applyNumberFormat="1" applyFont="1" applyFill="1" applyBorder="1" applyAlignment="1">
      <alignment horizontal="center"/>
    </xf>
    <xf numFmtId="192" fontId="4" fillId="0" borderId="125" xfId="144" applyNumberFormat="1" applyBorder="1"/>
    <xf numFmtId="0" fontId="57" fillId="35" borderId="114" xfId="144" applyFont="1" applyFill="1" applyBorder="1" applyAlignment="1">
      <alignment vertical="center"/>
    </xf>
    <xf numFmtId="3" fontId="71" fillId="35" borderId="116" xfId="144" applyNumberFormat="1" applyFont="1" applyFill="1" applyBorder="1" applyAlignment="1">
      <alignment horizontal="center"/>
    </xf>
    <xf numFmtId="3" fontId="4" fillId="32" borderId="114" xfId="144" applyNumberFormat="1" applyFill="1" applyBorder="1" applyAlignment="1">
      <alignment horizontal="center"/>
    </xf>
    <xf numFmtId="179" fontId="4" fillId="0" borderId="89" xfId="144" applyNumberFormat="1" applyBorder="1" applyAlignment="1">
      <alignment horizontal="center" vertical="center"/>
    </xf>
    <xf numFmtId="3" fontId="4" fillId="0" borderId="0" xfId="144" applyNumberFormat="1"/>
    <xf numFmtId="0" fontId="4" fillId="32" borderId="0" xfId="144" applyFill="1"/>
    <xf numFmtId="2" fontId="4" fillId="0" borderId="89" xfId="144" applyNumberFormat="1" applyBorder="1" applyAlignment="1">
      <alignment horizontal="center"/>
    </xf>
    <xf numFmtId="2" fontId="4" fillId="0" borderId="87" xfId="144" applyNumberFormat="1" applyBorder="1" applyAlignment="1">
      <alignment horizontal="center"/>
    </xf>
    <xf numFmtId="2" fontId="4" fillId="32" borderId="87" xfId="144" applyNumberFormat="1" applyFill="1" applyBorder="1" applyAlignment="1">
      <alignment horizontal="center"/>
    </xf>
    <xf numFmtId="0" fontId="4" fillId="32" borderId="99" xfId="144" applyFont="1" applyFill="1" applyBorder="1" applyAlignment="1">
      <alignment horizontal="center" vertical="center" wrapText="1"/>
    </xf>
    <xf numFmtId="0" fontId="4" fillId="32" borderId="87" xfId="144" applyFont="1" applyFill="1" applyBorder="1" applyAlignment="1">
      <alignment horizontal="center" wrapText="1"/>
    </xf>
    <xf numFmtId="192" fontId="4" fillId="32" borderId="87" xfId="144" applyNumberFormat="1" applyFill="1" applyBorder="1" applyAlignment="1">
      <alignment horizontal="center"/>
    </xf>
    <xf numFmtId="192" fontId="4" fillId="0" borderId="87" xfId="144" applyNumberFormat="1" applyFont="1" applyBorder="1" applyAlignment="1">
      <alignment horizontal="center" vertical="center" wrapText="1"/>
    </xf>
    <xf numFmtId="192" fontId="4" fillId="32" borderId="87" xfId="144" applyNumberFormat="1" applyFill="1" applyBorder="1" applyAlignment="1">
      <alignment horizontal="center" vertical="center" wrapText="1"/>
    </xf>
    <xf numFmtId="3" fontId="69" fillId="0" borderId="87" xfId="144" applyNumberFormat="1" applyFont="1" applyBorder="1" applyAlignment="1">
      <alignment horizontal="center"/>
    </xf>
    <xf numFmtId="192" fontId="4" fillId="32" borderId="114" xfId="144" applyNumberFormat="1" applyFill="1" applyBorder="1" applyAlignment="1">
      <alignment horizontal="center"/>
    </xf>
    <xf numFmtId="0" fontId="57" fillId="0" borderId="100" xfId="144" applyFont="1" applyBorder="1"/>
    <xf numFmtId="0" fontId="57" fillId="0" borderId="104" xfId="144" applyFont="1" applyBorder="1"/>
    <xf numFmtId="0" fontId="57" fillId="35" borderId="133" xfId="144" applyFont="1" applyFill="1" applyBorder="1" applyAlignment="1">
      <alignment horizontal="right"/>
    </xf>
    <xf numFmtId="0" fontId="4" fillId="0" borderId="133" xfId="144" applyBorder="1"/>
    <xf numFmtId="0" fontId="4" fillId="32" borderId="99" xfId="144" applyFill="1" applyBorder="1" applyAlignment="1">
      <alignment horizontal="center"/>
    </xf>
    <xf numFmtId="192" fontId="4" fillId="0" borderId="104" xfId="144" applyNumberFormat="1" applyBorder="1"/>
    <xf numFmtId="0" fontId="4" fillId="32" borderId="125" xfId="144" applyFill="1" applyBorder="1" applyAlignment="1">
      <alignment horizontal="center"/>
    </xf>
    <xf numFmtId="0" fontId="4" fillId="32" borderId="87" xfId="144" applyFill="1" applyBorder="1" applyAlignment="1">
      <alignment horizontal="center"/>
    </xf>
    <xf numFmtId="0" fontId="4" fillId="0" borderId="104" xfId="144" applyBorder="1"/>
    <xf numFmtId="3" fontId="4" fillId="0" borderId="104" xfId="144" applyNumberFormat="1" applyBorder="1"/>
    <xf numFmtId="3" fontId="4" fillId="0" borderId="116" xfId="144" applyNumberFormat="1" applyBorder="1"/>
    <xf numFmtId="0" fontId="4" fillId="32" borderId="0" xfId="144" applyFill="1" applyAlignment="1">
      <alignment horizontal="center"/>
    </xf>
    <xf numFmtId="0" fontId="4" fillId="0" borderId="133" xfId="144" applyFill="1" applyBorder="1" applyAlignment="1">
      <alignment vertical="center"/>
    </xf>
    <xf numFmtId="0" fontId="4" fillId="0" borderId="99" xfId="144" applyFill="1" applyBorder="1" applyAlignment="1">
      <alignment vertical="center"/>
    </xf>
    <xf numFmtId="0" fontId="4" fillId="25" borderId="99" xfId="144" applyFill="1" applyBorder="1" applyAlignment="1">
      <alignment vertical="center" wrapText="1"/>
    </xf>
    <xf numFmtId="0" fontId="4" fillId="0" borderId="89" xfId="144" applyFont="1" applyFill="1" applyBorder="1" applyAlignment="1">
      <alignment horizontal="center"/>
    </xf>
    <xf numFmtId="0" fontId="4" fillId="0" borderId="87" xfId="144" applyFont="1" applyFill="1" applyBorder="1" applyAlignment="1">
      <alignment horizontal="center"/>
    </xf>
    <xf numFmtId="0" fontId="4" fillId="25" borderId="87" xfId="144" applyFont="1" applyFill="1" applyBorder="1" applyAlignment="1">
      <alignment horizontal="center"/>
    </xf>
    <xf numFmtId="192" fontId="4" fillId="0" borderId="89" xfId="144" applyNumberFormat="1" applyFill="1" applyBorder="1" applyAlignment="1">
      <alignment horizontal="center" vertical="center"/>
    </xf>
    <xf numFmtId="192" fontId="4" fillId="0" borderId="87" xfId="144" applyNumberFormat="1" applyFill="1" applyBorder="1" applyAlignment="1">
      <alignment horizontal="center"/>
    </xf>
    <xf numFmtId="192" fontId="4" fillId="25" borderId="87" xfId="144" applyNumberFormat="1" applyFont="1" applyFill="1" applyBorder="1" applyAlignment="1">
      <alignment horizontal="center" vertical="center"/>
    </xf>
    <xf numFmtId="1" fontId="4" fillId="0" borderId="89" xfId="144" applyNumberFormat="1" applyFill="1" applyBorder="1" applyAlignment="1">
      <alignment horizontal="center" vertical="center"/>
    </xf>
    <xf numFmtId="1" fontId="4" fillId="0" borderId="87" xfId="144" applyNumberFormat="1" applyFill="1" applyBorder="1" applyAlignment="1">
      <alignment horizontal="center"/>
    </xf>
    <xf numFmtId="1" fontId="4" fillId="25" borderId="87" xfId="144" applyNumberFormat="1" applyFont="1" applyFill="1" applyBorder="1" applyAlignment="1">
      <alignment horizontal="center" vertical="center"/>
    </xf>
    <xf numFmtId="192" fontId="4" fillId="0" borderId="89" xfId="144" applyNumberFormat="1" applyFill="1" applyBorder="1" applyAlignment="1">
      <alignment horizontal="center" vertical="center" wrapText="1"/>
    </xf>
    <xf numFmtId="192" fontId="4" fillId="0" borderId="87" xfId="144" applyNumberFormat="1" applyFill="1" applyBorder="1" applyAlignment="1">
      <alignment horizontal="center" vertical="center" wrapText="1"/>
    </xf>
    <xf numFmtId="192" fontId="4" fillId="25" borderId="87" xfId="144" applyNumberFormat="1" applyFont="1" applyFill="1" applyBorder="1" applyAlignment="1">
      <alignment horizontal="center" vertical="center" wrapText="1"/>
    </xf>
    <xf numFmtId="192" fontId="72" fillId="0" borderId="87" xfId="144" applyNumberFormat="1" applyFont="1" applyBorder="1" applyAlignment="1">
      <alignment horizontal="center" vertical="center" wrapText="1"/>
    </xf>
    <xf numFmtId="17" fontId="4" fillId="0" borderId="89" xfId="144" applyNumberFormat="1" applyFill="1" applyBorder="1" applyAlignment="1">
      <alignment horizontal="center" vertical="center"/>
    </xf>
    <xf numFmtId="17" fontId="4" fillId="0" borderId="87" xfId="144" applyNumberFormat="1" applyFill="1" applyBorder="1" applyAlignment="1">
      <alignment horizontal="center"/>
    </xf>
    <xf numFmtId="17" fontId="4" fillId="0" borderId="87" xfId="144" applyNumberFormat="1" applyBorder="1" applyAlignment="1">
      <alignment horizontal="center"/>
    </xf>
    <xf numFmtId="17" fontId="4" fillId="25" borderId="87" xfId="144" applyNumberFormat="1" applyFont="1" applyFill="1" applyBorder="1" applyAlignment="1">
      <alignment horizontal="center" vertical="center"/>
    </xf>
    <xf numFmtId="17" fontId="68" fillId="0" borderId="87" xfId="144" applyNumberFormat="1" applyFont="1" applyBorder="1" applyAlignment="1">
      <alignment horizontal="center"/>
    </xf>
    <xf numFmtId="17" fontId="4" fillId="0" borderId="87" xfId="144" applyNumberFormat="1" applyBorder="1" applyAlignment="1">
      <alignment horizontal="center" vertical="center"/>
    </xf>
    <xf numFmtId="17" fontId="4" fillId="32" borderId="87" xfId="144" applyNumberFormat="1" applyFill="1" applyBorder="1" applyAlignment="1">
      <alignment horizontal="center"/>
    </xf>
    <xf numFmtId="17" fontId="57" fillId="0" borderId="0" xfId="144" applyNumberFormat="1" applyFont="1"/>
    <xf numFmtId="17" fontId="4" fillId="29" borderId="89" xfId="144" applyNumberFormat="1" applyFont="1" applyFill="1" applyBorder="1" applyAlignment="1">
      <alignment horizontal="center" vertical="center" wrapText="1"/>
    </xf>
    <xf numFmtId="17" fontId="4" fillId="0" borderId="87" xfId="144" applyNumberFormat="1" applyFont="1" applyFill="1" applyBorder="1" applyAlignment="1">
      <alignment horizontal="center" vertical="center" wrapText="1"/>
    </xf>
    <xf numFmtId="17" fontId="4" fillId="0" borderId="87" xfId="144" applyNumberFormat="1" applyFont="1" applyBorder="1" applyAlignment="1">
      <alignment horizontal="center" vertical="center" wrapText="1"/>
    </xf>
    <xf numFmtId="17" fontId="4" fillId="25" borderId="87" xfId="144" applyNumberFormat="1" applyFont="1" applyFill="1" applyBorder="1" applyAlignment="1">
      <alignment horizontal="center" vertical="center" wrapText="1"/>
    </xf>
    <xf numFmtId="17" fontId="72" fillId="0" borderId="87" xfId="144" applyNumberFormat="1" applyFont="1" applyBorder="1" applyAlignment="1">
      <alignment horizontal="center" vertical="center" wrapText="1"/>
    </xf>
    <xf numFmtId="17" fontId="4" fillId="29" borderId="87" xfId="144" applyNumberFormat="1" applyFont="1" applyFill="1" applyBorder="1" applyAlignment="1">
      <alignment horizontal="center" vertical="center" wrapText="1"/>
    </xf>
    <xf numFmtId="17" fontId="4" fillId="32" borderId="87" xfId="144" applyNumberFormat="1" applyFill="1" applyBorder="1" applyAlignment="1">
      <alignment horizontal="center" vertical="center"/>
    </xf>
    <xf numFmtId="17" fontId="4" fillId="32" borderId="87" xfId="144" applyNumberFormat="1" applyFill="1" applyBorder="1" applyAlignment="1">
      <alignment horizontal="center" vertical="center" wrapText="1"/>
    </xf>
    <xf numFmtId="17" fontId="57" fillId="0" borderId="0" xfId="144" applyNumberFormat="1" applyFont="1" applyAlignment="1">
      <alignment vertical="center"/>
    </xf>
    <xf numFmtId="3" fontId="4" fillId="0" borderId="89" xfId="144" applyNumberFormat="1" applyFill="1" applyBorder="1" applyAlignment="1">
      <alignment horizontal="center" vertical="center"/>
    </xf>
    <xf numFmtId="3" fontId="4" fillId="0" borderId="87" xfId="144" applyNumberFormat="1" applyFill="1" applyBorder="1" applyAlignment="1">
      <alignment horizontal="center"/>
    </xf>
    <xf numFmtId="191" fontId="69" fillId="0" borderId="87" xfId="146" applyNumberFormat="1" applyFont="1" applyBorder="1" applyAlignment="1"/>
    <xf numFmtId="3" fontId="4" fillId="25" borderId="87" xfId="144" applyNumberFormat="1" applyFill="1" applyBorder="1" applyAlignment="1">
      <alignment horizontal="center" vertical="center"/>
    </xf>
    <xf numFmtId="3" fontId="4" fillId="0" borderId="89" xfId="144" applyNumberFormat="1" applyFill="1" applyBorder="1" applyAlignment="1">
      <alignment horizontal="center"/>
    </xf>
    <xf numFmtId="3" fontId="4" fillId="0" borderId="137" xfId="144" applyNumberFormat="1" applyFill="1" applyBorder="1" applyAlignment="1">
      <alignment horizontal="center"/>
    </xf>
    <xf numFmtId="3" fontId="4" fillId="0" borderId="114" xfId="144" applyNumberFormat="1" applyFill="1" applyBorder="1" applyAlignment="1">
      <alignment horizontal="center"/>
    </xf>
    <xf numFmtId="3" fontId="4" fillId="25" borderId="114" xfId="144" applyNumberFormat="1" applyFill="1" applyBorder="1" applyAlignment="1">
      <alignment horizontal="center" vertical="center"/>
    </xf>
    <xf numFmtId="3" fontId="4" fillId="0" borderId="133" xfId="144" applyNumberFormat="1" applyFill="1" applyBorder="1" applyAlignment="1">
      <alignment horizontal="center"/>
    </xf>
    <xf numFmtId="3" fontId="4" fillId="0" borderId="99" xfId="144" applyNumberFormat="1" applyFill="1" applyBorder="1" applyAlignment="1">
      <alignment horizontal="center"/>
    </xf>
    <xf numFmtId="3" fontId="4" fillId="25" borderId="99" xfId="144" applyNumberFormat="1" applyFill="1" applyBorder="1" applyAlignment="1">
      <alignment horizontal="center" vertical="center"/>
    </xf>
    <xf numFmtId="174" fontId="4" fillId="0" borderId="99" xfId="144" applyNumberFormat="1" applyBorder="1" applyAlignment="1">
      <alignment horizontal="center"/>
    </xf>
    <xf numFmtId="174" fontId="4" fillId="0" borderId="99" xfId="144" applyNumberFormat="1" applyBorder="1" applyAlignment="1">
      <alignment horizontal="center" vertical="center"/>
    </xf>
    <xf numFmtId="0" fontId="4" fillId="0" borderId="133" xfId="144" applyFill="1" applyBorder="1"/>
    <xf numFmtId="0" fontId="4" fillId="0" borderId="99" xfId="144" applyFill="1" applyBorder="1"/>
    <xf numFmtId="0" fontId="4" fillId="25" borderId="99" xfId="144" applyFill="1" applyBorder="1"/>
    <xf numFmtId="0" fontId="4" fillId="0" borderId="136" xfId="144" applyFill="1" applyBorder="1"/>
    <xf numFmtId="0" fontId="4" fillId="0" borderId="125" xfId="144" applyFill="1" applyBorder="1"/>
    <xf numFmtId="0" fontId="4" fillId="25" borderId="125" xfId="144" applyFill="1" applyBorder="1"/>
    <xf numFmtId="0" fontId="4" fillId="0" borderId="89" xfId="144" applyFill="1" applyBorder="1"/>
    <xf numFmtId="0" fontId="4" fillId="0" borderId="87" xfId="144" applyFill="1" applyBorder="1"/>
    <xf numFmtId="0" fontId="4" fillId="25" borderId="87" xfId="144" applyFill="1" applyBorder="1"/>
    <xf numFmtId="179" fontId="4" fillId="0" borderId="89" xfId="144" applyNumberFormat="1" applyFill="1" applyBorder="1" applyAlignment="1">
      <alignment horizontal="center" vertical="center"/>
    </xf>
    <xf numFmtId="179" fontId="4" fillId="0" borderId="87" xfId="144" applyNumberFormat="1" applyFill="1" applyBorder="1" applyAlignment="1">
      <alignment horizontal="center" vertical="center"/>
    </xf>
    <xf numFmtId="179" fontId="4" fillId="25" borderId="87" xfId="144" applyNumberFormat="1" applyFill="1" applyBorder="1" applyAlignment="1">
      <alignment horizontal="center" vertical="center"/>
    </xf>
    <xf numFmtId="192" fontId="4" fillId="25" borderId="89" xfId="144" applyNumberFormat="1" applyFill="1" applyBorder="1" applyAlignment="1">
      <alignment horizontal="center" vertical="center"/>
    </xf>
    <xf numFmtId="0" fontId="57" fillId="35" borderId="128" xfId="144" applyFont="1" applyFill="1" applyBorder="1" applyAlignment="1">
      <alignment horizontal="left" vertical="center"/>
    </xf>
    <xf numFmtId="0" fontId="57" fillId="35" borderId="145" xfId="144" applyFont="1" applyFill="1" applyBorder="1" applyAlignment="1">
      <alignment horizontal="left" vertical="center"/>
    </xf>
    <xf numFmtId="192" fontId="4" fillId="0" borderId="135" xfId="144" applyNumberFormat="1" applyFill="1" applyBorder="1" applyAlignment="1">
      <alignment horizontal="center" vertical="center"/>
    </xf>
    <xf numFmtId="192" fontId="4" fillId="0" borderId="135" xfId="144" applyNumberFormat="1" applyBorder="1" applyAlignment="1">
      <alignment horizontal="center" vertical="center"/>
    </xf>
    <xf numFmtId="192" fontId="4" fillId="25" borderId="135" xfId="144" applyNumberFormat="1" applyFill="1" applyBorder="1" applyAlignment="1">
      <alignment horizontal="center" vertical="center"/>
    </xf>
    <xf numFmtId="192" fontId="4" fillId="32" borderId="135" xfId="144" applyNumberFormat="1" applyFill="1" applyBorder="1" applyAlignment="1">
      <alignment horizontal="center" vertical="center"/>
    </xf>
    <xf numFmtId="0" fontId="4" fillId="0" borderId="111" xfId="144" applyBorder="1"/>
    <xf numFmtId="3" fontId="4" fillId="25" borderId="87" xfId="144" applyNumberFormat="1" applyFill="1" applyBorder="1" applyAlignment="1">
      <alignment horizontal="center"/>
    </xf>
    <xf numFmtId="0" fontId="4" fillId="0" borderId="109" xfId="144" applyBorder="1"/>
    <xf numFmtId="3" fontId="4" fillId="0" borderId="116" xfId="144" applyNumberFormat="1" applyBorder="1" applyAlignment="1">
      <alignment vertical="center"/>
    </xf>
    <xf numFmtId="192" fontId="4" fillId="0" borderId="118" xfId="144" applyNumberFormat="1" applyBorder="1"/>
    <xf numFmtId="0" fontId="4" fillId="0" borderId="89" xfId="144" applyFill="1" applyBorder="1" applyAlignment="1">
      <alignment horizontal="center" vertical="center"/>
    </xf>
    <xf numFmtId="3" fontId="4" fillId="25" borderId="114" xfId="144" applyNumberFormat="1" applyFill="1" applyBorder="1" applyAlignment="1">
      <alignment horizontal="center"/>
    </xf>
    <xf numFmtId="0" fontId="4" fillId="0" borderId="0" xfId="144" applyFill="1"/>
    <xf numFmtId="0" fontId="4" fillId="25" borderId="0" xfId="144" applyFill="1"/>
    <xf numFmtId="192" fontId="4" fillId="0" borderId="0" xfId="144" applyNumberFormat="1" applyFill="1"/>
    <xf numFmtId="3" fontId="4" fillId="0" borderId="160" xfId="144" applyNumberFormat="1" applyBorder="1" applyAlignment="1">
      <alignment horizontal="center"/>
    </xf>
    <xf numFmtId="3" fontId="4" fillId="32" borderId="160" xfId="144" applyNumberFormat="1" applyFill="1" applyBorder="1" applyAlignment="1">
      <alignment horizontal="center" vertical="center"/>
    </xf>
    <xf numFmtId="0" fontId="57" fillId="0" borderId="118" xfId="144" applyFont="1" applyBorder="1"/>
    <xf numFmtId="3" fontId="71" fillId="35" borderId="87" xfId="144" applyNumberFormat="1" applyFont="1" applyFill="1" applyBorder="1" applyAlignment="1">
      <alignment horizontal="center"/>
    </xf>
    <xf numFmtId="3" fontId="4" fillId="0" borderId="161" xfId="144" applyNumberFormat="1" applyFill="1" applyBorder="1" applyAlignment="1">
      <alignment horizontal="center"/>
    </xf>
    <xf numFmtId="3" fontId="4" fillId="0" borderId="160" xfId="144" applyNumberFormat="1" applyFill="1" applyBorder="1" applyAlignment="1">
      <alignment horizontal="center"/>
    </xf>
    <xf numFmtId="3" fontId="4" fillId="25" borderId="160" xfId="144" applyNumberFormat="1" applyFill="1" applyBorder="1" applyAlignment="1">
      <alignment horizontal="center" vertical="center"/>
    </xf>
    <xf numFmtId="174" fontId="4" fillId="0" borderId="160" xfId="144" applyNumberFormat="1" applyBorder="1" applyAlignment="1">
      <alignment horizontal="center"/>
    </xf>
    <xf numFmtId="174" fontId="4" fillId="0" borderId="160" xfId="144" applyNumberFormat="1" applyBorder="1" applyAlignment="1">
      <alignment horizontal="center" vertical="center"/>
    </xf>
    <xf numFmtId="3" fontId="71" fillId="35" borderId="114" xfId="144" applyNumberFormat="1" applyFont="1" applyFill="1" applyBorder="1" applyAlignment="1">
      <alignment horizontal="center" vertical="center"/>
    </xf>
    <xf numFmtId="193" fontId="71" fillId="26" borderId="87" xfId="144" applyNumberFormat="1" applyFont="1" applyFill="1" applyBorder="1" applyAlignment="1">
      <alignment horizontal="center" vertical="center" wrapText="1"/>
    </xf>
    <xf numFmtId="0" fontId="74" fillId="26" borderId="87" xfId="144" applyFont="1" applyFill="1" applyBorder="1" applyAlignment="1">
      <alignment horizontal="center" vertical="center"/>
    </xf>
    <xf numFmtId="0" fontId="58" fillId="26" borderId="87" xfId="144" applyFont="1" applyFill="1" applyBorder="1" applyAlignment="1">
      <alignment horizontal="center" vertical="center"/>
    </xf>
    <xf numFmtId="4" fontId="58" fillId="26" borderId="87" xfId="144" applyNumberFormat="1" applyFont="1" applyFill="1" applyBorder="1" applyAlignment="1">
      <alignment horizontal="center" vertical="center"/>
    </xf>
    <xf numFmtId="4" fontId="58" fillId="30" borderId="87" xfId="144" applyNumberFormat="1" applyFont="1" applyFill="1" applyBorder="1" applyAlignment="1">
      <alignment horizontal="center" vertical="center"/>
    </xf>
    <xf numFmtId="4" fontId="58" fillId="27" borderId="87" xfId="144" applyNumberFormat="1" applyFont="1" applyFill="1" applyBorder="1" applyAlignment="1">
      <alignment horizontal="center" vertical="center"/>
    </xf>
    <xf numFmtId="4" fontId="58" fillId="30" borderId="102" xfId="144" applyNumberFormat="1" applyFont="1" applyFill="1" applyBorder="1" applyAlignment="1">
      <alignment horizontal="center" vertical="center"/>
    </xf>
    <xf numFmtId="4" fontId="58" fillId="27" borderId="102" xfId="144" applyNumberFormat="1" applyFont="1" applyFill="1" applyBorder="1" applyAlignment="1">
      <alignment horizontal="center" vertical="center"/>
    </xf>
    <xf numFmtId="0" fontId="4" fillId="26" borderId="0" xfId="144" applyFill="1" applyAlignment="1">
      <alignment vertical="center"/>
    </xf>
    <xf numFmtId="181" fontId="41" fillId="0" borderId="0" xfId="91" applyNumberFormat="1" applyFont="1" applyFill="1" applyProtection="1"/>
    <xf numFmtId="4" fontId="49" fillId="0" borderId="0" xfId="90" applyNumberFormat="1" applyFont="1" applyFill="1" applyProtection="1"/>
    <xf numFmtId="10" fontId="49" fillId="0" borderId="0" xfId="98" applyNumberFormat="1" applyFont="1" applyFill="1" applyProtection="1"/>
    <xf numFmtId="172" fontId="49" fillId="0" borderId="0" xfId="35" applyFont="1" applyFill="1" applyProtection="1"/>
    <xf numFmtId="172" fontId="37" fillId="0" borderId="0" xfId="35" applyFont="1" applyFill="1" applyBorder="1" applyAlignment="1">
      <alignment horizontal="left" vertical="center" wrapText="1"/>
    </xf>
    <xf numFmtId="43" fontId="39" fillId="0" borderId="0" xfId="0" applyNumberFormat="1" applyFont="1" applyFill="1"/>
    <xf numFmtId="0" fontId="39" fillId="0" borderId="29" xfId="0" applyFont="1" applyFill="1" applyBorder="1" applyAlignment="1">
      <alignment horizontal="center"/>
    </xf>
    <xf numFmtId="4" fontId="39" fillId="0" borderId="123" xfId="138" applyNumberFormat="1" applyFont="1" applyFill="1" applyBorder="1" applyAlignment="1">
      <alignment vertical="center"/>
    </xf>
    <xf numFmtId="4" fontId="39" fillId="0" borderId="123" xfId="0" applyNumberFormat="1" applyFont="1" applyFill="1" applyBorder="1"/>
    <xf numFmtId="4" fontId="39" fillId="0" borderId="123" xfId="138" applyNumberFormat="1" applyFont="1" applyFill="1" applyBorder="1" applyAlignment="1">
      <alignment vertical="center" wrapText="1"/>
    </xf>
    <xf numFmtId="4" fontId="49" fillId="27" borderId="0" xfId="90" applyNumberFormat="1" applyFont="1" applyFill="1" applyProtection="1"/>
    <xf numFmtId="189" fontId="37" fillId="24" borderId="0" xfId="74" applyNumberFormat="1" applyFont="1" applyFill="1" applyBorder="1" applyAlignment="1" applyProtection="1">
      <alignment vertical="center"/>
    </xf>
    <xf numFmtId="172" fontId="39" fillId="0" borderId="0" xfId="35" applyFont="1" applyFill="1"/>
    <xf numFmtId="0" fontId="4" fillId="30" borderId="99" xfId="144" applyFill="1" applyBorder="1" applyAlignment="1">
      <alignment vertical="center" wrapText="1"/>
    </xf>
    <xf numFmtId="0" fontId="4" fillId="30" borderId="87" xfId="144" applyFont="1" applyFill="1" applyBorder="1" applyAlignment="1">
      <alignment horizontal="center"/>
    </xf>
    <xf numFmtId="0" fontId="4" fillId="0" borderId="99" xfId="144" applyFill="1" applyBorder="1" applyAlignment="1">
      <alignment vertical="center" wrapText="1"/>
    </xf>
    <xf numFmtId="0" fontId="4" fillId="30" borderId="99" xfId="144" applyFill="1" applyBorder="1" applyAlignment="1">
      <alignment vertical="center"/>
    </xf>
    <xf numFmtId="0" fontId="3" fillId="32" borderId="99" xfId="144" applyFont="1" applyFill="1" applyBorder="1" applyAlignment="1">
      <alignment horizontal="center" vertical="center" wrapText="1"/>
    </xf>
    <xf numFmtId="0" fontId="38" fillId="0" borderId="0" xfId="0" applyFont="1" applyFill="1" applyBorder="1" applyAlignment="1">
      <alignment horizontal="center"/>
    </xf>
    <xf numFmtId="0" fontId="44" fillId="0" borderId="0" xfId="0" applyFont="1" applyFill="1" applyBorder="1" applyAlignment="1">
      <alignment horizontal="center"/>
    </xf>
    <xf numFmtId="0" fontId="44" fillId="0" borderId="15" xfId="0" applyFont="1" applyFill="1" applyBorder="1" applyAlignment="1">
      <alignment horizontal="center"/>
    </xf>
    <xf numFmtId="0" fontId="39" fillId="0" borderId="0" xfId="0" applyFont="1" applyFill="1" applyBorder="1" applyAlignment="1" applyProtection="1">
      <alignment horizontal="left"/>
      <protection locked="0"/>
    </xf>
    <xf numFmtId="0" fontId="42" fillId="24" borderId="73" xfId="0" applyFont="1" applyFill="1" applyBorder="1" applyAlignment="1">
      <alignment horizontal="center"/>
    </xf>
    <xf numFmtId="0" fontId="39" fillId="0" borderId="37" xfId="0" applyFont="1" applyFill="1" applyBorder="1" applyAlignment="1"/>
    <xf numFmtId="0" fontId="39" fillId="0" borderId="41" xfId="0" applyFont="1" applyFill="1" applyBorder="1" applyAlignment="1"/>
    <xf numFmtId="0" fontId="42" fillId="24" borderId="19" xfId="0" applyFont="1" applyFill="1" applyBorder="1" applyAlignment="1">
      <alignment horizontal="center"/>
    </xf>
    <xf numFmtId="0" fontId="42" fillId="24" borderId="20" xfId="0" applyFont="1" applyFill="1" applyBorder="1" applyAlignment="1">
      <alignment horizontal="center" wrapText="1"/>
    </xf>
    <xf numFmtId="0" fontId="39" fillId="0" borderId="29" xfId="0" applyFont="1" applyFill="1" applyBorder="1" applyAlignment="1">
      <alignment horizontal="center"/>
    </xf>
    <xf numFmtId="0" fontId="39" fillId="0" borderId="28" xfId="0" applyFont="1" applyFill="1" applyBorder="1" applyAlignment="1">
      <alignment horizontal="left"/>
    </xf>
    <xf numFmtId="0" fontId="39" fillId="0" borderId="29" xfId="0" applyFont="1" applyFill="1" applyBorder="1" applyAlignment="1">
      <alignment horizontal="left"/>
    </xf>
    <xf numFmtId="0" fontId="39" fillId="0" borderId="30" xfId="0" applyFont="1" applyFill="1" applyBorder="1" applyAlignment="1">
      <alignment horizontal="left"/>
    </xf>
    <xf numFmtId="0" fontId="39" fillId="0" borderId="65" xfId="0" applyFont="1" applyFill="1" applyBorder="1" applyAlignment="1">
      <alignment horizontal="center"/>
    </xf>
    <xf numFmtId="0" fontId="42" fillId="0" borderId="0" xfId="0" applyFont="1" applyFill="1" applyBorder="1" applyAlignment="1" applyProtection="1">
      <alignment horizontal="center"/>
      <protection locked="0"/>
    </xf>
    <xf numFmtId="4" fontId="49" fillId="0" borderId="123" xfId="40" applyNumberFormat="1" applyFont="1" applyFill="1" applyBorder="1" applyAlignment="1" applyProtection="1">
      <alignment vertical="center" wrapText="1"/>
    </xf>
    <xf numFmtId="0" fontId="49" fillId="0" borderId="163" xfId="138" applyFont="1" applyFill="1" applyBorder="1" applyAlignment="1" applyProtection="1">
      <alignment horizontal="center" vertical="center"/>
    </xf>
    <xf numFmtId="0" fontId="49" fillId="0" borderId="123" xfId="138" applyFont="1" applyFill="1" applyBorder="1" applyAlignment="1" applyProtection="1">
      <alignment horizontal="center" vertical="center"/>
    </xf>
    <xf numFmtId="0" fontId="49" fillId="0" borderId="123" xfId="0" applyFont="1" applyFill="1" applyBorder="1" applyAlignment="1" applyProtection="1">
      <alignment horizontal="center" vertical="center"/>
    </xf>
    <xf numFmtId="0" fontId="49" fillId="0" borderId="123" xfId="138" applyFont="1" applyFill="1" applyBorder="1" applyAlignment="1" applyProtection="1">
      <alignment horizontal="left" vertical="center" wrapText="1"/>
    </xf>
    <xf numFmtId="0" fontId="49" fillId="0" borderId="123" xfId="138" applyFont="1" applyFill="1" applyBorder="1" applyAlignment="1" applyProtection="1">
      <alignment horizontal="center" vertical="center" wrapText="1"/>
    </xf>
    <xf numFmtId="7" fontId="49" fillId="0" borderId="123" xfId="63" applyNumberFormat="1" applyFont="1" applyFill="1" applyBorder="1" applyAlignment="1" applyProtection="1">
      <alignment horizontal="right" vertical="center" wrapText="1"/>
    </xf>
    <xf numFmtId="7" fontId="49" fillId="0" borderId="162" xfId="63" applyNumberFormat="1" applyFont="1" applyFill="1" applyBorder="1" applyAlignment="1" applyProtection="1">
      <alignment horizontal="right" vertical="center" wrapText="1"/>
    </xf>
    <xf numFmtId="0" fontId="49" fillId="0" borderId="123" xfId="129" applyFont="1" applyFill="1" applyBorder="1" applyAlignment="1" applyProtection="1">
      <alignment horizontal="center" vertical="center"/>
    </xf>
    <xf numFmtId="0" fontId="49" fillId="0" borderId="123" xfId="129" applyFont="1" applyFill="1" applyBorder="1" applyAlignment="1" applyProtection="1">
      <alignment horizontal="left" vertical="center" wrapText="1"/>
    </xf>
    <xf numFmtId="181" fontId="39" fillId="0" borderId="0" xfId="91" applyNumberFormat="1" applyFont="1" applyFill="1" applyProtection="1"/>
    <xf numFmtId="0" fontId="39" fillId="0" borderId="29" xfId="0" applyFont="1" applyFill="1" applyBorder="1" applyAlignment="1">
      <alignment horizontal="center"/>
    </xf>
    <xf numFmtId="0" fontId="39" fillId="0" borderId="37" xfId="0" applyFont="1" applyFill="1" applyBorder="1" applyAlignment="1"/>
    <xf numFmtId="0" fontId="39" fillId="0" borderId="41" xfId="0" applyFont="1" applyFill="1" applyBorder="1" applyAlignment="1"/>
    <xf numFmtId="0" fontId="42" fillId="24" borderId="19" xfId="0" applyFont="1" applyFill="1" applyBorder="1" applyAlignment="1">
      <alignment horizontal="center"/>
    </xf>
    <xf numFmtId="0" fontId="42" fillId="24" borderId="20" xfId="0" applyFont="1" applyFill="1" applyBorder="1" applyAlignment="1">
      <alignment horizontal="center" wrapText="1"/>
    </xf>
    <xf numFmtId="0" fontId="42" fillId="24" borderId="73" xfId="0" applyFont="1" applyFill="1" applyBorder="1" applyAlignment="1">
      <alignment horizontal="center"/>
    </xf>
    <xf numFmtId="0" fontId="38" fillId="0" borderId="0" xfId="0" applyFont="1" applyFill="1" applyBorder="1" applyAlignment="1">
      <alignment horizontal="center"/>
    </xf>
    <xf numFmtId="0" fontId="44" fillId="0" borderId="0" xfId="0" applyFont="1" applyFill="1" applyBorder="1" applyAlignment="1">
      <alignment horizontal="center"/>
    </xf>
    <xf numFmtId="0" fontId="44" fillId="0" borderId="15" xfId="0" applyFont="1" applyFill="1" applyBorder="1" applyAlignment="1">
      <alignment horizontal="center"/>
    </xf>
    <xf numFmtId="0" fontId="39" fillId="0" borderId="0" xfId="0" applyFont="1" applyFill="1" applyBorder="1" applyAlignment="1" applyProtection="1">
      <alignment horizontal="left"/>
      <protection locked="0"/>
    </xf>
    <xf numFmtId="0" fontId="39" fillId="0" borderId="28" xfId="0" applyFont="1" applyFill="1" applyBorder="1" applyAlignment="1">
      <alignment horizontal="left"/>
    </xf>
    <xf numFmtId="0" fontId="39" fillId="0" borderId="29" xfId="0" applyFont="1" applyFill="1" applyBorder="1" applyAlignment="1">
      <alignment horizontal="left"/>
    </xf>
    <xf numFmtId="0" fontId="39" fillId="0" borderId="65" xfId="0" applyFont="1" applyFill="1" applyBorder="1" applyAlignment="1">
      <alignment horizontal="center"/>
    </xf>
    <xf numFmtId="0" fontId="39" fillId="0" borderId="66" xfId="0" applyFont="1" applyFill="1" applyBorder="1" applyAlignment="1">
      <alignment horizontal="center"/>
    </xf>
    <xf numFmtId="0" fontId="42" fillId="0" borderId="0" xfId="0" applyFont="1" applyFill="1" applyBorder="1" applyAlignment="1" applyProtection="1">
      <alignment horizontal="center"/>
      <protection locked="0"/>
    </xf>
    <xf numFmtId="43" fontId="39" fillId="0" borderId="0" xfId="74" applyNumberFormat="1" applyFont="1" applyFill="1"/>
    <xf numFmtId="0" fontId="37" fillId="0" borderId="0" xfId="131" applyFont="1" applyFill="1" applyBorder="1" applyAlignment="1" applyProtection="1">
      <alignment horizontal="left" vertical="center"/>
    </xf>
    <xf numFmtId="9" fontId="49" fillId="0" borderId="0" xfId="132" applyNumberFormat="1" applyFont="1" applyFill="1" applyBorder="1" applyAlignment="1" applyProtection="1">
      <alignment horizontal="center" vertical="center"/>
    </xf>
    <xf numFmtId="181" fontId="37" fillId="0" borderId="0" xfId="132" applyNumberFormat="1" applyFont="1" applyFill="1" applyBorder="1" applyAlignment="1" applyProtection="1">
      <alignment vertical="center"/>
    </xf>
    <xf numFmtId="0" fontId="39" fillId="0" borderId="45" xfId="131" applyFont="1" applyFill="1" applyBorder="1" applyAlignment="1" applyProtection="1">
      <alignment horizontal="center"/>
    </xf>
    <xf numFmtId="0" fontId="39" fillId="0" borderId="19" xfId="131" applyFont="1" applyFill="1" applyBorder="1" applyAlignment="1" applyProtection="1">
      <alignment horizontal="center"/>
    </xf>
    <xf numFmtId="0" fontId="39" fillId="0" borderId="19" xfId="131" applyFont="1" applyFill="1" applyBorder="1" applyProtection="1"/>
    <xf numFmtId="2" fontId="39" fillId="0" borderId="19" xfId="131" applyNumberFormat="1" applyFont="1" applyFill="1" applyBorder="1" applyProtection="1"/>
    <xf numFmtId="181" fontId="39" fillId="0" borderId="19" xfId="132" applyNumberFormat="1" applyFont="1" applyFill="1" applyBorder="1" applyProtection="1"/>
    <xf numFmtId="39" fontId="39" fillId="0" borderId="36" xfId="132" applyNumberFormat="1" applyFont="1" applyFill="1" applyBorder="1" applyAlignment="1" applyProtection="1">
      <alignment vertical="center"/>
    </xf>
    <xf numFmtId="189" fontId="37" fillId="0" borderId="0" xfId="74" applyNumberFormat="1" applyFont="1" applyFill="1" applyBorder="1" applyAlignment="1" applyProtection="1">
      <alignment vertical="center"/>
    </xf>
    <xf numFmtId="0" fontId="38" fillId="0" borderId="67" xfId="131" applyFont="1" applyFill="1" applyBorder="1" applyAlignment="1" applyProtection="1">
      <alignment vertical="center"/>
    </xf>
    <xf numFmtId="181" fontId="49" fillId="0" borderId="46" xfId="132" applyNumberFormat="1" applyFont="1" applyFill="1" applyBorder="1" applyAlignment="1" applyProtection="1">
      <alignment vertical="center"/>
    </xf>
    <xf numFmtId="181" fontId="49" fillId="0" borderId="75" xfId="132" applyNumberFormat="1" applyFont="1" applyFill="1" applyBorder="1" applyAlignment="1" applyProtection="1">
      <alignment vertical="center"/>
    </xf>
    <xf numFmtId="181" fontId="49" fillId="0" borderId="40" xfId="132" applyNumberFormat="1" applyFont="1" applyFill="1" applyBorder="1" applyAlignment="1" applyProtection="1">
      <alignment vertical="center"/>
    </xf>
    <xf numFmtId="181" fontId="37" fillId="0" borderId="40" xfId="132" applyNumberFormat="1" applyFont="1" applyFill="1" applyBorder="1" applyAlignment="1" applyProtection="1">
      <alignment vertical="center"/>
    </xf>
    <xf numFmtId="0" fontId="49" fillId="25" borderId="44" xfId="133" applyNumberFormat="1" applyFont="1" applyFill="1" applyBorder="1" applyAlignment="1">
      <alignment vertical="center" wrapText="1"/>
    </xf>
    <xf numFmtId="0" fontId="49" fillId="25" borderId="21" xfId="133" applyNumberFormat="1" applyFont="1" applyFill="1" applyBorder="1" applyAlignment="1">
      <alignment vertical="center" wrapText="1"/>
    </xf>
    <xf numFmtId="0" fontId="38" fillId="24" borderId="59" xfId="74" applyFont="1" applyFill="1" applyBorder="1" applyAlignment="1" applyProtection="1">
      <alignment horizontal="left" vertical="center"/>
    </xf>
    <xf numFmtId="0" fontId="38" fillId="24" borderId="68" xfId="74" applyFont="1" applyFill="1" applyBorder="1" applyAlignment="1" applyProtection="1">
      <alignment horizontal="left" vertical="center"/>
    </xf>
    <xf numFmtId="0" fontId="38" fillId="24" borderId="69" xfId="74" applyFont="1" applyFill="1" applyBorder="1" applyAlignment="1" applyProtection="1">
      <alignment horizontal="left" vertical="center"/>
    </xf>
    <xf numFmtId="0" fontId="37" fillId="24" borderId="59" xfId="74" applyFont="1" applyFill="1" applyBorder="1" applyAlignment="1" applyProtection="1">
      <alignment horizontal="right" vertical="center"/>
    </xf>
    <xf numFmtId="0" fontId="37" fillId="24" borderId="68" xfId="74" applyFont="1" applyFill="1" applyBorder="1" applyAlignment="1" applyProtection="1">
      <alignment horizontal="right" vertical="center"/>
    </xf>
    <xf numFmtId="0" fontId="37" fillId="24" borderId="86" xfId="74" applyFont="1" applyFill="1" applyBorder="1" applyAlignment="1" applyProtection="1">
      <alignment horizontal="right" vertical="center"/>
    </xf>
    <xf numFmtId="0" fontId="49" fillId="25" borderId="35" xfId="133" applyNumberFormat="1" applyFont="1" applyFill="1" applyBorder="1" applyAlignment="1">
      <alignment vertical="center" wrapText="1"/>
    </xf>
    <xf numFmtId="3" fontId="37" fillId="25" borderId="35" xfId="133" applyNumberFormat="1" applyFont="1" applyFill="1" applyBorder="1" applyAlignment="1">
      <alignment horizontal="center" vertical="center" wrapText="1"/>
    </xf>
    <xf numFmtId="3" fontId="37" fillId="25" borderId="21" xfId="133" applyNumberFormat="1" applyFont="1" applyFill="1" applyBorder="1" applyAlignment="1">
      <alignment horizontal="center" vertical="center"/>
    </xf>
    <xf numFmtId="0" fontId="37" fillId="25" borderId="39" xfId="74" applyFont="1" applyFill="1" applyBorder="1" applyAlignment="1" applyProtection="1">
      <alignment horizontal="center" vertical="center" wrapText="1"/>
    </xf>
    <xf numFmtId="0" fontId="37" fillId="25" borderId="24" xfId="74" applyFont="1" applyFill="1" applyBorder="1" applyAlignment="1" applyProtection="1">
      <alignment horizontal="center" vertical="center" wrapText="1"/>
    </xf>
    <xf numFmtId="0" fontId="49" fillId="0" borderId="73" xfId="138" applyFont="1" applyFill="1" applyBorder="1" applyAlignment="1" applyProtection="1">
      <alignment horizontal="center" vertical="center"/>
    </xf>
    <xf numFmtId="0" fontId="49" fillId="0" borderId="20" xfId="138" applyFont="1" applyFill="1" applyBorder="1" applyAlignment="1" applyProtection="1">
      <alignment horizontal="center" vertical="center"/>
    </xf>
    <xf numFmtId="0" fontId="49" fillId="0" borderId="78" xfId="138" applyFont="1" applyFill="1" applyBorder="1" applyAlignment="1" applyProtection="1">
      <alignment horizontal="center" vertical="center"/>
    </xf>
    <xf numFmtId="0" fontId="49" fillId="0" borderId="77" xfId="138" applyFont="1" applyFill="1" applyBorder="1" applyAlignment="1" applyProtection="1">
      <alignment horizontal="center" vertical="center"/>
    </xf>
    <xf numFmtId="0" fontId="49" fillId="0" borderId="22" xfId="138" applyFont="1" applyFill="1" applyBorder="1" applyAlignment="1" applyProtection="1">
      <alignment horizontal="center" vertical="center"/>
    </xf>
    <xf numFmtId="0" fontId="49" fillId="0" borderId="30" xfId="138" applyFont="1" applyFill="1" applyBorder="1" applyAlignment="1" applyProtection="1">
      <alignment horizontal="center" vertical="center"/>
    </xf>
    <xf numFmtId="0" fontId="49" fillId="25" borderId="21" xfId="133" applyFont="1" applyFill="1" applyBorder="1" applyAlignment="1">
      <alignment horizontal="left" vertical="center" wrapText="1"/>
    </xf>
    <xf numFmtId="0" fontId="49" fillId="25" borderId="40" xfId="133" applyFont="1" applyFill="1" applyBorder="1" applyAlignment="1">
      <alignment horizontal="left" vertical="center" wrapText="1"/>
    </xf>
    <xf numFmtId="0" fontId="49" fillId="25" borderId="24" xfId="133" applyFont="1" applyFill="1" applyBorder="1" applyAlignment="1">
      <alignment horizontal="left" vertical="center" wrapText="1"/>
    </xf>
    <xf numFmtId="0" fontId="49" fillId="25" borderId="64" xfId="133" applyFont="1" applyFill="1" applyBorder="1" applyAlignment="1">
      <alignment horizontal="left" vertical="center" wrapText="1"/>
    </xf>
    <xf numFmtId="0" fontId="49" fillId="25" borderId="80" xfId="0" applyNumberFormat="1" applyFont="1" applyFill="1" applyBorder="1" applyAlignment="1">
      <alignment vertical="center" wrapText="1"/>
    </xf>
    <xf numFmtId="0" fontId="49" fillId="25" borderId="24" xfId="0" applyNumberFormat="1" applyFont="1" applyFill="1" applyBorder="1" applyAlignment="1">
      <alignment vertical="center" wrapText="1"/>
    </xf>
    <xf numFmtId="0" fontId="37" fillId="25" borderId="21" xfId="133" applyFont="1" applyFill="1" applyBorder="1" applyAlignment="1">
      <alignment horizontal="center" vertical="center" wrapText="1"/>
    </xf>
    <xf numFmtId="0" fontId="37" fillId="25" borderId="21" xfId="133" applyFont="1" applyFill="1" applyBorder="1" applyAlignment="1">
      <alignment horizontal="center" vertical="center"/>
    </xf>
    <xf numFmtId="0" fontId="49" fillId="25" borderId="44" xfId="0" applyNumberFormat="1" applyFont="1" applyFill="1" applyBorder="1" applyAlignment="1">
      <alignment vertical="center" wrapText="1"/>
    </xf>
    <xf numFmtId="0" fontId="49" fillId="25" borderId="21" xfId="0" applyNumberFormat="1" applyFont="1" applyFill="1" applyBorder="1" applyAlignment="1">
      <alignment vertical="center" wrapText="1"/>
    </xf>
    <xf numFmtId="3" fontId="37" fillId="25" borderId="21" xfId="133" applyNumberFormat="1" applyFont="1" applyFill="1" applyBorder="1" applyAlignment="1">
      <alignment horizontal="center" vertical="center" wrapText="1"/>
    </xf>
    <xf numFmtId="0" fontId="35" fillId="0" borderId="11" xfId="133" applyFont="1" applyFill="1" applyBorder="1" applyAlignment="1" applyProtection="1">
      <alignment horizontal="center"/>
    </xf>
    <xf numFmtId="0" fontId="35" fillId="0" borderId="12" xfId="133" applyFont="1" applyFill="1" applyBorder="1" applyAlignment="1" applyProtection="1">
      <alignment horizontal="center"/>
    </xf>
    <xf numFmtId="0" fontId="35" fillId="0" borderId="13" xfId="133" applyFont="1" applyFill="1" applyBorder="1" applyAlignment="1" applyProtection="1">
      <alignment horizontal="center"/>
    </xf>
    <xf numFmtId="0" fontId="35" fillId="0" borderId="14" xfId="133" applyFont="1" applyFill="1" applyBorder="1" applyAlignment="1" applyProtection="1">
      <alignment horizontal="center"/>
    </xf>
    <xf numFmtId="0" fontId="35" fillId="0" borderId="0" xfId="133" applyFont="1" applyFill="1" applyBorder="1" applyAlignment="1" applyProtection="1">
      <alignment horizontal="center"/>
    </xf>
    <xf numFmtId="0" fontId="35" fillId="0" borderId="15" xfId="133" applyFont="1" applyFill="1" applyBorder="1" applyAlignment="1" applyProtection="1">
      <alignment horizontal="center"/>
    </xf>
    <xf numFmtId="0" fontId="35" fillId="0" borderId="14" xfId="133" applyFont="1" applyFill="1" applyBorder="1" applyAlignment="1" applyProtection="1">
      <alignment horizontal="center" vertical="center" wrapText="1"/>
    </xf>
    <xf numFmtId="0" fontId="35" fillId="0" borderId="0" xfId="133" applyFont="1" applyFill="1" applyBorder="1" applyAlignment="1" applyProtection="1">
      <alignment horizontal="center" vertical="center" wrapText="1"/>
    </xf>
    <xf numFmtId="0" fontId="35" fillId="0" borderId="15" xfId="133" applyFont="1" applyFill="1" applyBorder="1" applyAlignment="1" applyProtection="1">
      <alignment horizontal="center" vertical="center" wrapText="1"/>
    </xf>
    <xf numFmtId="0" fontId="37" fillId="0" borderId="14" xfId="133" applyFont="1" applyFill="1" applyBorder="1" applyAlignment="1" applyProtection="1">
      <alignment horizontal="center"/>
    </xf>
    <xf numFmtId="0" fontId="37" fillId="0" borderId="0" xfId="133" applyFont="1" applyFill="1" applyBorder="1" applyAlignment="1" applyProtection="1">
      <alignment horizontal="center"/>
    </xf>
    <xf numFmtId="0" fontId="37" fillId="0" borderId="15" xfId="133" applyFont="1" applyFill="1" applyBorder="1" applyAlignment="1" applyProtection="1">
      <alignment horizontal="center"/>
    </xf>
    <xf numFmtId="4" fontId="37" fillId="25" borderId="39" xfId="74" applyNumberFormat="1" applyFont="1" applyFill="1" applyBorder="1" applyAlignment="1" applyProtection="1">
      <alignment horizontal="center" vertical="center" wrapText="1"/>
    </xf>
    <xf numFmtId="4" fontId="37" fillId="25" borderId="24" xfId="74" applyNumberFormat="1" applyFont="1" applyFill="1" applyBorder="1" applyAlignment="1" applyProtection="1">
      <alignment horizontal="center" vertical="center" wrapText="1"/>
    </xf>
    <xf numFmtId="4" fontId="37" fillId="25" borderId="46" xfId="74" applyNumberFormat="1" applyFont="1" applyFill="1" applyBorder="1" applyAlignment="1" applyProtection="1">
      <alignment horizontal="center" vertical="center" wrapText="1"/>
    </xf>
    <xf numFmtId="4" fontId="37" fillId="25" borderId="64" xfId="74" applyNumberFormat="1" applyFont="1" applyFill="1" applyBorder="1" applyAlignment="1" applyProtection="1">
      <alignment horizontal="center" vertical="center" wrapText="1"/>
    </xf>
    <xf numFmtId="0" fontId="37" fillId="25" borderId="42" xfId="74" applyFont="1" applyFill="1" applyBorder="1" applyAlignment="1" applyProtection="1">
      <alignment horizontal="center" vertical="center" wrapText="1"/>
    </xf>
    <xf numFmtId="0" fontId="37" fillId="25" borderId="80" xfId="74" applyFont="1" applyFill="1" applyBorder="1" applyAlignment="1" applyProtection="1">
      <alignment horizontal="center" vertical="center" wrapText="1"/>
    </xf>
    <xf numFmtId="0" fontId="37" fillId="0" borderId="39" xfId="129" applyFont="1" applyFill="1" applyBorder="1" applyAlignment="1" applyProtection="1">
      <alignment horizontal="center" vertical="center" wrapText="1"/>
    </xf>
    <xf numFmtId="0" fontId="37" fillId="0" borderId="19" xfId="80" applyFont="1" applyFill="1" applyBorder="1" applyAlignment="1">
      <alignment horizontal="left" vertical="center" wrapText="1"/>
    </xf>
    <xf numFmtId="0" fontId="37" fillId="0" borderId="36" xfId="80" applyFont="1" applyFill="1" applyBorder="1" applyAlignment="1">
      <alignment horizontal="left" vertical="center" wrapText="1"/>
    </xf>
    <xf numFmtId="0" fontId="49" fillId="26" borderId="78" xfId="138" applyFont="1" applyFill="1" applyBorder="1" applyAlignment="1" applyProtection="1">
      <alignment horizontal="center" vertical="center"/>
    </xf>
    <xf numFmtId="0" fontId="49" fillId="26" borderId="77" xfId="138" applyFont="1" applyFill="1" applyBorder="1" applyAlignment="1" applyProtection="1">
      <alignment horizontal="center" vertical="center"/>
    </xf>
    <xf numFmtId="0" fontId="49" fillId="25" borderId="22" xfId="133" applyFont="1" applyFill="1" applyBorder="1" applyAlignment="1">
      <alignment horizontal="left" vertical="center" wrapText="1"/>
    </xf>
    <xf numFmtId="0" fontId="49" fillId="25" borderId="25" xfId="133" applyFont="1" applyFill="1" applyBorder="1" applyAlignment="1">
      <alignment horizontal="left" vertical="center" wrapText="1"/>
    </xf>
    <xf numFmtId="4" fontId="37" fillId="30" borderId="46" xfId="74" applyNumberFormat="1" applyFont="1" applyFill="1" applyBorder="1" applyAlignment="1" applyProtection="1">
      <alignment horizontal="center" vertical="center" wrapText="1"/>
    </xf>
    <xf numFmtId="4" fontId="37" fillId="30" borderId="64" xfId="74" applyNumberFormat="1" applyFont="1" applyFill="1" applyBorder="1" applyAlignment="1" applyProtection="1">
      <alignment horizontal="center" vertical="center" wrapText="1"/>
    </xf>
    <xf numFmtId="0" fontId="37" fillId="30" borderId="39" xfId="74" applyFont="1" applyFill="1" applyBorder="1" applyAlignment="1" applyProtection="1">
      <alignment horizontal="center" vertical="center" wrapText="1"/>
    </xf>
    <xf numFmtId="0" fontId="37" fillId="30" borderId="24" xfId="74" applyFont="1" applyFill="1" applyBorder="1" applyAlignment="1" applyProtection="1">
      <alignment horizontal="center" vertical="center" wrapText="1"/>
    </xf>
    <xf numFmtId="0" fontId="49" fillId="26" borderId="73" xfId="138" applyFont="1" applyFill="1" applyBorder="1" applyAlignment="1" applyProtection="1">
      <alignment horizontal="center" vertical="center"/>
    </xf>
    <xf numFmtId="0" fontId="49" fillId="26" borderId="20" xfId="138" applyFont="1" applyFill="1" applyBorder="1" applyAlignment="1" applyProtection="1">
      <alignment horizontal="center" vertical="center"/>
    </xf>
    <xf numFmtId="0" fontId="37" fillId="31" borderId="39" xfId="74" applyFont="1" applyFill="1" applyBorder="1" applyAlignment="1" applyProtection="1">
      <alignment horizontal="center" vertical="center" wrapText="1"/>
    </xf>
    <xf numFmtId="0" fontId="37" fillId="31" borderId="24" xfId="74" applyFont="1" applyFill="1" applyBorder="1" applyAlignment="1" applyProtection="1">
      <alignment horizontal="center" vertical="center" wrapText="1"/>
    </xf>
    <xf numFmtId="4" fontId="37" fillId="31" borderId="46" xfId="74" applyNumberFormat="1" applyFont="1" applyFill="1" applyBorder="1" applyAlignment="1" applyProtection="1">
      <alignment horizontal="center" vertical="center" wrapText="1"/>
    </xf>
    <xf numFmtId="4" fontId="37" fillId="31" borderId="64" xfId="74" applyNumberFormat="1" applyFont="1" applyFill="1" applyBorder="1" applyAlignment="1" applyProtection="1">
      <alignment horizontal="center" vertical="center" wrapText="1"/>
    </xf>
    <xf numFmtId="0" fontId="37" fillId="29" borderId="39" xfId="74" applyFont="1" applyFill="1" applyBorder="1" applyAlignment="1" applyProtection="1">
      <alignment horizontal="center" vertical="center" wrapText="1"/>
    </xf>
    <xf numFmtId="0" fontId="37" fillId="29" borderId="24" xfId="74" applyFont="1" applyFill="1" applyBorder="1" applyAlignment="1" applyProtection="1">
      <alignment horizontal="center" vertical="center" wrapText="1"/>
    </xf>
    <xf numFmtId="0" fontId="36" fillId="29" borderId="146" xfId="90" applyFont="1" applyFill="1" applyBorder="1" applyAlignment="1" applyProtection="1">
      <alignment horizontal="center"/>
    </xf>
    <xf numFmtId="0" fontId="36" fillId="29" borderId="147" xfId="90" applyFont="1" applyFill="1" applyBorder="1" applyAlignment="1" applyProtection="1">
      <alignment horizontal="center"/>
    </xf>
    <xf numFmtId="0" fontId="37" fillId="28" borderId="39" xfId="74" applyFont="1" applyFill="1" applyBorder="1" applyAlignment="1" applyProtection="1">
      <alignment horizontal="center" vertical="center" wrapText="1"/>
    </xf>
    <xf numFmtId="0" fontId="37" fillId="28" borderId="24" xfId="74" applyFont="1" applyFill="1" applyBorder="1" applyAlignment="1" applyProtection="1">
      <alignment horizontal="center" vertical="center" wrapText="1"/>
    </xf>
    <xf numFmtId="4" fontId="37" fillId="28" borderId="46" xfId="74" applyNumberFormat="1" applyFont="1" applyFill="1" applyBorder="1" applyAlignment="1" applyProtection="1">
      <alignment horizontal="center" vertical="center" wrapText="1"/>
    </xf>
    <xf numFmtId="4" fontId="37" fillId="28" borderId="64" xfId="74" applyNumberFormat="1" applyFont="1" applyFill="1" applyBorder="1" applyAlignment="1" applyProtection="1">
      <alignment horizontal="center" vertical="center" wrapText="1"/>
    </xf>
    <xf numFmtId="4" fontId="37" fillId="29" borderId="46" xfId="74" applyNumberFormat="1" applyFont="1" applyFill="1" applyBorder="1" applyAlignment="1" applyProtection="1">
      <alignment horizontal="center" vertical="center" wrapText="1"/>
    </xf>
    <xf numFmtId="4" fontId="37" fillId="29" borderId="64" xfId="74" applyNumberFormat="1" applyFont="1" applyFill="1" applyBorder="1" applyAlignment="1" applyProtection="1">
      <alignment horizontal="center" vertical="center" wrapText="1"/>
    </xf>
    <xf numFmtId="0" fontId="37" fillId="33" borderId="39" xfId="74" applyFont="1" applyFill="1" applyBorder="1" applyAlignment="1" applyProtection="1">
      <alignment horizontal="center" vertical="center" wrapText="1"/>
    </xf>
    <xf numFmtId="0" fontId="37" fillId="33" borderId="24" xfId="74" applyFont="1" applyFill="1" applyBorder="1" applyAlignment="1" applyProtection="1">
      <alignment horizontal="center" vertical="center" wrapText="1"/>
    </xf>
    <xf numFmtId="4" fontId="37" fillId="33" borderId="46" xfId="74" applyNumberFormat="1" applyFont="1" applyFill="1" applyBorder="1" applyAlignment="1" applyProtection="1">
      <alignment horizontal="center" vertical="center" wrapText="1"/>
    </xf>
    <xf numFmtId="4" fontId="37" fillId="33" borderId="64" xfId="74" applyNumberFormat="1" applyFont="1" applyFill="1" applyBorder="1" applyAlignment="1" applyProtection="1">
      <alignment horizontal="center" vertical="center" wrapText="1"/>
    </xf>
    <xf numFmtId="0" fontId="59" fillId="0" borderId="104" xfId="144" applyFont="1" applyFill="1" applyBorder="1" applyAlignment="1">
      <alignment horizontal="center" vertical="center" wrapText="1"/>
    </xf>
    <xf numFmtId="0" fontId="59" fillId="0" borderId="116" xfId="144" applyFont="1" applyFill="1" applyBorder="1" applyAlignment="1">
      <alignment horizontal="center" vertical="center" wrapText="1"/>
    </xf>
    <xf numFmtId="0" fontId="59" fillId="0" borderId="102" xfId="144" applyFont="1" applyFill="1" applyBorder="1" applyAlignment="1">
      <alignment horizontal="center" vertical="center"/>
    </xf>
    <xf numFmtId="0" fontId="59" fillId="0" borderId="87" xfId="144" applyFont="1" applyFill="1" applyBorder="1" applyAlignment="1">
      <alignment horizontal="center" vertical="center"/>
    </xf>
    <xf numFmtId="0" fontId="59" fillId="0" borderId="104" xfId="144" applyFont="1" applyFill="1" applyBorder="1" applyAlignment="1">
      <alignment horizontal="center" vertical="center"/>
    </xf>
    <xf numFmtId="0" fontId="59" fillId="0" borderId="102" xfId="144" applyFont="1" applyFill="1" applyBorder="1" applyAlignment="1">
      <alignment horizontal="center" vertical="center" wrapText="1"/>
    </xf>
    <xf numFmtId="0" fontId="59" fillId="0" borderId="87" xfId="144" applyFont="1" applyFill="1" applyBorder="1" applyAlignment="1">
      <alignment horizontal="center" vertical="center" wrapText="1"/>
    </xf>
    <xf numFmtId="0" fontId="59" fillId="0" borderId="110" xfId="144" applyFont="1" applyFill="1" applyBorder="1" applyAlignment="1">
      <alignment horizontal="center" vertical="center"/>
    </xf>
    <xf numFmtId="0" fontId="59" fillId="0" borderId="109" xfId="144" applyFont="1" applyFill="1" applyBorder="1" applyAlignment="1">
      <alignment horizontal="center" vertical="center"/>
    </xf>
    <xf numFmtId="0" fontId="60" fillId="0" borderId="97" xfId="144" applyFont="1" applyFill="1" applyBorder="1" applyAlignment="1">
      <alignment horizontal="center" vertical="center" wrapText="1"/>
    </xf>
    <xf numFmtId="0" fontId="60" fillId="0" borderId="105" xfId="144" applyFont="1" applyFill="1" applyBorder="1" applyAlignment="1">
      <alignment horizontal="center" vertical="center" wrapText="1"/>
    </xf>
    <xf numFmtId="0" fontId="60" fillId="0" borderId="117" xfId="144" applyFont="1" applyFill="1" applyBorder="1" applyAlignment="1">
      <alignment horizontal="center" vertical="center" wrapText="1"/>
    </xf>
    <xf numFmtId="0" fontId="59" fillId="0" borderId="98" xfId="144" applyFont="1" applyFill="1" applyBorder="1" applyAlignment="1">
      <alignment horizontal="center" vertical="center"/>
    </xf>
    <xf numFmtId="0" fontId="59" fillId="0" borderId="99" xfId="144" applyFont="1" applyFill="1" applyBorder="1" applyAlignment="1">
      <alignment horizontal="center" vertical="center"/>
    </xf>
    <xf numFmtId="0" fontId="59" fillId="0" borderId="100" xfId="144" applyFont="1" applyFill="1" applyBorder="1" applyAlignment="1">
      <alignment horizontal="center" vertical="center"/>
    </xf>
    <xf numFmtId="0" fontId="60" fillId="0" borderId="151" xfId="144" applyFont="1" applyFill="1" applyBorder="1" applyAlignment="1">
      <alignment horizontal="center" vertical="center" wrapText="1"/>
    </xf>
    <xf numFmtId="0" fontId="60" fillId="0" borderId="81" xfId="144" applyFont="1" applyFill="1" applyBorder="1" applyAlignment="1">
      <alignment horizontal="center" vertical="center" wrapText="1"/>
    </xf>
    <xf numFmtId="0" fontId="60" fillId="0" borderId="35" xfId="144" applyFont="1" applyFill="1" applyBorder="1" applyAlignment="1">
      <alignment horizontal="center" vertical="center" wrapText="1"/>
    </xf>
    <xf numFmtId="0" fontId="61" fillId="25" borderId="97" xfId="144" applyFont="1" applyFill="1" applyBorder="1" applyAlignment="1">
      <alignment horizontal="center" vertical="center" wrapText="1"/>
    </xf>
    <xf numFmtId="0" fontId="61" fillId="25" borderId="105" xfId="144" applyFont="1" applyFill="1" applyBorder="1" applyAlignment="1">
      <alignment horizontal="center" vertical="center" wrapText="1"/>
    </xf>
    <xf numFmtId="0" fontId="61" fillId="25" borderId="117" xfId="144" applyFont="1" applyFill="1" applyBorder="1" applyAlignment="1">
      <alignment horizontal="center" vertical="center" wrapText="1"/>
    </xf>
    <xf numFmtId="0" fontId="59" fillId="39" borderId="98" xfId="144" applyFont="1" applyFill="1" applyBorder="1" applyAlignment="1">
      <alignment horizontal="center" vertical="center"/>
    </xf>
    <xf numFmtId="0" fontId="59" fillId="39" borderId="100" xfId="144" applyFont="1" applyFill="1" applyBorder="1" applyAlignment="1">
      <alignment horizontal="center" vertical="center"/>
    </xf>
    <xf numFmtId="0" fontId="59" fillId="39" borderId="102" xfId="144" applyFont="1" applyFill="1" applyBorder="1" applyAlignment="1">
      <alignment horizontal="center" vertical="center"/>
    </xf>
    <xf numFmtId="0" fontId="59" fillId="39" borderId="104" xfId="144" applyFont="1" applyFill="1" applyBorder="1" applyAlignment="1">
      <alignment horizontal="center" vertical="center"/>
    </xf>
    <xf numFmtId="0" fontId="59" fillId="0" borderId="98" xfId="144" applyFont="1" applyFill="1" applyBorder="1" applyAlignment="1">
      <alignment horizontal="center" vertical="center" wrapText="1"/>
    </xf>
    <xf numFmtId="0" fontId="59" fillId="0" borderId="100" xfId="144" applyFont="1" applyFill="1" applyBorder="1" applyAlignment="1">
      <alignment horizontal="center" vertical="center" wrapText="1"/>
    </xf>
    <xf numFmtId="0" fontId="59" fillId="0" borderId="99" xfId="144" applyFont="1" applyFill="1" applyBorder="1" applyAlignment="1">
      <alignment horizontal="center" vertical="center" wrapText="1"/>
    </xf>
    <xf numFmtId="0" fontId="59" fillId="0" borderId="91" xfId="144" applyFont="1" applyFill="1" applyBorder="1" applyAlignment="1">
      <alignment horizontal="center" vertical="center" wrapText="1"/>
    </xf>
    <xf numFmtId="0" fontId="59" fillId="0" borderId="103" xfId="144" applyFont="1" applyFill="1" applyBorder="1" applyAlignment="1">
      <alignment horizontal="center" vertical="center" wrapText="1"/>
    </xf>
    <xf numFmtId="0" fontId="59" fillId="0" borderId="152" xfId="144" applyFont="1" applyFill="1" applyBorder="1" applyAlignment="1">
      <alignment horizontal="center" vertical="center"/>
    </xf>
    <xf numFmtId="0" fontId="59" fillId="0" borderId="116" xfId="144" applyFont="1" applyFill="1" applyBorder="1" applyAlignment="1">
      <alignment horizontal="center" vertical="center"/>
    </xf>
    <xf numFmtId="0" fontId="59" fillId="0" borderId="148" xfId="144" applyFont="1" applyFill="1" applyBorder="1" applyAlignment="1">
      <alignment horizontal="center" vertical="center"/>
    </xf>
    <xf numFmtId="0" fontId="59" fillId="0" borderId="149" xfId="144" applyFont="1" applyFill="1" applyBorder="1" applyAlignment="1">
      <alignment horizontal="center" vertical="center"/>
    </xf>
    <xf numFmtId="0" fontId="59" fillId="0" borderId="150" xfId="144" applyFont="1" applyFill="1" applyBorder="1" applyAlignment="1">
      <alignment horizontal="center" vertical="center"/>
    </xf>
    <xf numFmtId="0" fontId="59" fillId="0" borderId="106" xfId="144" applyFont="1" applyFill="1" applyBorder="1" applyAlignment="1">
      <alignment horizontal="center" vertical="center"/>
    </xf>
    <xf numFmtId="0" fontId="59" fillId="0" borderId="107" xfId="144" applyFont="1" applyFill="1" applyBorder="1" applyAlignment="1">
      <alignment horizontal="center" vertical="center"/>
    </xf>
    <xf numFmtId="0" fontId="59" fillId="0" borderId="108" xfId="144" applyFont="1" applyFill="1" applyBorder="1" applyAlignment="1">
      <alignment horizontal="center" vertical="center"/>
    </xf>
    <xf numFmtId="0" fontId="59" fillId="0" borderId="153" xfId="144" applyFont="1" applyFill="1" applyBorder="1" applyAlignment="1">
      <alignment horizontal="center" vertical="center" wrapText="1"/>
    </xf>
    <xf numFmtId="0" fontId="59" fillId="0" borderId="154" xfId="144" applyFont="1" applyFill="1" applyBorder="1" applyAlignment="1">
      <alignment horizontal="center" vertical="center" wrapText="1"/>
    </xf>
    <xf numFmtId="0" fontId="59" fillId="0" borderId="135" xfId="144" applyFont="1" applyFill="1" applyBorder="1" applyAlignment="1">
      <alignment horizontal="center" vertical="center" wrapText="1"/>
    </xf>
    <xf numFmtId="0" fontId="59" fillId="0" borderId="136" xfId="144" applyFont="1" applyFill="1" applyBorder="1" applyAlignment="1">
      <alignment horizontal="center" vertical="center" wrapText="1"/>
    </xf>
    <xf numFmtId="0" fontId="58" fillId="0" borderId="98" xfId="144" applyFont="1" applyFill="1" applyBorder="1" applyAlignment="1">
      <alignment horizontal="center" vertical="center"/>
    </xf>
    <xf numFmtId="0" fontId="58" fillId="0" borderId="102" xfId="144" applyFont="1" applyFill="1" applyBorder="1" applyAlignment="1">
      <alignment horizontal="center" vertical="center"/>
    </xf>
    <xf numFmtId="0" fontId="58" fillId="0" borderId="113" xfId="144" applyFont="1" applyFill="1" applyBorder="1" applyAlignment="1">
      <alignment horizontal="center" vertical="center"/>
    </xf>
    <xf numFmtId="0" fontId="58" fillId="0" borderId="99" xfId="144" applyFont="1" applyFill="1" applyBorder="1" applyAlignment="1">
      <alignment horizontal="center" vertical="center" wrapText="1"/>
    </xf>
    <xf numFmtId="0" fontId="58" fillId="0" borderId="87" xfId="144" applyFont="1" applyFill="1" applyBorder="1" applyAlignment="1">
      <alignment horizontal="center" vertical="center" wrapText="1"/>
    </xf>
    <xf numFmtId="0" fontId="58" fillId="0" borderId="114" xfId="144" applyFont="1" applyFill="1" applyBorder="1" applyAlignment="1">
      <alignment horizontal="center" vertical="center" wrapText="1"/>
    </xf>
    <xf numFmtId="0" fontId="58" fillId="0" borderId="91" xfId="144" applyFont="1" applyFill="1" applyBorder="1" applyAlignment="1">
      <alignment horizontal="center" vertical="center"/>
    </xf>
    <xf numFmtId="0" fontId="58" fillId="0" borderId="103" xfId="144" applyFont="1" applyFill="1" applyBorder="1" applyAlignment="1">
      <alignment horizontal="center" vertical="center"/>
    </xf>
    <xf numFmtId="0" fontId="58" fillId="0" borderId="115" xfId="144" applyFont="1" applyFill="1" applyBorder="1" applyAlignment="1">
      <alignment horizontal="center" vertical="center"/>
    </xf>
    <xf numFmtId="0" fontId="59" fillId="39" borderId="99" xfId="144" applyFont="1" applyFill="1" applyBorder="1" applyAlignment="1">
      <alignment horizontal="center" vertical="center"/>
    </xf>
    <xf numFmtId="0" fontId="59" fillId="39" borderId="87" xfId="144" applyFont="1" applyFill="1" applyBorder="1" applyAlignment="1">
      <alignment horizontal="center" vertical="center"/>
    </xf>
    <xf numFmtId="0" fontId="59" fillId="0" borderId="89" xfId="144" applyFont="1" applyFill="1" applyBorder="1" applyAlignment="1">
      <alignment horizontal="center" vertical="center"/>
    </xf>
    <xf numFmtId="0" fontId="57" fillId="35" borderId="102" xfId="144" applyFont="1" applyFill="1" applyBorder="1" applyAlignment="1">
      <alignment horizontal="center" vertical="center" wrapText="1"/>
    </xf>
    <xf numFmtId="0" fontId="57" fillId="35" borderId="102" xfId="144" applyFont="1" applyFill="1" applyBorder="1" applyAlignment="1">
      <alignment horizontal="center" vertical="center" textRotation="90" wrapText="1"/>
    </xf>
    <xf numFmtId="0" fontId="57" fillId="35" borderId="113" xfId="144" applyFont="1" applyFill="1" applyBorder="1" applyAlignment="1">
      <alignment horizontal="center" vertical="center" textRotation="90" wrapText="1"/>
    </xf>
    <xf numFmtId="0" fontId="57" fillId="35" borderId="129" xfId="144" applyFont="1" applyFill="1" applyBorder="1" applyAlignment="1">
      <alignment horizontal="center" vertical="center" textRotation="90" wrapText="1"/>
    </xf>
    <xf numFmtId="0" fontId="57" fillId="35" borderId="139" xfId="144" applyFont="1" applyFill="1" applyBorder="1" applyAlignment="1">
      <alignment horizontal="center" vertical="center" textRotation="90" wrapText="1"/>
    </xf>
    <xf numFmtId="0" fontId="57" fillId="35" borderId="140" xfId="144" applyFont="1" applyFill="1" applyBorder="1" applyAlignment="1">
      <alignment horizontal="center" vertical="center" textRotation="90" wrapText="1"/>
    </xf>
    <xf numFmtId="0" fontId="57" fillId="32" borderId="113" xfId="144" applyFont="1" applyFill="1" applyBorder="1" applyAlignment="1">
      <alignment horizontal="center"/>
    </xf>
    <xf numFmtId="0" fontId="57" fillId="32" borderId="114" xfId="144" applyFont="1" applyFill="1" applyBorder="1" applyAlignment="1">
      <alignment horizontal="center"/>
    </xf>
    <xf numFmtId="0" fontId="57" fillId="0" borderId="98" xfId="144" applyFont="1" applyBorder="1" applyAlignment="1">
      <alignment horizontal="center" vertical="center"/>
    </xf>
    <xf numFmtId="0" fontId="57" fillId="0" borderId="99" xfId="144" applyFont="1" applyBorder="1" applyAlignment="1">
      <alignment horizontal="center" vertical="center"/>
    </xf>
    <xf numFmtId="0" fontId="57" fillId="0" borderId="100" xfId="144" applyFont="1" applyBorder="1" applyAlignment="1">
      <alignment horizontal="center" vertical="center"/>
    </xf>
    <xf numFmtId="0" fontId="67" fillId="38" borderId="100" xfId="144" applyFont="1" applyFill="1" applyBorder="1" applyAlignment="1">
      <alignment horizontal="center" vertical="center" textRotation="90"/>
    </xf>
    <xf numFmtId="0" fontId="67" fillId="38" borderId="104" xfId="144" applyFont="1" applyFill="1" applyBorder="1" applyAlignment="1">
      <alignment horizontal="center" vertical="center" textRotation="90"/>
    </xf>
    <xf numFmtId="0" fontId="67" fillId="38" borderId="116" xfId="144" applyFont="1" applyFill="1" applyBorder="1" applyAlignment="1">
      <alignment horizontal="center" vertical="center" textRotation="90"/>
    </xf>
    <xf numFmtId="0" fontId="57" fillId="0" borderId="102" xfId="144" applyFont="1" applyBorder="1" applyAlignment="1">
      <alignment horizontal="center"/>
    </xf>
    <xf numFmtId="0" fontId="57" fillId="0" borderId="87" xfId="144" applyFont="1" applyBorder="1" applyAlignment="1">
      <alignment horizontal="center"/>
    </xf>
    <xf numFmtId="0" fontId="57" fillId="0" borderId="104" xfId="144" applyFont="1" applyBorder="1" applyAlignment="1">
      <alignment horizontal="center"/>
    </xf>
    <xf numFmtId="0" fontId="57" fillId="0" borderId="102" xfId="144" applyFont="1" applyBorder="1" applyAlignment="1">
      <alignment horizontal="center" vertical="center" wrapText="1"/>
    </xf>
    <xf numFmtId="0" fontId="57" fillId="0" borderId="87" xfId="144" applyFont="1" applyBorder="1" applyAlignment="1">
      <alignment horizontal="center" vertical="center" wrapText="1"/>
    </xf>
    <xf numFmtId="0" fontId="57" fillId="0" borderId="110" xfId="144" applyFont="1" applyBorder="1" applyAlignment="1">
      <alignment horizontal="center"/>
    </xf>
    <xf numFmtId="0" fontId="57" fillId="0" borderId="109" xfId="144" applyFont="1" applyBorder="1" applyAlignment="1">
      <alignment horizontal="center"/>
    </xf>
    <xf numFmtId="0" fontId="57" fillId="0" borderId="134" xfId="144" applyFont="1" applyBorder="1" applyAlignment="1">
      <alignment horizontal="center"/>
    </xf>
    <xf numFmtId="0" fontId="57" fillId="0" borderId="102" xfId="144" applyFont="1" applyBorder="1" applyAlignment="1">
      <alignment horizontal="center" vertical="center"/>
    </xf>
    <xf numFmtId="0" fontId="57" fillId="0" borderId="87" xfId="144" applyFont="1" applyBorder="1" applyAlignment="1">
      <alignment horizontal="center" vertical="center"/>
    </xf>
    <xf numFmtId="0" fontId="57" fillId="0" borderId="104" xfId="144" applyFont="1" applyBorder="1" applyAlignment="1">
      <alignment horizontal="center" vertical="center"/>
    </xf>
    <xf numFmtId="0" fontId="57" fillId="0" borderId="110" xfId="144" applyFont="1" applyBorder="1" applyAlignment="1">
      <alignment horizontal="center" vertical="center"/>
    </xf>
    <xf numFmtId="0" fontId="57" fillId="0" borderId="109" xfId="144" applyFont="1" applyBorder="1" applyAlignment="1">
      <alignment horizontal="center" vertical="center"/>
    </xf>
    <xf numFmtId="17" fontId="4" fillId="0" borderId="130" xfId="144" applyNumberFormat="1" applyBorder="1" applyAlignment="1">
      <alignment horizontal="center" vertical="center"/>
    </xf>
    <xf numFmtId="0" fontId="57" fillId="32" borderId="102" xfId="144" applyFont="1" applyFill="1" applyBorder="1" applyAlignment="1">
      <alignment horizontal="center"/>
    </xf>
    <xf numFmtId="0" fontId="57" fillId="32" borderId="87" xfId="144" applyFont="1" applyFill="1" applyBorder="1" applyAlignment="1">
      <alignment horizontal="center"/>
    </xf>
    <xf numFmtId="0" fontId="57" fillId="32" borderId="104" xfId="144" applyFont="1" applyFill="1" applyBorder="1" applyAlignment="1">
      <alignment horizontal="center"/>
    </xf>
    <xf numFmtId="0" fontId="57" fillId="32" borderId="116" xfId="144" applyFont="1" applyFill="1" applyBorder="1" applyAlignment="1">
      <alignment horizontal="center"/>
    </xf>
    <xf numFmtId="0" fontId="57" fillId="32" borderId="98" xfId="144" applyFont="1" applyFill="1" applyBorder="1" applyAlignment="1">
      <alignment horizontal="center"/>
    </xf>
    <xf numFmtId="0" fontId="57" fillId="32" borderId="99" xfId="144" applyFont="1" applyFill="1" applyBorder="1" applyAlignment="1">
      <alignment horizontal="center"/>
    </xf>
    <xf numFmtId="17" fontId="57" fillId="0" borderId="110" xfId="144" applyNumberFormat="1" applyFont="1" applyBorder="1" applyAlignment="1">
      <alignment horizontal="center"/>
    </xf>
    <xf numFmtId="17" fontId="57" fillId="0" borderId="109" xfId="144" applyNumberFormat="1" applyFont="1" applyBorder="1" applyAlignment="1">
      <alignment horizontal="center"/>
    </xf>
    <xf numFmtId="17" fontId="57" fillId="0" borderId="134" xfId="144" applyNumberFormat="1" applyFont="1" applyBorder="1" applyAlignment="1">
      <alignment horizontal="center"/>
    </xf>
    <xf numFmtId="17" fontId="57" fillId="0" borderId="110" xfId="144" applyNumberFormat="1" applyFont="1" applyBorder="1" applyAlignment="1">
      <alignment horizontal="center" vertical="center"/>
    </xf>
    <xf numFmtId="17" fontId="57" fillId="0" borderId="109" xfId="144" applyNumberFormat="1" applyFont="1" applyBorder="1" applyAlignment="1">
      <alignment horizontal="center" vertical="center"/>
    </xf>
    <xf numFmtId="17" fontId="57" fillId="0" borderId="134" xfId="144" applyNumberFormat="1" applyFont="1" applyBorder="1" applyAlignment="1">
      <alignment horizontal="center" vertical="center"/>
    </xf>
    <xf numFmtId="0" fontId="57" fillId="32" borderId="159" xfId="144" applyFont="1" applyFill="1" applyBorder="1" applyAlignment="1">
      <alignment horizontal="center"/>
    </xf>
    <xf numFmtId="0" fontId="57" fillId="32" borderId="152" xfId="144" applyFont="1" applyFill="1" applyBorder="1" applyAlignment="1">
      <alignment horizontal="center"/>
    </xf>
    <xf numFmtId="0" fontId="57" fillId="32" borderId="141" xfId="144" applyFont="1" applyFill="1" applyBorder="1" applyAlignment="1">
      <alignment horizontal="center"/>
    </xf>
    <xf numFmtId="0" fontId="57" fillId="32" borderId="142" xfId="144" applyFont="1" applyFill="1" applyBorder="1" applyAlignment="1">
      <alignment horizontal="center"/>
    </xf>
    <xf numFmtId="0" fontId="57" fillId="32" borderId="143" xfId="144" applyFont="1" applyFill="1" applyBorder="1" applyAlignment="1">
      <alignment horizontal="center"/>
    </xf>
    <xf numFmtId="0" fontId="57" fillId="32" borderId="144" xfId="144" applyFont="1" applyFill="1" applyBorder="1" applyAlignment="1">
      <alignment horizontal="center"/>
    </xf>
    <xf numFmtId="0" fontId="59" fillId="0" borderId="90" xfId="139" applyFont="1" applyFill="1" applyBorder="1" applyAlignment="1">
      <alignment horizontal="center" vertical="center"/>
    </xf>
    <xf numFmtId="0" fontId="59" fillId="0" borderId="4" xfId="139" applyFont="1" applyFill="1" applyBorder="1" applyAlignment="1">
      <alignment horizontal="center" vertical="center"/>
    </xf>
    <xf numFmtId="0" fontId="59" fillId="0" borderId="92" xfId="139" applyFont="1" applyFill="1" applyBorder="1" applyAlignment="1">
      <alignment horizontal="center" vertical="center"/>
    </xf>
    <xf numFmtId="0" fontId="59" fillId="0" borderId="102" xfId="139" applyFont="1" applyFill="1" applyBorder="1" applyAlignment="1">
      <alignment horizontal="center" vertical="center"/>
    </xf>
    <xf numFmtId="0" fontId="59" fillId="0" borderId="87" xfId="139" applyFont="1" applyFill="1" applyBorder="1" applyAlignment="1">
      <alignment horizontal="center" vertical="center"/>
    </xf>
    <xf numFmtId="0" fontId="59" fillId="0" borderId="104" xfId="139" applyFont="1" applyFill="1" applyBorder="1" applyAlignment="1">
      <alignment horizontal="center" vertical="center"/>
    </xf>
    <xf numFmtId="0" fontId="58" fillId="0" borderId="90" xfId="139" applyFont="1" applyFill="1" applyBorder="1" applyAlignment="1">
      <alignment horizontal="center" vertical="center"/>
    </xf>
    <xf numFmtId="0" fontId="58" fillId="0" borderId="102" xfId="139" applyFont="1" applyFill="1" applyBorder="1" applyAlignment="1">
      <alignment horizontal="center" vertical="center"/>
    </xf>
    <xf numFmtId="0" fontId="58" fillId="0" borderId="113" xfId="139" applyFont="1" applyFill="1" applyBorder="1" applyAlignment="1">
      <alignment horizontal="center" vertical="center"/>
    </xf>
    <xf numFmtId="0" fontId="58" fillId="0" borderId="4" xfId="139" applyFont="1" applyFill="1" applyBorder="1" applyAlignment="1">
      <alignment horizontal="center" vertical="center" wrapText="1"/>
    </xf>
    <xf numFmtId="0" fontId="58" fillId="0" borderId="87" xfId="139" applyFont="1" applyFill="1" applyBorder="1" applyAlignment="1">
      <alignment horizontal="center" vertical="center" wrapText="1"/>
    </xf>
    <xf numFmtId="0" fontId="58" fillId="0" borderId="114" xfId="139" applyFont="1" applyFill="1" applyBorder="1" applyAlignment="1">
      <alignment horizontal="center" vertical="center" wrapText="1"/>
    </xf>
    <xf numFmtId="0" fontId="58" fillId="0" borderId="91" xfId="139" applyFont="1" applyFill="1" applyBorder="1" applyAlignment="1">
      <alignment horizontal="center" vertical="center"/>
    </xf>
    <xf numFmtId="0" fontId="58" fillId="0" borderId="103" xfId="139" applyFont="1" applyFill="1" applyBorder="1" applyAlignment="1">
      <alignment horizontal="center" vertical="center"/>
    </xf>
    <xf numFmtId="0" fontId="58" fillId="0" borderId="115" xfId="139" applyFont="1" applyFill="1" applyBorder="1" applyAlignment="1">
      <alignment horizontal="center" vertical="center"/>
    </xf>
    <xf numFmtId="0" fontId="59" fillId="0" borderId="104" xfId="139" applyFont="1" applyFill="1" applyBorder="1" applyAlignment="1">
      <alignment horizontal="center" vertical="center" wrapText="1"/>
    </xf>
    <xf numFmtId="0" fontId="59" fillId="0" borderId="116" xfId="139" applyFont="1" applyFill="1" applyBorder="1" applyAlignment="1">
      <alignment horizontal="center" vertical="center" wrapText="1"/>
    </xf>
    <xf numFmtId="0" fontId="59" fillId="0" borderId="94" xfId="139" applyFont="1" applyFill="1" applyBorder="1" applyAlignment="1">
      <alignment horizontal="center" vertical="center"/>
    </xf>
    <xf numFmtId="0" fontId="59" fillId="0" borderId="95" xfId="139" applyFont="1" applyFill="1" applyBorder="1" applyAlignment="1">
      <alignment horizontal="center" vertical="center"/>
    </xf>
    <xf numFmtId="0" fontId="59" fillId="0" borderId="96" xfId="139" applyFont="1" applyFill="1" applyBorder="1" applyAlignment="1">
      <alignment horizontal="center" vertical="center"/>
    </xf>
    <xf numFmtId="0" fontId="59" fillId="0" borderId="106" xfId="139" applyFont="1" applyFill="1" applyBorder="1" applyAlignment="1">
      <alignment horizontal="center" vertical="center"/>
    </xf>
    <xf numFmtId="0" fontId="59" fillId="0" borderId="107" xfId="139" applyFont="1" applyFill="1" applyBorder="1" applyAlignment="1">
      <alignment horizontal="center" vertical="center"/>
    </xf>
    <xf numFmtId="0" fontId="59" fillId="0" borderId="108" xfId="139" applyFont="1" applyFill="1" applyBorder="1" applyAlignment="1">
      <alignment horizontal="center" vertical="center"/>
    </xf>
    <xf numFmtId="0" fontId="59" fillId="0" borderId="116" xfId="139" applyFont="1" applyFill="1" applyBorder="1" applyAlignment="1">
      <alignment horizontal="center" vertical="center"/>
    </xf>
    <xf numFmtId="0" fontId="59" fillId="0" borderId="110" xfId="139" applyFont="1" applyFill="1" applyBorder="1" applyAlignment="1">
      <alignment horizontal="center" vertical="center" wrapText="1"/>
    </xf>
    <xf numFmtId="0" fontId="59" fillId="0" borderId="89" xfId="139" applyFont="1" applyFill="1" applyBorder="1" applyAlignment="1">
      <alignment horizontal="center" vertical="center" wrapText="1"/>
    </xf>
    <xf numFmtId="0" fontId="59" fillId="0" borderId="109" xfId="139" applyFont="1" applyFill="1" applyBorder="1" applyAlignment="1">
      <alignment horizontal="center" vertical="center" wrapText="1"/>
    </xf>
    <xf numFmtId="0" fontId="60" fillId="0" borderId="93" xfId="139" applyFont="1" applyFill="1" applyBorder="1" applyAlignment="1">
      <alignment horizontal="center" vertical="center" wrapText="1"/>
    </xf>
    <xf numFmtId="0" fontId="60" fillId="0" borderId="105" xfId="139" applyFont="1" applyFill="1" applyBorder="1" applyAlignment="1">
      <alignment horizontal="center" vertical="center" wrapText="1"/>
    </xf>
    <xf numFmtId="0" fontId="60" fillId="0" borderId="117" xfId="139" applyFont="1" applyFill="1" applyBorder="1" applyAlignment="1">
      <alignment horizontal="center" vertical="center" wrapText="1"/>
    </xf>
    <xf numFmtId="0" fontId="59" fillId="0" borderId="98" xfId="139" applyFont="1" applyFill="1" applyBorder="1" applyAlignment="1">
      <alignment horizontal="center" vertical="center"/>
    </xf>
    <xf numFmtId="0" fontId="59" fillId="0" borderId="100" xfId="139" applyFont="1" applyFill="1" applyBorder="1" applyAlignment="1">
      <alignment horizontal="center" vertical="center"/>
    </xf>
    <xf numFmtId="0" fontId="59" fillId="0" borderId="99" xfId="139" applyFont="1" applyFill="1" applyBorder="1" applyAlignment="1">
      <alignment horizontal="center" vertical="center"/>
    </xf>
    <xf numFmtId="0" fontId="60" fillId="0" borderId="97" xfId="139" applyFont="1" applyFill="1" applyBorder="1" applyAlignment="1">
      <alignment horizontal="center" vertical="center" wrapText="1"/>
    </xf>
    <xf numFmtId="0" fontId="59" fillId="0" borderId="101" xfId="139" applyFont="1" applyFill="1" applyBorder="1" applyAlignment="1">
      <alignment horizontal="center" vertical="center"/>
    </xf>
    <xf numFmtId="0" fontId="59" fillId="0" borderId="109" xfId="139" applyFont="1" applyFill="1" applyBorder="1" applyAlignment="1">
      <alignment horizontal="center" vertical="center"/>
    </xf>
    <xf numFmtId="0" fontId="59" fillId="0" borderId="110" xfId="139" applyFont="1" applyFill="1" applyBorder="1" applyAlignment="1">
      <alignment horizontal="center" vertical="center"/>
    </xf>
    <xf numFmtId="0" fontId="59" fillId="0" borderId="89" xfId="139" applyFont="1" applyFill="1" applyBorder="1" applyAlignment="1">
      <alignment horizontal="center" vertical="center"/>
    </xf>
    <xf numFmtId="0" fontId="61" fillId="25" borderId="97" xfId="139" applyFont="1" applyFill="1" applyBorder="1" applyAlignment="1">
      <alignment horizontal="center" vertical="center" wrapText="1"/>
    </xf>
    <xf numFmtId="0" fontId="61" fillId="25" borderId="105" xfId="139" applyFont="1" applyFill="1" applyBorder="1" applyAlignment="1">
      <alignment horizontal="center" vertical="center" wrapText="1"/>
    </xf>
    <xf numFmtId="0" fontId="61" fillId="25" borderId="117" xfId="139" applyFont="1" applyFill="1" applyBorder="1" applyAlignment="1">
      <alignment horizontal="center" vertical="center" wrapText="1"/>
    </xf>
    <xf numFmtId="0" fontId="59" fillId="0" borderId="111" xfId="139" applyFont="1" applyFill="1" applyBorder="1" applyAlignment="1">
      <alignment horizontal="center" vertical="center"/>
    </xf>
    <xf numFmtId="0" fontId="59" fillId="0" borderId="112" xfId="139" applyFont="1" applyFill="1" applyBorder="1" applyAlignment="1">
      <alignment horizontal="center" vertical="center"/>
    </xf>
    <xf numFmtId="0" fontId="59" fillId="0" borderId="118" xfId="139" applyFont="1" applyFill="1" applyBorder="1" applyAlignment="1">
      <alignment horizontal="center" vertical="center"/>
    </xf>
    <xf numFmtId="0" fontId="57" fillId="32" borderId="113" xfId="140" applyFont="1" applyFill="1" applyBorder="1" applyAlignment="1">
      <alignment horizontal="center"/>
    </xf>
    <xf numFmtId="0" fontId="57" fillId="32" borderId="114" xfId="140" applyFont="1" applyFill="1" applyBorder="1" applyAlignment="1">
      <alignment horizontal="center"/>
    </xf>
    <xf numFmtId="0" fontId="57" fillId="0" borderId="98" xfId="140" applyFont="1" applyBorder="1" applyAlignment="1">
      <alignment horizontal="center" vertical="center"/>
    </xf>
    <xf numFmtId="0" fontId="57" fillId="0" borderId="4" xfId="140" applyFont="1" applyBorder="1" applyAlignment="1">
      <alignment horizontal="center" vertical="center"/>
    </xf>
    <xf numFmtId="0" fontId="57" fillId="0" borderId="100" xfId="140" applyFont="1" applyBorder="1" applyAlignment="1">
      <alignment horizontal="center" vertical="center"/>
    </xf>
    <xf numFmtId="0" fontId="67" fillId="38" borderId="100" xfId="140" applyFont="1" applyFill="1" applyBorder="1" applyAlignment="1">
      <alignment horizontal="center" vertical="center" textRotation="90"/>
    </xf>
    <xf numFmtId="0" fontId="67" fillId="38" borderId="104" xfId="140" applyFont="1" applyFill="1" applyBorder="1" applyAlignment="1">
      <alignment horizontal="center" vertical="center" textRotation="90"/>
    </xf>
    <xf numFmtId="0" fontId="67" fillId="38" borderId="116" xfId="140" applyFont="1" applyFill="1" applyBorder="1" applyAlignment="1">
      <alignment horizontal="center" vertical="center" textRotation="90"/>
    </xf>
    <xf numFmtId="0" fontId="57" fillId="0" borderId="102" xfId="140" applyFont="1" applyBorder="1" applyAlignment="1">
      <alignment horizontal="center"/>
    </xf>
    <xf numFmtId="0" fontId="57" fillId="0" borderId="87" xfId="140" applyFont="1" applyBorder="1" applyAlignment="1">
      <alignment horizontal="center"/>
    </xf>
    <xf numFmtId="0" fontId="57" fillId="0" borderId="104" xfId="140" applyFont="1" applyBorder="1" applyAlignment="1">
      <alignment horizontal="center"/>
    </xf>
    <xf numFmtId="0" fontId="57" fillId="0" borderId="102" xfId="140" applyFont="1" applyBorder="1" applyAlignment="1">
      <alignment horizontal="center" vertical="center" wrapText="1"/>
    </xf>
    <xf numFmtId="0" fontId="57" fillId="0" borderId="87" xfId="140" applyFont="1" applyBorder="1" applyAlignment="1">
      <alignment horizontal="center" vertical="center" wrapText="1"/>
    </xf>
    <xf numFmtId="0" fontId="57" fillId="0" borderId="110" xfId="140" applyFont="1" applyBorder="1" applyAlignment="1">
      <alignment horizontal="center"/>
    </xf>
    <xf numFmtId="0" fontId="57" fillId="0" borderId="109" xfId="140" applyFont="1" applyBorder="1" applyAlignment="1">
      <alignment horizontal="center"/>
    </xf>
    <xf numFmtId="0" fontId="57" fillId="0" borderId="134" xfId="140" applyFont="1" applyBorder="1" applyAlignment="1">
      <alignment horizontal="center"/>
    </xf>
    <xf numFmtId="0" fontId="57" fillId="0" borderId="102" xfId="140" applyFont="1" applyBorder="1" applyAlignment="1">
      <alignment horizontal="center" vertical="center"/>
    </xf>
    <xf numFmtId="0" fontId="57" fillId="0" borderId="87" xfId="140" applyFont="1" applyBorder="1" applyAlignment="1">
      <alignment horizontal="center" vertical="center"/>
    </xf>
    <xf numFmtId="0" fontId="57" fillId="0" borderId="104" xfId="140" applyFont="1" applyBorder="1" applyAlignment="1">
      <alignment horizontal="center" vertical="center"/>
    </xf>
    <xf numFmtId="0" fontId="57" fillId="0" borderId="110" xfId="140" applyFont="1" applyBorder="1" applyAlignment="1">
      <alignment horizontal="center" vertical="center"/>
    </xf>
    <xf numFmtId="0" fontId="57" fillId="0" borderId="109" xfId="140" applyFont="1" applyBorder="1" applyAlignment="1">
      <alignment horizontal="center" vertical="center"/>
    </xf>
    <xf numFmtId="17" fontId="5" fillId="0" borderId="130" xfId="140" applyNumberFormat="1" applyBorder="1" applyAlignment="1">
      <alignment horizontal="center" vertical="center"/>
    </xf>
    <xf numFmtId="0" fontId="57" fillId="32" borderId="102" xfId="140" applyFont="1" applyFill="1" applyBorder="1" applyAlignment="1">
      <alignment horizontal="center"/>
    </xf>
    <xf numFmtId="0" fontId="57" fillId="32" borderId="87" xfId="140" applyFont="1" applyFill="1" applyBorder="1" applyAlignment="1">
      <alignment horizontal="center"/>
    </xf>
    <xf numFmtId="0" fontId="57" fillId="32" borderId="104" xfId="140" applyFont="1" applyFill="1" applyBorder="1" applyAlignment="1">
      <alignment horizontal="center"/>
    </xf>
    <xf numFmtId="0" fontId="57" fillId="32" borderId="116" xfId="140" applyFont="1" applyFill="1" applyBorder="1" applyAlignment="1">
      <alignment horizontal="center"/>
    </xf>
    <xf numFmtId="0" fontId="57" fillId="32" borderId="98" xfId="140" applyFont="1" applyFill="1" applyBorder="1" applyAlignment="1">
      <alignment horizontal="center"/>
    </xf>
    <xf numFmtId="0" fontId="57" fillId="32" borderId="4" xfId="140" applyFont="1" applyFill="1" applyBorder="1" applyAlignment="1">
      <alignment horizontal="center"/>
    </xf>
    <xf numFmtId="0" fontId="57" fillId="35" borderId="102" xfId="140" applyFont="1" applyFill="1" applyBorder="1" applyAlignment="1">
      <alignment horizontal="center" vertical="center" wrapText="1"/>
    </xf>
    <xf numFmtId="0" fontId="57" fillId="35" borderId="102" xfId="140" applyFont="1" applyFill="1" applyBorder="1" applyAlignment="1">
      <alignment horizontal="center" vertical="center" textRotation="90" wrapText="1"/>
    </xf>
    <xf numFmtId="0" fontId="57" fillId="35" borderId="113" xfId="140" applyFont="1" applyFill="1" applyBorder="1" applyAlignment="1">
      <alignment horizontal="center" vertical="center" textRotation="90" wrapText="1"/>
    </xf>
    <xf numFmtId="0" fontId="57" fillId="35" borderId="129" xfId="140" applyFont="1" applyFill="1" applyBorder="1" applyAlignment="1">
      <alignment horizontal="center" vertical="center" textRotation="90" wrapText="1"/>
    </xf>
    <xf numFmtId="0" fontId="57" fillId="35" borderId="139" xfId="140" applyFont="1" applyFill="1" applyBorder="1" applyAlignment="1">
      <alignment horizontal="center" vertical="center" textRotation="90" wrapText="1"/>
    </xf>
    <xf numFmtId="0" fontId="57" fillId="35" borderId="140" xfId="140" applyFont="1" applyFill="1" applyBorder="1" applyAlignment="1">
      <alignment horizontal="center" vertical="center" textRotation="90" wrapText="1"/>
    </xf>
    <xf numFmtId="17" fontId="57" fillId="0" borderId="110" xfId="140" applyNumberFormat="1" applyFont="1" applyBorder="1" applyAlignment="1">
      <alignment horizontal="center"/>
    </xf>
    <xf numFmtId="17" fontId="57" fillId="0" borderId="109" xfId="140" applyNumberFormat="1" applyFont="1" applyBorder="1" applyAlignment="1">
      <alignment horizontal="center"/>
    </xf>
    <xf numFmtId="17" fontId="57" fillId="0" borderId="134" xfId="140" applyNumberFormat="1" applyFont="1" applyBorder="1" applyAlignment="1">
      <alignment horizontal="center"/>
    </xf>
    <xf numFmtId="17" fontId="57" fillId="0" borderId="110" xfId="140" applyNumberFormat="1" applyFont="1" applyBorder="1" applyAlignment="1">
      <alignment horizontal="center" vertical="center"/>
    </xf>
    <xf numFmtId="17" fontId="57" fillId="0" borderId="109" xfId="140" applyNumberFormat="1" applyFont="1" applyBorder="1" applyAlignment="1">
      <alignment horizontal="center" vertical="center"/>
    </xf>
    <xf numFmtId="17" fontId="57" fillId="0" borderId="134" xfId="140" applyNumberFormat="1" applyFont="1" applyBorder="1" applyAlignment="1">
      <alignment horizontal="center" vertical="center"/>
    </xf>
    <xf numFmtId="0" fontId="57" fillId="32" borderId="138" xfId="140" applyFont="1" applyFill="1" applyBorder="1" applyAlignment="1">
      <alignment horizontal="center"/>
    </xf>
    <xf numFmtId="0" fontId="57" fillId="32" borderId="101" xfId="140" applyFont="1" applyFill="1" applyBorder="1" applyAlignment="1">
      <alignment horizontal="center"/>
    </xf>
    <xf numFmtId="0" fontId="57" fillId="32" borderId="141" xfId="140" applyFont="1" applyFill="1" applyBorder="1" applyAlignment="1">
      <alignment horizontal="center"/>
    </xf>
    <xf numFmtId="0" fontId="57" fillId="32" borderId="142" xfId="140" applyFont="1" applyFill="1" applyBorder="1" applyAlignment="1">
      <alignment horizontal="center"/>
    </xf>
    <xf numFmtId="0" fontId="57" fillId="32" borderId="143" xfId="140" applyFont="1" applyFill="1" applyBorder="1" applyAlignment="1">
      <alignment horizontal="center"/>
    </xf>
    <xf numFmtId="0" fontId="57" fillId="32" borderId="144" xfId="140" applyFont="1" applyFill="1" applyBorder="1" applyAlignment="1">
      <alignment horizontal="center"/>
    </xf>
    <xf numFmtId="0" fontId="5" fillId="0" borderId="0" xfId="140" applyAlignment="1">
      <alignment horizontal="center" vertical="center"/>
    </xf>
    <xf numFmtId="0" fontId="5" fillId="0" borderId="0" xfId="140" applyAlignment="1">
      <alignment horizontal="center" vertical="center" wrapText="1"/>
    </xf>
    <xf numFmtId="0" fontId="5" fillId="0" borderId="34" xfId="140" applyBorder="1" applyAlignment="1">
      <alignment horizontal="center" vertical="center"/>
    </xf>
    <xf numFmtId="0" fontId="35" fillId="0" borderId="16" xfId="74" applyFont="1" applyFill="1" applyBorder="1" applyAlignment="1">
      <alignment horizontal="center" vertical="center" wrapText="1"/>
    </xf>
    <xf numFmtId="0" fontId="35" fillId="0" borderId="18" xfId="74" applyFont="1" applyFill="1" applyBorder="1" applyAlignment="1">
      <alignment horizontal="center" vertical="center" wrapText="1"/>
    </xf>
    <xf numFmtId="0" fontId="42" fillId="0" borderId="11" xfId="0" applyFont="1" applyFill="1" applyBorder="1" applyAlignment="1">
      <alignment horizontal="left" vertical="center"/>
    </xf>
    <xf numFmtId="0" fontId="42" fillId="0" borderId="12" xfId="0" applyFont="1" applyFill="1" applyBorder="1" applyAlignment="1">
      <alignment horizontal="left" vertical="center"/>
    </xf>
    <xf numFmtId="0" fontId="42" fillId="0" borderId="13" xfId="0" applyFont="1" applyFill="1" applyBorder="1" applyAlignment="1">
      <alignment horizontal="left" vertical="center"/>
    </xf>
    <xf numFmtId="0" fontId="42" fillId="0" borderId="14" xfId="0" applyFont="1" applyFill="1" applyBorder="1" applyAlignment="1">
      <alignment horizontal="left" vertical="center"/>
    </xf>
    <xf numFmtId="0" fontId="42" fillId="0" borderId="0" xfId="0" applyFont="1" applyFill="1" applyBorder="1" applyAlignment="1">
      <alignment horizontal="left" vertical="center"/>
    </xf>
    <xf numFmtId="0" fontId="42" fillId="0" borderId="15" xfId="0" applyFont="1" applyFill="1" applyBorder="1" applyAlignment="1">
      <alignment horizontal="left" vertical="center"/>
    </xf>
    <xf numFmtId="0" fontId="42" fillId="0" borderId="16" xfId="0" applyFont="1" applyFill="1" applyBorder="1" applyAlignment="1">
      <alignment horizontal="left" vertical="center"/>
    </xf>
    <xf numFmtId="0" fontId="42" fillId="0" borderId="17" xfId="0" applyFont="1" applyFill="1" applyBorder="1" applyAlignment="1">
      <alignment horizontal="left" vertical="center"/>
    </xf>
    <xf numFmtId="0" fontId="42" fillId="0" borderId="18" xfId="0" applyFont="1" applyFill="1" applyBorder="1" applyAlignment="1">
      <alignment horizontal="left" vertical="center"/>
    </xf>
    <xf numFmtId="0" fontId="45" fillId="0" borderId="79" xfId="33" applyFont="1" applyFill="1" applyBorder="1" applyAlignment="1" applyProtection="1">
      <alignment horizontal="center"/>
    </xf>
    <xf numFmtId="0" fontId="45" fillId="0" borderId="83" xfId="33" applyFont="1" applyFill="1" applyBorder="1" applyAlignment="1" applyProtection="1">
      <alignment horizontal="center"/>
    </xf>
    <xf numFmtId="0" fontId="46" fillId="0" borderId="84" xfId="0" applyFont="1" applyFill="1" applyBorder="1" applyAlignment="1">
      <alignment horizontal="center"/>
    </xf>
    <xf numFmtId="0" fontId="46" fillId="0" borderId="12" xfId="0" applyFont="1" applyFill="1" applyBorder="1" applyAlignment="1">
      <alignment horizontal="center"/>
    </xf>
    <xf numFmtId="0" fontId="46" fillId="0" borderId="43" xfId="0" applyFont="1" applyFill="1" applyBorder="1" applyAlignment="1">
      <alignment horizontal="center"/>
    </xf>
    <xf numFmtId="0" fontId="44" fillId="0" borderId="39" xfId="95" applyFont="1" applyFill="1" applyBorder="1" applyAlignment="1">
      <alignment horizontal="center" vertical="center"/>
    </xf>
    <xf numFmtId="0" fontId="44" fillId="0" borderId="21" xfId="95" applyFont="1" applyFill="1" applyBorder="1" applyAlignment="1">
      <alignment horizontal="center" vertical="center"/>
    </xf>
    <xf numFmtId="0" fontId="44" fillId="0" borderId="84" xfId="95" applyFont="1" applyFill="1" applyBorder="1" applyAlignment="1">
      <alignment horizontal="center" vertical="center"/>
    </xf>
    <xf numFmtId="0" fontId="44" fillId="0" borderId="12" xfId="95" applyFont="1" applyFill="1" applyBorder="1" applyAlignment="1">
      <alignment horizontal="center" vertical="center"/>
    </xf>
    <xf numFmtId="0" fontId="44" fillId="0" borderId="13" xfId="95" applyFont="1" applyFill="1" applyBorder="1" applyAlignment="1">
      <alignment horizontal="center" vertical="center"/>
    </xf>
    <xf numFmtId="0" fontId="44" fillId="0" borderId="78" xfId="95" applyFont="1" applyFill="1" applyBorder="1" applyAlignment="1">
      <alignment horizontal="center" vertical="center"/>
    </xf>
    <xf numFmtId="0" fontId="44" fillId="0" borderId="34" xfId="95" applyFont="1" applyFill="1" applyBorder="1" applyAlignment="1">
      <alignment horizontal="center" vertical="center"/>
    </xf>
    <xf numFmtId="0" fontId="44" fillId="0" borderId="63" xfId="95" applyFont="1" applyFill="1" applyBorder="1" applyAlignment="1">
      <alignment horizontal="center" vertical="center"/>
    </xf>
    <xf numFmtId="0" fontId="43" fillId="0" borderId="70" xfId="0" applyFont="1" applyFill="1" applyBorder="1" applyAlignment="1">
      <alignment horizontal="center"/>
    </xf>
    <xf numFmtId="0" fontId="43" fillId="0" borderId="0" xfId="0" applyFont="1" applyFill="1" applyBorder="1" applyAlignment="1">
      <alignment horizontal="center"/>
    </xf>
    <xf numFmtId="0" fontId="43" fillId="0" borderId="71" xfId="0" applyFont="1" applyFill="1" applyBorder="1" applyAlignment="1">
      <alignment horizontal="center"/>
    </xf>
    <xf numFmtId="0" fontId="42" fillId="0" borderId="70" xfId="0" applyFont="1" applyFill="1" applyBorder="1" applyAlignment="1">
      <alignment horizontal="center"/>
    </xf>
    <xf numFmtId="0" fontId="42" fillId="0" borderId="0" xfId="0" applyFont="1" applyFill="1" applyBorder="1" applyAlignment="1">
      <alignment horizontal="center"/>
    </xf>
    <xf numFmtId="0" fontId="42" fillId="0" borderId="71" xfId="0" applyFont="1" applyFill="1" applyBorder="1" applyAlignment="1">
      <alignment horizontal="center"/>
    </xf>
    <xf numFmtId="0" fontId="44" fillId="0" borderId="23" xfId="95" applyFont="1" applyFill="1" applyBorder="1" applyAlignment="1">
      <alignment horizontal="center" vertical="center"/>
    </xf>
    <xf numFmtId="0" fontId="44" fillId="0" borderId="35" xfId="0" applyFont="1" applyFill="1" applyBorder="1" applyAlignment="1">
      <alignment horizontal="center" vertical="center"/>
    </xf>
    <xf numFmtId="0" fontId="44" fillId="0" borderId="31" xfId="95" applyFont="1" applyFill="1" applyBorder="1" applyAlignment="1">
      <alignment horizontal="center" vertical="center"/>
    </xf>
    <xf numFmtId="0" fontId="44" fillId="0" borderId="66" xfId="95" applyFont="1" applyFill="1" applyBorder="1" applyAlignment="1">
      <alignment horizontal="center" vertical="center"/>
    </xf>
    <xf numFmtId="0" fontId="44" fillId="0" borderId="72" xfId="95" applyFont="1" applyFill="1" applyBorder="1" applyAlignment="1">
      <alignment horizontal="center" vertical="center"/>
    </xf>
    <xf numFmtId="0" fontId="44" fillId="0" borderId="78" xfId="0" applyFont="1" applyFill="1" applyBorder="1" applyAlignment="1">
      <alignment horizontal="center" vertical="center"/>
    </xf>
    <xf numFmtId="0" fontId="44" fillId="0" borderId="34" xfId="0" applyFont="1" applyFill="1" applyBorder="1" applyAlignment="1">
      <alignment horizontal="center" vertical="center"/>
    </xf>
    <xf numFmtId="0" fontId="44" fillId="0" borderId="63" xfId="0" applyFont="1" applyFill="1" applyBorder="1" applyAlignment="1">
      <alignment horizontal="center" vertical="center"/>
    </xf>
    <xf numFmtId="0" fontId="38" fillId="0" borderId="70" xfId="0" applyFont="1" applyFill="1" applyBorder="1" applyAlignment="1">
      <alignment horizontal="center"/>
    </xf>
    <xf numFmtId="0" fontId="38" fillId="0" borderId="0" xfId="0" applyFont="1" applyFill="1" applyBorder="1" applyAlignment="1">
      <alignment horizontal="center"/>
    </xf>
    <xf numFmtId="0" fontId="38" fillId="0" borderId="71" xfId="0" applyFont="1" applyFill="1" applyBorder="1" applyAlignment="1">
      <alignment horizontal="center"/>
    </xf>
    <xf numFmtId="0" fontId="44" fillId="0" borderId="81" xfId="95" applyFont="1" applyFill="1" applyBorder="1" applyAlignment="1">
      <alignment horizontal="center" vertical="center"/>
    </xf>
    <xf numFmtId="0" fontId="44" fillId="0" borderId="56" xfId="95" applyFont="1" applyFill="1" applyBorder="1" applyAlignment="1">
      <alignment horizontal="center" vertical="center"/>
    </xf>
    <xf numFmtId="0" fontId="44" fillId="0" borderId="82" xfId="95" applyFont="1" applyFill="1" applyBorder="1" applyAlignment="1">
      <alignment horizontal="center" vertical="center"/>
    </xf>
    <xf numFmtId="0" fontId="38" fillId="0" borderId="70" xfId="0" applyFont="1" applyFill="1" applyBorder="1" applyAlignment="1">
      <alignment horizontal="center" vertical="center" wrapText="1"/>
    </xf>
    <xf numFmtId="0" fontId="38" fillId="0" borderId="0" xfId="0" applyFont="1" applyFill="1" applyBorder="1" applyAlignment="1">
      <alignment horizontal="center" vertical="center" wrapText="1"/>
    </xf>
    <xf numFmtId="0" fontId="38" fillId="0" borderId="71" xfId="0" applyFont="1" applyFill="1" applyBorder="1" applyAlignment="1">
      <alignment horizontal="center" vertical="center" wrapText="1"/>
    </xf>
    <xf numFmtId="0" fontId="42" fillId="24" borderId="45" xfId="0" applyFont="1" applyFill="1" applyBorder="1" applyAlignment="1">
      <alignment horizontal="center" vertical="center"/>
    </xf>
    <xf numFmtId="0" fontId="42" fillId="24" borderId="36" xfId="0" applyFont="1" applyFill="1" applyBorder="1" applyAlignment="1">
      <alignment horizontal="center" vertical="center"/>
    </xf>
    <xf numFmtId="0" fontId="44" fillId="0" borderId="34" xfId="0" applyFont="1" applyFill="1" applyBorder="1" applyAlignment="1">
      <alignment horizontal="left"/>
    </xf>
    <xf numFmtId="0" fontId="44" fillId="0" borderId="0" xfId="0" applyFont="1" applyFill="1" applyBorder="1" applyAlignment="1">
      <alignment horizontal="center"/>
    </xf>
    <xf numFmtId="0" fontId="44" fillId="0" borderId="15" xfId="0" applyFont="1" applyFill="1" applyBorder="1" applyAlignment="1">
      <alignment horizontal="center"/>
    </xf>
    <xf numFmtId="0" fontId="42" fillId="0" borderId="11" xfId="0" applyFont="1" applyFill="1" applyBorder="1" applyAlignment="1" applyProtection="1">
      <alignment horizontal="center"/>
      <protection locked="0"/>
    </xf>
    <xf numFmtId="0" fontId="42" fillId="0" borderId="12" xfId="0" applyFont="1" applyFill="1" applyBorder="1" applyAlignment="1" applyProtection="1">
      <alignment horizontal="center"/>
      <protection locked="0"/>
    </xf>
    <xf numFmtId="0" fontId="42" fillId="0" borderId="13" xfId="0" applyFont="1" applyFill="1" applyBorder="1" applyAlignment="1" applyProtection="1">
      <alignment horizontal="center"/>
      <protection locked="0"/>
    </xf>
    <xf numFmtId="0" fontId="39" fillId="0" borderId="34" xfId="0" applyFont="1" applyFill="1" applyBorder="1" applyAlignment="1">
      <alignment horizontal="left"/>
    </xf>
    <xf numFmtId="187" fontId="39" fillId="0" borderId="34" xfId="0" applyNumberFormat="1" applyFont="1" applyFill="1" applyBorder="1" applyAlignment="1">
      <alignment horizontal="left"/>
    </xf>
    <xf numFmtId="0" fontId="39" fillId="0" borderId="0" xfId="0" applyFont="1" applyFill="1" applyBorder="1" applyAlignment="1" applyProtection="1">
      <alignment horizontal="left"/>
      <protection locked="0"/>
    </xf>
    <xf numFmtId="0" fontId="39" fillId="0" borderId="0" xfId="0" applyFont="1" applyFill="1" applyBorder="1" applyAlignment="1" applyProtection="1">
      <alignment horizontal="left" vertical="center" wrapText="1"/>
      <protection locked="0"/>
    </xf>
    <xf numFmtId="0" fontId="39" fillId="0" borderId="34" xfId="0" applyFont="1" applyFill="1" applyBorder="1" applyAlignment="1" applyProtection="1">
      <alignment horizontal="left" vertical="center" wrapText="1"/>
      <protection locked="0"/>
    </xf>
    <xf numFmtId="0" fontId="42" fillId="24" borderId="45" xfId="0" applyFont="1" applyFill="1" applyBorder="1" applyAlignment="1">
      <alignment horizontal="center" vertical="center" wrapText="1"/>
    </xf>
    <xf numFmtId="0" fontId="42" fillId="24" borderId="19" xfId="0" applyFont="1" applyFill="1" applyBorder="1" applyAlignment="1">
      <alignment horizontal="center" vertical="center" wrapText="1"/>
    </xf>
    <xf numFmtId="0" fontId="42" fillId="24" borderId="36" xfId="0" applyFont="1" applyFill="1" applyBorder="1" applyAlignment="1">
      <alignment horizontal="center" vertical="center" wrapText="1"/>
    </xf>
    <xf numFmtId="0" fontId="39" fillId="24" borderId="37" xfId="0" applyFont="1" applyFill="1" applyBorder="1" applyAlignment="1">
      <alignment horizontal="center" vertical="center"/>
    </xf>
    <xf numFmtId="0" fontId="39" fillId="24" borderId="62" xfId="0" applyFont="1" applyFill="1" applyBorder="1" applyAlignment="1">
      <alignment horizontal="center" vertical="center"/>
    </xf>
    <xf numFmtId="0" fontId="42" fillId="24" borderId="45" xfId="0" applyFont="1" applyFill="1" applyBorder="1" applyAlignment="1">
      <alignment horizontal="center"/>
    </xf>
    <xf numFmtId="0" fontId="39" fillId="24" borderId="19" xfId="0" applyFont="1" applyFill="1" applyBorder="1" applyAlignment="1">
      <alignment horizontal="center"/>
    </xf>
    <xf numFmtId="0" fontId="39" fillId="24" borderId="20" xfId="0" applyFont="1" applyFill="1" applyBorder="1" applyAlignment="1">
      <alignment horizontal="center"/>
    </xf>
    <xf numFmtId="0" fontId="42" fillId="24" borderId="73" xfId="0" applyFont="1" applyFill="1" applyBorder="1" applyAlignment="1">
      <alignment horizontal="center"/>
    </xf>
    <xf numFmtId="0" fontId="42" fillId="24" borderId="78" xfId="0" applyFont="1" applyFill="1" applyBorder="1" applyAlignment="1">
      <alignment horizontal="center"/>
    </xf>
    <xf numFmtId="0" fontId="42" fillId="24" borderId="77" xfId="0" applyFont="1" applyFill="1" applyBorder="1" applyAlignment="1">
      <alignment horizontal="center"/>
    </xf>
    <xf numFmtId="0" fontId="42" fillId="24" borderId="20" xfId="0" applyFont="1" applyFill="1" applyBorder="1" applyAlignment="1">
      <alignment horizontal="center"/>
    </xf>
    <xf numFmtId="0" fontId="39" fillId="24" borderId="41" xfId="0" applyFont="1" applyFill="1" applyBorder="1" applyAlignment="1">
      <alignment horizontal="center" vertical="center"/>
    </xf>
    <xf numFmtId="0" fontId="39" fillId="0" borderId="37" xfId="0" applyFont="1" applyFill="1" applyBorder="1" applyAlignment="1"/>
    <xf numFmtId="0" fontId="39" fillId="0" borderId="41" xfId="0" applyFont="1" applyFill="1" applyBorder="1" applyAlignment="1"/>
    <xf numFmtId="0" fontId="39" fillId="0" borderId="38" xfId="0" applyFont="1" applyFill="1" applyBorder="1" applyAlignment="1"/>
    <xf numFmtId="0" fontId="39" fillId="0" borderId="25" xfId="0" applyFont="1" applyFill="1" applyBorder="1" applyAlignment="1">
      <alignment horizontal="center"/>
    </xf>
    <xf numFmtId="0" fontId="39" fillId="0" borderId="38" xfId="0" applyFont="1" applyFill="1" applyBorder="1" applyAlignment="1">
      <alignment horizontal="center"/>
    </xf>
    <xf numFmtId="0" fontId="39" fillId="0" borderId="28" xfId="0" applyFont="1" applyFill="1" applyBorder="1" applyAlignment="1"/>
    <xf numFmtId="0" fontId="39" fillId="0" borderId="29" xfId="0" applyFont="1" applyFill="1" applyBorder="1" applyAlignment="1"/>
    <xf numFmtId="0" fontId="39" fillId="0" borderId="30" xfId="0" applyFont="1" applyFill="1" applyBorder="1" applyAlignment="1"/>
    <xf numFmtId="0" fontId="39" fillId="0" borderId="22" xfId="0" applyFont="1" applyFill="1" applyBorder="1" applyAlignment="1"/>
    <xf numFmtId="0" fontId="39" fillId="0" borderId="22" xfId="0" applyFont="1" applyFill="1" applyBorder="1" applyAlignment="1">
      <alignment horizontal="center"/>
    </xf>
    <xf numFmtId="0" fontId="39" fillId="0" borderId="30" xfId="0" applyFont="1" applyFill="1" applyBorder="1" applyAlignment="1">
      <alignment horizontal="center"/>
    </xf>
    <xf numFmtId="0" fontId="39" fillId="0" borderId="25" xfId="0" applyFont="1" applyFill="1" applyBorder="1" applyAlignment="1"/>
    <xf numFmtId="2" fontId="39" fillId="0" borderId="25" xfId="0" applyNumberFormat="1" applyFont="1" applyFill="1" applyBorder="1" applyAlignment="1">
      <alignment horizontal="center"/>
    </xf>
    <xf numFmtId="2" fontId="39" fillId="0" borderId="38" xfId="0" applyNumberFormat="1" applyFont="1" applyFill="1" applyBorder="1" applyAlignment="1">
      <alignment horizontal="center"/>
    </xf>
    <xf numFmtId="0" fontId="42" fillId="0" borderId="59" xfId="0" applyFont="1" applyFill="1" applyBorder="1" applyAlignment="1">
      <alignment horizontal="right"/>
    </xf>
    <xf numFmtId="0" fontId="42" fillId="0" borderId="68" xfId="0" applyFont="1" applyFill="1" applyBorder="1" applyAlignment="1">
      <alignment horizontal="right"/>
    </xf>
    <xf numFmtId="0" fontId="42" fillId="0" borderId="69" xfId="0" applyFont="1" applyFill="1" applyBorder="1" applyAlignment="1">
      <alignment horizontal="right"/>
    </xf>
    <xf numFmtId="0" fontId="42" fillId="24" borderId="19" xfId="0" applyFont="1" applyFill="1" applyBorder="1" applyAlignment="1">
      <alignment horizontal="center"/>
    </xf>
    <xf numFmtId="172" fontId="39" fillId="0" borderId="22" xfId="35" applyFont="1" applyFill="1" applyBorder="1" applyAlignment="1">
      <alignment horizontal="center"/>
    </xf>
    <xf numFmtId="172" fontId="39" fillId="0" borderId="30" xfId="35" applyFont="1" applyFill="1" applyBorder="1" applyAlignment="1">
      <alignment horizontal="center"/>
    </xf>
    <xf numFmtId="0" fontId="38" fillId="24" borderId="59" xfId="0" applyFont="1" applyFill="1" applyBorder="1" applyAlignment="1">
      <alignment horizontal="right"/>
    </xf>
    <xf numFmtId="0" fontId="38" fillId="24" borderId="68" xfId="0" applyFont="1" applyFill="1" applyBorder="1" applyAlignment="1">
      <alignment horizontal="right"/>
    </xf>
    <xf numFmtId="0" fontId="38" fillId="24" borderId="69" xfId="0" applyFont="1" applyFill="1" applyBorder="1" applyAlignment="1">
      <alignment horizontal="right"/>
    </xf>
    <xf numFmtId="0" fontId="42" fillId="24" borderId="73" xfId="0" applyFont="1" applyFill="1" applyBorder="1" applyAlignment="1">
      <alignment horizontal="center" wrapText="1"/>
    </xf>
    <xf numFmtId="0" fontId="42" fillId="24" borderId="20" xfId="0" applyFont="1" applyFill="1" applyBorder="1" applyAlignment="1">
      <alignment horizontal="center" wrapText="1"/>
    </xf>
    <xf numFmtId="2" fontId="39" fillId="0" borderId="22" xfId="0" applyNumberFormat="1" applyFont="1" applyFill="1" applyBorder="1" applyAlignment="1">
      <alignment horizontal="center"/>
    </xf>
    <xf numFmtId="2" fontId="39" fillId="0" borderId="30" xfId="0" applyNumberFormat="1" applyFont="1" applyFill="1" applyBorder="1" applyAlignment="1">
      <alignment horizontal="center"/>
    </xf>
    <xf numFmtId="2" fontId="39" fillId="0" borderId="22" xfId="0" applyNumberFormat="1" applyFont="1" applyFill="1" applyBorder="1" applyAlignment="1">
      <alignment horizontal="center" wrapText="1"/>
    </xf>
    <xf numFmtId="2" fontId="39" fillId="0" borderId="30" xfId="0" applyNumberFormat="1" applyFont="1" applyFill="1" applyBorder="1" applyAlignment="1">
      <alignment horizontal="center" wrapText="1"/>
    </xf>
    <xf numFmtId="0" fontId="49" fillId="0" borderId="0" xfId="0" applyFont="1" applyFill="1" applyBorder="1" applyAlignment="1">
      <alignment horizontal="right"/>
    </xf>
    <xf numFmtId="0" fontId="49" fillId="0" borderId="15" xfId="0" applyFont="1" applyFill="1" applyBorder="1" applyAlignment="1">
      <alignment horizontal="right"/>
    </xf>
    <xf numFmtId="0" fontId="49" fillId="0" borderId="17" xfId="0" applyFont="1" applyFill="1" applyBorder="1" applyAlignment="1">
      <alignment horizontal="right"/>
    </xf>
    <xf numFmtId="0" fontId="49" fillId="0" borderId="18" xfId="0" applyFont="1" applyFill="1" applyBorder="1" applyAlignment="1">
      <alignment horizontal="right"/>
    </xf>
    <xf numFmtId="0" fontId="48" fillId="0" borderId="16" xfId="0" applyFont="1" applyFill="1" applyBorder="1" applyAlignment="1">
      <alignment horizontal="left"/>
    </xf>
    <xf numFmtId="0" fontId="48" fillId="0" borderId="17" xfId="0" applyFont="1" applyFill="1" applyBorder="1" applyAlignment="1">
      <alignment horizontal="left"/>
    </xf>
    <xf numFmtId="0" fontId="10" fillId="0" borderId="14" xfId="0" applyFont="1" applyFill="1" applyBorder="1" applyAlignment="1">
      <alignment horizontal="right" vertical="center"/>
    </xf>
    <xf numFmtId="0" fontId="10" fillId="0" borderId="0" xfId="0" applyFont="1" applyFill="1" applyBorder="1" applyAlignment="1">
      <alignment horizontal="right" vertical="center"/>
    </xf>
    <xf numFmtId="0" fontId="10" fillId="0" borderId="14" xfId="0" applyFont="1" applyFill="1" applyBorder="1" applyAlignment="1">
      <alignment wrapText="1"/>
    </xf>
    <xf numFmtId="0" fontId="10" fillId="0" borderId="0" xfId="0" applyFont="1" applyFill="1" applyBorder="1" applyAlignment="1">
      <alignment wrapText="1"/>
    </xf>
    <xf numFmtId="0" fontId="10" fillId="0" borderId="15" xfId="0" applyFont="1" applyFill="1" applyBorder="1" applyAlignment="1">
      <alignment wrapText="1"/>
    </xf>
    <xf numFmtId="0" fontId="39" fillId="0" borderId="28" xfId="0" applyFont="1" applyFill="1" applyBorder="1" applyAlignment="1">
      <alignment horizontal="center"/>
    </xf>
    <xf numFmtId="0" fontId="39" fillId="0" borderId="29" xfId="0" applyFont="1" applyFill="1" applyBorder="1" applyAlignment="1">
      <alignment horizontal="center"/>
    </xf>
    <xf numFmtId="0" fontId="39" fillId="0" borderId="61" xfId="0" applyFont="1" applyFill="1" applyBorder="1" applyAlignment="1">
      <alignment horizontal="center"/>
    </xf>
    <xf numFmtId="166" fontId="39" fillId="0" borderId="22" xfId="35" applyNumberFormat="1" applyFont="1" applyFill="1" applyBorder="1" applyAlignment="1">
      <alignment horizontal="center"/>
    </xf>
    <xf numFmtId="166" fontId="39" fillId="0" borderId="30" xfId="35" applyNumberFormat="1" applyFont="1" applyFill="1" applyBorder="1" applyAlignment="1">
      <alignment horizontal="center"/>
    </xf>
    <xf numFmtId="166" fontId="39" fillId="0" borderId="25" xfId="35" applyNumberFormat="1" applyFont="1" applyFill="1" applyBorder="1" applyAlignment="1">
      <alignment horizontal="center"/>
    </xf>
    <xf numFmtId="166" fontId="39" fillId="0" borderId="38" xfId="35" applyNumberFormat="1" applyFont="1" applyFill="1" applyBorder="1" applyAlignment="1">
      <alignment horizontal="center"/>
    </xf>
    <xf numFmtId="0" fontId="42" fillId="24" borderId="36" xfId="0" applyFont="1" applyFill="1" applyBorder="1" applyAlignment="1">
      <alignment horizontal="center"/>
    </xf>
    <xf numFmtId="0" fontId="42" fillId="24" borderId="45" xfId="0" applyFont="1" applyFill="1" applyBorder="1" applyAlignment="1">
      <alignment horizontal="center" wrapText="1"/>
    </xf>
    <xf numFmtId="0" fontId="42" fillId="24" borderId="19" xfId="0" applyFont="1" applyFill="1" applyBorder="1" applyAlignment="1">
      <alignment horizontal="center" wrapText="1"/>
    </xf>
    <xf numFmtId="0" fontId="42" fillId="24" borderId="36" xfId="0" applyFont="1" applyFill="1" applyBorder="1" applyAlignment="1">
      <alignment horizontal="center" wrapText="1"/>
    </xf>
    <xf numFmtId="0" fontId="39" fillId="24" borderId="37" xfId="0" applyFont="1" applyFill="1" applyBorder="1" applyAlignment="1">
      <alignment horizontal="center"/>
    </xf>
    <xf numFmtId="0" fontId="39" fillId="24" borderId="62" xfId="0" applyFont="1" applyFill="1" applyBorder="1" applyAlignment="1">
      <alignment horizontal="center"/>
    </xf>
    <xf numFmtId="0" fontId="39" fillId="24" borderId="41" xfId="0" applyFont="1" applyFill="1" applyBorder="1" applyAlignment="1">
      <alignment horizontal="center"/>
    </xf>
    <xf numFmtId="0" fontId="39" fillId="0" borderId="28" xfId="0" applyFont="1" applyFill="1" applyBorder="1" applyAlignment="1">
      <alignment horizontal="left"/>
    </xf>
    <xf numFmtId="0" fontId="39" fillId="0" borderId="29" xfId="0" applyFont="1" applyFill="1" applyBorder="1" applyAlignment="1">
      <alignment horizontal="left"/>
    </xf>
    <xf numFmtId="0" fontId="39" fillId="0" borderId="37" xfId="0" applyFont="1" applyFill="1" applyBorder="1" applyAlignment="1">
      <alignment horizontal="left"/>
    </xf>
    <xf numFmtId="0" fontId="39" fillId="0" borderId="41" xfId="0" applyFont="1" applyFill="1" applyBorder="1" applyAlignment="1">
      <alignment horizontal="left"/>
    </xf>
    <xf numFmtId="0" fontId="39" fillId="0" borderId="38" xfId="0" applyFont="1" applyFill="1" applyBorder="1" applyAlignment="1">
      <alignment horizontal="left"/>
    </xf>
    <xf numFmtId="0" fontId="39" fillId="0" borderId="28" xfId="0" applyFont="1" applyFill="1" applyBorder="1" applyAlignment="1">
      <alignment wrapText="1"/>
    </xf>
    <xf numFmtId="0" fontId="39" fillId="0" borderId="29" xfId="0" applyFont="1" applyFill="1" applyBorder="1" applyAlignment="1">
      <alignment wrapText="1"/>
    </xf>
    <xf numFmtId="0" fontId="39" fillId="0" borderId="30" xfId="0" applyFont="1" applyFill="1" applyBorder="1" applyAlignment="1">
      <alignment wrapText="1"/>
    </xf>
    <xf numFmtId="2" fontId="39" fillId="0" borderId="25" xfId="0" applyNumberFormat="1" applyFont="1" applyFill="1" applyBorder="1" applyAlignment="1">
      <alignment horizontal="right"/>
    </xf>
    <xf numFmtId="2" fontId="39" fillId="0" borderId="38" xfId="0" applyNumberFormat="1" applyFont="1" applyFill="1" applyBorder="1" applyAlignment="1">
      <alignment horizontal="right"/>
    </xf>
    <xf numFmtId="2" fontId="39" fillId="0" borderId="25" xfId="0" applyNumberFormat="1" applyFont="1" applyFill="1" applyBorder="1" applyAlignment="1">
      <alignment horizontal="center" wrapText="1"/>
    </xf>
    <xf numFmtId="2" fontId="39" fillId="0" borderId="38" xfId="0" applyNumberFormat="1" applyFont="1" applyFill="1" applyBorder="1" applyAlignment="1">
      <alignment horizontal="center" wrapText="1"/>
    </xf>
    <xf numFmtId="0" fontId="39" fillId="0" borderId="30" xfId="0" applyFont="1" applyFill="1" applyBorder="1" applyAlignment="1">
      <alignment horizontal="left"/>
    </xf>
    <xf numFmtId="0" fontId="39" fillId="24" borderId="37" xfId="0" applyFont="1" applyFill="1" applyBorder="1" applyAlignment="1">
      <alignment horizontal="center" wrapText="1"/>
    </xf>
    <xf numFmtId="0" fontId="39" fillId="24" borderId="41" xfId="0" applyFont="1" applyFill="1" applyBorder="1" applyAlignment="1">
      <alignment horizontal="center" wrapText="1"/>
    </xf>
    <xf numFmtId="0" fontId="39" fillId="24" borderId="62" xfId="0" applyFont="1" applyFill="1" applyBorder="1" applyAlignment="1">
      <alignment horizontal="center" wrapText="1"/>
    </xf>
    <xf numFmtId="172" fontId="39" fillId="0" borderId="25" xfId="35" applyFont="1" applyFill="1" applyBorder="1" applyAlignment="1">
      <alignment horizontal="center"/>
    </xf>
    <xf numFmtId="172" fontId="39" fillId="0" borderId="38" xfId="35" applyFont="1" applyFill="1" applyBorder="1" applyAlignment="1">
      <alignment horizontal="center"/>
    </xf>
    <xf numFmtId="4" fontId="39" fillId="0" borderId="25" xfId="75" applyNumberFormat="1" applyFont="1" applyFill="1" applyBorder="1" applyAlignment="1">
      <alignment horizontal="center"/>
    </xf>
    <xf numFmtId="4" fontId="39" fillId="0" borderId="38" xfId="75" applyNumberFormat="1" applyFont="1" applyFill="1" applyBorder="1" applyAlignment="1">
      <alignment horizontal="center"/>
    </xf>
    <xf numFmtId="4" fontId="39" fillId="0" borderId="22" xfId="75" applyNumberFormat="1" applyFont="1" applyFill="1" applyBorder="1" applyAlignment="1">
      <alignment horizontal="center"/>
    </xf>
    <xf numFmtId="4" fontId="39" fillId="0" borderId="30" xfId="75" applyNumberFormat="1" applyFont="1" applyFill="1" applyBorder="1" applyAlignment="1">
      <alignment horizontal="center"/>
    </xf>
    <xf numFmtId="0" fontId="39" fillId="24" borderId="37" xfId="0" applyFont="1" applyFill="1" applyBorder="1" applyAlignment="1">
      <alignment horizontal="left" wrapText="1"/>
    </xf>
    <xf numFmtId="0" fontId="39" fillId="24" borderId="41" xfId="0" applyFont="1" applyFill="1" applyBorder="1" applyAlignment="1">
      <alignment horizontal="left" wrapText="1"/>
    </xf>
    <xf numFmtId="0" fontId="39" fillId="24" borderId="62" xfId="0" applyFont="1" applyFill="1" applyBorder="1" applyAlignment="1">
      <alignment horizontal="left" wrapText="1"/>
    </xf>
    <xf numFmtId="2" fontId="39" fillId="0" borderId="22" xfId="74" applyNumberFormat="1" applyFont="1" applyFill="1" applyBorder="1" applyAlignment="1">
      <alignment horizontal="center"/>
    </xf>
    <xf numFmtId="2" fontId="39" fillId="0" borderId="30" xfId="74" applyNumberFormat="1" applyFont="1" applyFill="1" applyBorder="1" applyAlignment="1">
      <alignment horizontal="center"/>
    </xf>
    <xf numFmtId="0" fontId="39" fillId="0" borderId="65" xfId="0" applyFont="1" applyFill="1" applyBorder="1" applyAlignment="1">
      <alignment horizontal="center"/>
    </xf>
    <xf numFmtId="0" fontId="39" fillId="0" borderId="66" xfId="0" applyFont="1" applyFill="1" applyBorder="1" applyAlignment="1">
      <alignment horizontal="center"/>
    </xf>
    <xf numFmtId="0" fontId="39" fillId="0" borderId="72" xfId="0" applyFont="1" applyFill="1" applyBorder="1" applyAlignment="1">
      <alignment horizontal="center"/>
    </xf>
    <xf numFmtId="4" fontId="39" fillId="0" borderId="22" xfId="129" applyNumberFormat="1" applyFont="1" applyFill="1" applyBorder="1" applyAlignment="1">
      <alignment horizontal="center"/>
    </xf>
    <xf numFmtId="4" fontId="39" fillId="0" borderId="30" xfId="129" applyNumberFormat="1" applyFont="1" applyFill="1" applyBorder="1" applyAlignment="1">
      <alignment horizontal="center"/>
    </xf>
    <xf numFmtId="0" fontId="39" fillId="0" borderId="22" xfId="93" applyFont="1" applyFill="1" applyBorder="1" applyAlignment="1">
      <alignment horizontal="center" vertical="center"/>
    </xf>
    <xf numFmtId="0" fontId="39" fillId="0" borderId="30" xfId="93" applyFont="1" applyFill="1" applyBorder="1" applyAlignment="1">
      <alignment horizontal="center" vertical="center"/>
    </xf>
    <xf numFmtId="2" fontId="39" fillId="0" borderId="22" xfId="93" applyNumberFormat="1" applyFont="1" applyFill="1" applyBorder="1" applyAlignment="1">
      <alignment horizontal="center" vertical="center"/>
    </xf>
    <xf numFmtId="2" fontId="39" fillId="0" borderId="30" xfId="93" applyNumberFormat="1" applyFont="1" applyFill="1" applyBorder="1" applyAlignment="1">
      <alignment horizontal="center" vertical="center"/>
    </xf>
    <xf numFmtId="4" fontId="39" fillId="0" borderId="22" xfId="0" applyNumberFormat="1" applyFont="1" applyFill="1" applyBorder="1" applyAlignment="1">
      <alignment horizontal="center"/>
    </xf>
    <xf numFmtId="4" fontId="39" fillId="0" borderId="30" xfId="0" applyNumberFormat="1" applyFont="1" applyFill="1" applyBorder="1" applyAlignment="1">
      <alignment horizontal="center"/>
    </xf>
    <xf numFmtId="0" fontId="39" fillId="0" borderId="28" xfId="76" applyFont="1" applyFill="1" applyBorder="1" applyAlignment="1">
      <alignment horizontal="left"/>
    </xf>
    <xf numFmtId="0" fontId="39" fillId="0" borderId="29" xfId="76" applyFont="1" applyFill="1" applyBorder="1" applyAlignment="1">
      <alignment horizontal="left"/>
    </xf>
    <xf numFmtId="0" fontId="39" fillId="0" borderId="30" xfId="76" applyFont="1" applyFill="1" applyBorder="1" applyAlignment="1">
      <alignment horizontal="left"/>
    </xf>
    <xf numFmtId="2" fontId="39" fillId="0" borderId="25" xfId="93" applyNumberFormat="1" applyFont="1" applyFill="1" applyBorder="1" applyAlignment="1">
      <alignment horizontal="center" vertical="center"/>
    </xf>
    <xf numFmtId="2" fontId="39" fillId="0" borderId="38" xfId="93" applyNumberFormat="1" applyFont="1" applyFill="1" applyBorder="1" applyAlignment="1">
      <alignment horizontal="center" vertical="center"/>
    </xf>
    <xf numFmtId="172" fontId="39" fillId="0" borderId="146" xfId="35" applyFont="1" applyFill="1" applyBorder="1" applyAlignment="1">
      <alignment horizontal="center"/>
    </xf>
    <xf numFmtId="172" fontId="39" fillId="0" borderId="147" xfId="35" applyFont="1" applyFill="1" applyBorder="1" applyAlignment="1">
      <alignment horizontal="center"/>
    </xf>
    <xf numFmtId="0" fontId="39" fillId="0" borderId="28" xfId="0" applyFont="1" applyFill="1" applyBorder="1" applyAlignment="1">
      <alignment horizontal="left" wrapText="1"/>
    </xf>
    <xf numFmtId="0" fontId="39" fillId="0" borderId="29" xfId="0" applyFont="1" applyFill="1" applyBorder="1" applyAlignment="1">
      <alignment horizontal="left" wrapText="1"/>
    </xf>
    <xf numFmtId="0" fontId="39" fillId="0" borderId="30" xfId="0" applyFont="1" applyFill="1" applyBorder="1" applyAlignment="1">
      <alignment horizontal="left" wrapText="1"/>
    </xf>
    <xf numFmtId="0" fontId="42" fillId="0" borderId="14" xfId="0" applyFont="1" applyFill="1" applyBorder="1" applyAlignment="1" applyProtection="1">
      <alignment horizontal="center"/>
      <protection locked="0"/>
    </xf>
    <xf numFmtId="0" fontId="42" fillId="0" borderId="0" xfId="0" applyFont="1" applyFill="1" applyBorder="1" applyAlignment="1" applyProtection="1">
      <alignment horizontal="center"/>
      <protection locked="0"/>
    </xf>
    <xf numFmtId="0" fontId="42" fillId="0" borderId="15" xfId="0" applyFont="1" applyFill="1" applyBorder="1" applyAlignment="1" applyProtection="1">
      <alignment horizontal="center"/>
      <protection locked="0"/>
    </xf>
    <xf numFmtId="4" fontId="39" fillId="0" borderId="33" xfId="0" applyNumberFormat="1" applyFont="1" applyFill="1" applyBorder="1" applyAlignment="1">
      <alignment horizontal="justify" vertical="center" wrapText="1"/>
    </xf>
    <xf numFmtId="0" fontId="39" fillId="0" borderId="34" xfId="0" applyFont="1" applyFill="1" applyBorder="1" applyAlignment="1">
      <alignment horizontal="justify" vertical="center" wrapText="1"/>
    </xf>
    <xf numFmtId="0" fontId="39" fillId="0" borderId="77" xfId="0" applyFont="1" applyFill="1" applyBorder="1" applyAlignment="1">
      <alignment horizontal="justify" vertical="center" wrapText="1"/>
    </xf>
    <xf numFmtId="0" fontId="39" fillId="0" borderId="33" xfId="0" applyFont="1" applyFill="1" applyBorder="1" applyAlignment="1">
      <alignment horizontal="justify" vertical="center" wrapText="1"/>
    </xf>
    <xf numFmtId="0" fontId="39" fillId="24" borderId="37" xfId="0" applyFont="1" applyFill="1" applyBorder="1" applyAlignment="1">
      <alignment horizontal="center" vertical="center" wrapText="1"/>
    </xf>
    <xf numFmtId="0" fontId="39" fillId="24" borderId="41" xfId="0" applyFont="1" applyFill="1" applyBorder="1" applyAlignment="1">
      <alignment horizontal="center" vertical="center" wrapText="1"/>
    </xf>
    <xf numFmtId="0" fontId="39" fillId="24" borderId="62" xfId="0" applyFont="1" applyFill="1" applyBorder="1" applyAlignment="1">
      <alignment horizontal="center" vertical="center" wrapText="1"/>
    </xf>
  </cellXfs>
  <cellStyles count="152">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Encabezado 4 2" xfId="23"/>
    <cellStyle name="Énfasis1 2" xfId="24"/>
    <cellStyle name="Énfasis2 2" xfId="25"/>
    <cellStyle name="Énfasis3 2" xfId="26"/>
    <cellStyle name="Énfasis4 2" xfId="27"/>
    <cellStyle name="Énfasis5 2" xfId="28"/>
    <cellStyle name="Énfasis6 2" xfId="29"/>
    <cellStyle name="Entrada 2" xfId="30"/>
    <cellStyle name="Estilo 1" xfId="31"/>
    <cellStyle name="Euro" xfId="32"/>
    <cellStyle name="Hipervínculo" xfId="33" builtinId="8"/>
    <cellStyle name="Incorrecto 2" xfId="34"/>
    <cellStyle name="Millares" xfId="35" builtinId="3"/>
    <cellStyle name="Millares [2]" xfId="36"/>
    <cellStyle name="Millares 10" xfId="37"/>
    <cellStyle name="Millares 10 2" xfId="38"/>
    <cellStyle name="Millares 11" xfId="39"/>
    <cellStyle name="Millares 12" xfId="128"/>
    <cellStyle name="Millares 13" xfId="137"/>
    <cellStyle name="Millares 14" xfId="142"/>
    <cellStyle name="Millares 15" xfId="146"/>
    <cellStyle name="Millares 16" xfId="149"/>
    <cellStyle name="Millares 2" xfId="40"/>
    <cellStyle name="Millares 2 2" xfId="41"/>
    <cellStyle name="Millares 2 3" xfId="42"/>
    <cellStyle name="Millares 2 5" xfId="43"/>
    <cellStyle name="Millares 3" xfId="44"/>
    <cellStyle name="Millares 3 2" xfId="45"/>
    <cellStyle name="Millares 3 3" xfId="46"/>
    <cellStyle name="Millares 3 4" xfId="47"/>
    <cellStyle name="Millares 3 5" xfId="48"/>
    <cellStyle name="Millares 4" xfId="49"/>
    <cellStyle name="Millares 4 2" xfId="50"/>
    <cellStyle name="Millares 5" xfId="51"/>
    <cellStyle name="Millares 6" xfId="52"/>
    <cellStyle name="Millares 6 2" xfId="53"/>
    <cellStyle name="Millares 7" xfId="54"/>
    <cellStyle name="Millares 7 2" xfId="55"/>
    <cellStyle name="Millares 7 2 2" xfId="56"/>
    <cellStyle name="Millares 8" xfId="57"/>
    <cellStyle name="Millares 8 2" xfId="58"/>
    <cellStyle name="Millares 9" xfId="59"/>
    <cellStyle name="Millares 9 2" xfId="60"/>
    <cellStyle name="Millares_FORMULARIO 4 - M-OFERENTE PPTA ECONOMICA" xfId="61"/>
    <cellStyle name="Moneda 10 2" xfId="62"/>
    <cellStyle name="Moneda 2" xfId="63"/>
    <cellStyle name="Moneda 2 2" xfId="64"/>
    <cellStyle name="Moneda 2 2 2" xfId="65"/>
    <cellStyle name="Moneda 2 2 2 2" xfId="66"/>
    <cellStyle name="Moneda 2 2 2 2 2" xfId="132"/>
    <cellStyle name="Moneda 2 2 3" xfId="67"/>
    <cellStyle name="Moneda 2 2 4" xfId="68"/>
    <cellStyle name="Moneda 2 2 5" xfId="69"/>
    <cellStyle name="Moneda 2 3" xfId="70"/>
    <cellStyle name="Moneda 3" xfId="71"/>
    <cellStyle name="Moneda 4" xfId="141"/>
    <cellStyle name="Moneda 5" xfId="145"/>
    <cellStyle name="Neutral" xfId="72" builtinId="28" customBuiltin="1"/>
    <cellStyle name="Neutral 2" xfId="73"/>
    <cellStyle name="Normal" xfId="0" builtinId="0"/>
    <cellStyle name="Normal 2" xfId="74"/>
    <cellStyle name="Normal 2 10" xfId="75"/>
    <cellStyle name="Normal 2 10 2" xfId="76"/>
    <cellStyle name="Normal 2 10 2 2" xfId="138"/>
    <cellStyle name="Normal 2 10 3" xfId="129"/>
    <cellStyle name="Normal 2 11" xfId="77"/>
    <cellStyle name="Normal 2 12" xfId="78"/>
    <cellStyle name="Normal 2 13" xfId="79"/>
    <cellStyle name="Normal 2 2" xfId="80"/>
    <cellStyle name="Normal 2 3" xfId="81"/>
    <cellStyle name="Normal 2 4" xfId="82"/>
    <cellStyle name="Normal 2 5" xfId="83"/>
    <cellStyle name="Normal 2 6" xfId="84"/>
    <cellStyle name="Normal 2 7" xfId="85"/>
    <cellStyle name="Normal 2 8" xfId="86"/>
    <cellStyle name="Normal 2 9" xfId="87"/>
    <cellStyle name="Normal 2_APU NO PREVISTOS MTTO" xfId="88"/>
    <cellStyle name="Normal 29" xfId="89"/>
    <cellStyle name="Normal 3" xfId="90"/>
    <cellStyle name="Normal 3 11" xfId="133"/>
    <cellStyle name="Normal 3 2" xfId="91"/>
    <cellStyle name="Normal 3 2 2" xfId="131"/>
    <cellStyle name="Normal 3 3" xfId="140"/>
    <cellStyle name="Normal 3 4" xfId="144"/>
    <cellStyle name="Normal 3 4 2" xfId="148"/>
    <cellStyle name="Normal 4" xfId="92"/>
    <cellStyle name="Normal 4 2" xfId="93"/>
    <cellStyle name="Normal 5" xfId="136"/>
    <cellStyle name="Normal 6" xfId="139"/>
    <cellStyle name="Normal 7" xfId="143"/>
    <cellStyle name="Normal 7 2" xfId="150"/>
    <cellStyle name="Normal 8" xfId="147"/>
    <cellStyle name="Normal 9" xfId="151"/>
    <cellStyle name="Normal 9 2" xfId="135"/>
    <cellStyle name="Normal_APU CONCRETO ACTUALIZADO JUNIO 2001" xfId="94"/>
    <cellStyle name="Normal_modelo ACTA OBRA y MODIFICACION" xfId="95"/>
    <cellStyle name="Normal_PTO OFICIAL PREPLIEGO (CORREGIDO) 2" xfId="134"/>
    <cellStyle name="Notas 2" xfId="96"/>
    <cellStyle name="Porcentaje" xfId="98" builtinId="5"/>
    <cellStyle name="Porcentaje 3" xfId="97"/>
    <cellStyle name="Porcentual 2" xfId="99"/>
    <cellStyle name="Porcentual 2 10" xfId="100"/>
    <cellStyle name="Porcentual 2 10 2" xfId="101"/>
    <cellStyle name="Porcentual 2 11" xfId="102"/>
    <cellStyle name="Porcentual 2 12" xfId="103"/>
    <cellStyle name="Porcentual 2 2" xfId="104"/>
    <cellStyle name="Porcentual 2 3" xfId="105"/>
    <cellStyle name="Porcentual 2 4" xfId="106"/>
    <cellStyle name="Porcentual 2 5" xfId="107"/>
    <cellStyle name="Porcentual 2 6" xfId="108"/>
    <cellStyle name="Porcentual 2 7" xfId="109"/>
    <cellStyle name="Porcentual 2 8" xfId="110"/>
    <cellStyle name="Porcentual 2 9" xfId="111"/>
    <cellStyle name="Porcentual 3" xfId="112"/>
    <cellStyle name="Porcentual 4" xfId="113"/>
    <cellStyle name="Porcentual 4 2" xfId="114"/>
    <cellStyle name="Porcentual 5" xfId="115"/>
    <cellStyle name="Porcentual 6" xfId="116"/>
    <cellStyle name="Porcentual 6 2" xfId="117"/>
    <cellStyle name="Porcentual 7" xfId="118"/>
    <cellStyle name="Porcentual 8" xfId="130"/>
    <cellStyle name="Salida 2" xfId="119"/>
    <cellStyle name="Texto de advertencia 2" xfId="120"/>
    <cellStyle name="Texto explicativo 2" xfId="121"/>
    <cellStyle name="Título 1 2" xfId="122"/>
    <cellStyle name="Título 2 2" xfId="123"/>
    <cellStyle name="Título 3 2" xfId="124"/>
    <cellStyle name="Título 4" xfId="125"/>
    <cellStyle name="Total" xfId="126" builtinId="25" customBuiltin="1"/>
    <cellStyle name="Total 2" xfId="127"/>
  </cellStyles>
  <dxfs count="282">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ill>
        <patternFill>
          <bgColor rgb="FFFF7C80"/>
        </patternFill>
      </fill>
    </dxf>
    <dxf>
      <font>
        <color rgb="FF9C0006"/>
      </font>
      <fill>
        <patternFill>
          <bgColor rgb="FFFFC7CE"/>
        </patternFill>
      </fill>
    </dxf>
    <dxf>
      <fill>
        <patternFill>
          <bgColor rgb="FFFF7C80"/>
        </patternFill>
      </fill>
    </dxf>
    <dxf>
      <font>
        <color rgb="FF9C0006"/>
      </font>
      <fill>
        <patternFill>
          <bgColor rgb="FFFFC7CE"/>
        </patternFill>
      </fill>
    </dxf>
    <dxf>
      <fill>
        <patternFill>
          <bgColor rgb="FFFF7C8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fill>
        <patternFill>
          <bgColor theme="0"/>
        </patternFill>
      </fill>
    </dxf>
    <dxf>
      <font>
        <color theme="0"/>
      </font>
    </dxf>
    <dxf>
      <font>
        <color theme="0"/>
      </font>
    </dxf>
    <dxf>
      <font>
        <color theme="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externalLink" Target="externalLinks/externalLink50.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externalLink" Target="externalLinks/externalLink1.xml"/><Relationship Id="rId84" Type="http://schemas.openxmlformats.org/officeDocument/2006/relationships/externalLink" Target="externalLinks/externalLink17.xml"/><Relationship Id="rId89" Type="http://schemas.openxmlformats.org/officeDocument/2006/relationships/externalLink" Target="externalLinks/externalLink22.xml"/><Relationship Id="rId112" Type="http://schemas.openxmlformats.org/officeDocument/2006/relationships/externalLink" Target="externalLinks/externalLink45.xml"/><Relationship Id="rId133" Type="http://schemas.openxmlformats.org/officeDocument/2006/relationships/externalLink" Target="externalLinks/externalLink66.xml"/><Relationship Id="rId138" Type="http://schemas.openxmlformats.org/officeDocument/2006/relationships/externalLink" Target="externalLinks/externalLink71.xml"/><Relationship Id="rId154" Type="http://schemas.openxmlformats.org/officeDocument/2006/relationships/externalLink" Target="externalLinks/externalLink87.xml"/><Relationship Id="rId159" Type="http://schemas.openxmlformats.org/officeDocument/2006/relationships/externalLink" Target="externalLinks/externalLink92.xml"/><Relationship Id="rId175" Type="http://schemas.openxmlformats.org/officeDocument/2006/relationships/externalLink" Target="externalLinks/externalLink108.xml"/><Relationship Id="rId170" Type="http://schemas.openxmlformats.org/officeDocument/2006/relationships/externalLink" Target="externalLinks/externalLink103.xml"/><Relationship Id="rId16" Type="http://schemas.openxmlformats.org/officeDocument/2006/relationships/worksheet" Target="worksheets/sheet16.xml"/><Relationship Id="rId107" Type="http://schemas.openxmlformats.org/officeDocument/2006/relationships/externalLink" Target="externalLinks/externalLink40.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externalLink" Target="externalLinks/externalLink7.xml"/><Relationship Id="rId79" Type="http://schemas.openxmlformats.org/officeDocument/2006/relationships/externalLink" Target="externalLinks/externalLink12.xml"/><Relationship Id="rId102" Type="http://schemas.openxmlformats.org/officeDocument/2006/relationships/externalLink" Target="externalLinks/externalLink35.xml"/><Relationship Id="rId123" Type="http://schemas.openxmlformats.org/officeDocument/2006/relationships/externalLink" Target="externalLinks/externalLink56.xml"/><Relationship Id="rId128" Type="http://schemas.openxmlformats.org/officeDocument/2006/relationships/externalLink" Target="externalLinks/externalLink61.xml"/><Relationship Id="rId144" Type="http://schemas.openxmlformats.org/officeDocument/2006/relationships/externalLink" Target="externalLinks/externalLink77.xml"/><Relationship Id="rId149" Type="http://schemas.openxmlformats.org/officeDocument/2006/relationships/externalLink" Target="externalLinks/externalLink82.xml"/><Relationship Id="rId5" Type="http://schemas.openxmlformats.org/officeDocument/2006/relationships/worksheet" Target="worksheets/sheet5.xml"/><Relationship Id="rId90" Type="http://schemas.openxmlformats.org/officeDocument/2006/relationships/externalLink" Target="externalLinks/externalLink23.xml"/><Relationship Id="rId95" Type="http://schemas.openxmlformats.org/officeDocument/2006/relationships/externalLink" Target="externalLinks/externalLink28.xml"/><Relationship Id="rId160" Type="http://schemas.openxmlformats.org/officeDocument/2006/relationships/externalLink" Target="externalLinks/externalLink93.xml"/><Relationship Id="rId165" Type="http://schemas.openxmlformats.org/officeDocument/2006/relationships/externalLink" Target="externalLinks/externalLink98.xml"/><Relationship Id="rId181"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externalLink" Target="externalLinks/externalLink2.xml"/><Relationship Id="rId113" Type="http://schemas.openxmlformats.org/officeDocument/2006/relationships/externalLink" Target="externalLinks/externalLink46.xml"/><Relationship Id="rId118" Type="http://schemas.openxmlformats.org/officeDocument/2006/relationships/externalLink" Target="externalLinks/externalLink51.xml"/><Relationship Id="rId134" Type="http://schemas.openxmlformats.org/officeDocument/2006/relationships/externalLink" Target="externalLinks/externalLink67.xml"/><Relationship Id="rId139" Type="http://schemas.openxmlformats.org/officeDocument/2006/relationships/externalLink" Target="externalLinks/externalLink72.xml"/><Relationship Id="rId80" Type="http://schemas.openxmlformats.org/officeDocument/2006/relationships/externalLink" Target="externalLinks/externalLink13.xml"/><Relationship Id="rId85" Type="http://schemas.openxmlformats.org/officeDocument/2006/relationships/externalLink" Target="externalLinks/externalLink18.xml"/><Relationship Id="rId150" Type="http://schemas.openxmlformats.org/officeDocument/2006/relationships/externalLink" Target="externalLinks/externalLink83.xml"/><Relationship Id="rId155" Type="http://schemas.openxmlformats.org/officeDocument/2006/relationships/externalLink" Target="externalLinks/externalLink88.xml"/><Relationship Id="rId171" Type="http://schemas.openxmlformats.org/officeDocument/2006/relationships/externalLink" Target="externalLinks/externalLink104.xml"/><Relationship Id="rId176" Type="http://schemas.openxmlformats.org/officeDocument/2006/relationships/externalLink" Target="externalLinks/externalLink109.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36.xml"/><Relationship Id="rId108" Type="http://schemas.openxmlformats.org/officeDocument/2006/relationships/externalLink" Target="externalLinks/externalLink41.xml"/><Relationship Id="rId124" Type="http://schemas.openxmlformats.org/officeDocument/2006/relationships/externalLink" Target="externalLinks/externalLink57.xml"/><Relationship Id="rId129" Type="http://schemas.openxmlformats.org/officeDocument/2006/relationships/externalLink" Target="externalLinks/externalLink62.xml"/><Relationship Id="rId54" Type="http://schemas.openxmlformats.org/officeDocument/2006/relationships/worksheet" Target="worksheets/sheet54.xml"/><Relationship Id="rId70" Type="http://schemas.openxmlformats.org/officeDocument/2006/relationships/externalLink" Target="externalLinks/externalLink3.xml"/><Relationship Id="rId75" Type="http://schemas.openxmlformats.org/officeDocument/2006/relationships/externalLink" Target="externalLinks/externalLink8.xml"/><Relationship Id="rId91" Type="http://schemas.openxmlformats.org/officeDocument/2006/relationships/externalLink" Target="externalLinks/externalLink24.xml"/><Relationship Id="rId96" Type="http://schemas.openxmlformats.org/officeDocument/2006/relationships/externalLink" Target="externalLinks/externalLink29.xml"/><Relationship Id="rId140" Type="http://schemas.openxmlformats.org/officeDocument/2006/relationships/externalLink" Target="externalLinks/externalLink73.xml"/><Relationship Id="rId145" Type="http://schemas.openxmlformats.org/officeDocument/2006/relationships/externalLink" Target="externalLinks/externalLink78.xml"/><Relationship Id="rId161" Type="http://schemas.openxmlformats.org/officeDocument/2006/relationships/externalLink" Target="externalLinks/externalLink94.xml"/><Relationship Id="rId166" Type="http://schemas.openxmlformats.org/officeDocument/2006/relationships/externalLink" Target="externalLinks/externalLink99.xml"/><Relationship Id="rId182"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47.xml"/><Relationship Id="rId119" Type="http://schemas.openxmlformats.org/officeDocument/2006/relationships/externalLink" Target="externalLinks/externalLink52.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externalLink" Target="externalLinks/externalLink14.xml"/><Relationship Id="rId86" Type="http://schemas.openxmlformats.org/officeDocument/2006/relationships/externalLink" Target="externalLinks/externalLink19.xml"/><Relationship Id="rId130" Type="http://schemas.openxmlformats.org/officeDocument/2006/relationships/externalLink" Target="externalLinks/externalLink63.xml"/><Relationship Id="rId135" Type="http://schemas.openxmlformats.org/officeDocument/2006/relationships/externalLink" Target="externalLinks/externalLink68.xml"/><Relationship Id="rId151" Type="http://schemas.openxmlformats.org/officeDocument/2006/relationships/externalLink" Target="externalLinks/externalLink84.xml"/><Relationship Id="rId156" Type="http://schemas.openxmlformats.org/officeDocument/2006/relationships/externalLink" Target="externalLinks/externalLink89.xml"/><Relationship Id="rId177" Type="http://schemas.openxmlformats.org/officeDocument/2006/relationships/externalLink" Target="externalLinks/externalLink110.xml"/><Relationship Id="rId4" Type="http://schemas.openxmlformats.org/officeDocument/2006/relationships/worksheet" Target="worksheets/sheet4.xml"/><Relationship Id="rId9" Type="http://schemas.openxmlformats.org/officeDocument/2006/relationships/worksheet" Target="worksheets/sheet9.xml"/><Relationship Id="rId172" Type="http://schemas.openxmlformats.org/officeDocument/2006/relationships/externalLink" Target="externalLinks/externalLink105.xml"/><Relationship Id="rId180" Type="http://schemas.openxmlformats.org/officeDocument/2006/relationships/externalLink" Target="externalLinks/externalLink113.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42.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9.xml"/><Relationship Id="rId97" Type="http://schemas.openxmlformats.org/officeDocument/2006/relationships/externalLink" Target="externalLinks/externalLink30.xml"/><Relationship Id="rId104" Type="http://schemas.openxmlformats.org/officeDocument/2006/relationships/externalLink" Target="externalLinks/externalLink37.xml"/><Relationship Id="rId120" Type="http://schemas.openxmlformats.org/officeDocument/2006/relationships/externalLink" Target="externalLinks/externalLink53.xml"/><Relationship Id="rId125" Type="http://schemas.openxmlformats.org/officeDocument/2006/relationships/externalLink" Target="externalLinks/externalLink58.xml"/><Relationship Id="rId141" Type="http://schemas.openxmlformats.org/officeDocument/2006/relationships/externalLink" Target="externalLinks/externalLink74.xml"/><Relationship Id="rId146" Type="http://schemas.openxmlformats.org/officeDocument/2006/relationships/externalLink" Target="externalLinks/externalLink79.xml"/><Relationship Id="rId167" Type="http://schemas.openxmlformats.org/officeDocument/2006/relationships/externalLink" Target="externalLinks/externalLink100.xml"/><Relationship Id="rId7" Type="http://schemas.openxmlformats.org/officeDocument/2006/relationships/worksheet" Target="worksheets/sheet7.xml"/><Relationship Id="rId71" Type="http://schemas.openxmlformats.org/officeDocument/2006/relationships/externalLink" Target="externalLinks/externalLink4.xml"/><Relationship Id="rId92" Type="http://schemas.openxmlformats.org/officeDocument/2006/relationships/externalLink" Target="externalLinks/externalLink25.xml"/><Relationship Id="rId162" Type="http://schemas.openxmlformats.org/officeDocument/2006/relationships/externalLink" Target="externalLinks/externalLink95.xml"/><Relationship Id="rId183"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20.xml"/><Relationship Id="rId110" Type="http://schemas.openxmlformats.org/officeDocument/2006/relationships/externalLink" Target="externalLinks/externalLink43.xml"/><Relationship Id="rId115" Type="http://schemas.openxmlformats.org/officeDocument/2006/relationships/externalLink" Target="externalLinks/externalLink48.xml"/><Relationship Id="rId131" Type="http://schemas.openxmlformats.org/officeDocument/2006/relationships/externalLink" Target="externalLinks/externalLink64.xml"/><Relationship Id="rId136" Type="http://schemas.openxmlformats.org/officeDocument/2006/relationships/externalLink" Target="externalLinks/externalLink69.xml"/><Relationship Id="rId157" Type="http://schemas.openxmlformats.org/officeDocument/2006/relationships/externalLink" Target="externalLinks/externalLink90.xml"/><Relationship Id="rId178" Type="http://schemas.openxmlformats.org/officeDocument/2006/relationships/externalLink" Target="externalLinks/externalLink111.xml"/><Relationship Id="rId61" Type="http://schemas.openxmlformats.org/officeDocument/2006/relationships/worksheet" Target="worksheets/sheet61.xml"/><Relationship Id="rId82" Type="http://schemas.openxmlformats.org/officeDocument/2006/relationships/externalLink" Target="externalLinks/externalLink15.xml"/><Relationship Id="rId152" Type="http://schemas.openxmlformats.org/officeDocument/2006/relationships/externalLink" Target="externalLinks/externalLink85.xml"/><Relationship Id="rId173" Type="http://schemas.openxmlformats.org/officeDocument/2006/relationships/externalLink" Target="externalLinks/externalLink106.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10.xml"/><Relationship Id="rId100" Type="http://schemas.openxmlformats.org/officeDocument/2006/relationships/externalLink" Target="externalLinks/externalLink33.xml"/><Relationship Id="rId105" Type="http://schemas.openxmlformats.org/officeDocument/2006/relationships/externalLink" Target="externalLinks/externalLink38.xml"/><Relationship Id="rId126" Type="http://schemas.openxmlformats.org/officeDocument/2006/relationships/externalLink" Target="externalLinks/externalLink59.xml"/><Relationship Id="rId147" Type="http://schemas.openxmlformats.org/officeDocument/2006/relationships/externalLink" Target="externalLinks/externalLink80.xml"/><Relationship Id="rId168" Type="http://schemas.openxmlformats.org/officeDocument/2006/relationships/externalLink" Target="externalLinks/externalLink10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5.xml"/><Relationship Id="rId93" Type="http://schemas.openxmlformats.org/officeDocument/2006/relationships/externalLink" Target="externalLinks/externalLink26.xml"/><Relationship Id="rId98" Type="http://schemas.openxmlformats.org/officeDocument/2006/relationships/externalLink" Target="externalLinks/externalLink31.xml"/><Relationship Id="rId121" Type="http://schemas.openxmlformats.org/officeDocument/2006/relationships/externalLink" Target="externalLinks/externalLink54.xml"/><Relationship Id="rId142" Type="http://schemas.openxmlformats.org/officeDocument/2006/relationships/externalLink" Target="externalLinks/externalLink75.xml"/><Relationship Id="rId163" Type="http://schemas.openxmlformats.org/officeDocument/2006/relationships/externalLink" Target="externalLinks/externalLink96.xml"/><Relationship Id="rId184"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49.xml"/><Relationship Id="rId137" Type="http://schemas.openxmlformats.org/officeDocument/2006/relationships/externalLink" Target="externalLinks/externalLink70.xml"/><Relationship Id="rId158" Type="http://schemas.openxmlformats.org/officeDocument/2006/relationships/externalLink" Target="externalLinks/externalLink91.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16.xml"/><Relationship Id="rId88" Type="http://schemas.openxmlformats.org/officeDocument/2006/relationships/externalLink" Target="externalLinks/externalLink21.xml"/><Relationship Id="rId111" Type="http://schemas.openxmlformats.org/officeDocument/2006/relationships/externalLink" Target="externalLinks/externalLink44.xml"/><Relationship Id="rId132" Type="http://schemas.openxmlformats.org/officeDocument/2006/relationships/externalLink" Target="externalLinks/externalLink65.xml"/><Relationship Id="rId153" Type="http://schemas.openxmlformats.org/officeDocument/2006/relationships/externalLink" Target="externalLinks/externalLink86.xml"/><Relationship Id="rId174" Type="http://schemas.openxmlformats.org/officeDocument/2006/relationships/externalLink" Target="externalLinks/externalLink107.xml"/><Relationship Id="rId179" Type="http://schemas.openxmlformats.org/officeDocument/2006/relationships/externalLink" Target="externalLinks/externalLink11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39.xml"/><Relationship Id="rId127" Type="http://schemas.openxmlformats.org/officeDocument/2006/relationships/externalLink" Target="externalLinks/externalLink60.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6.xml"/><Relationship Id="rId78" Type="http://schemas.openxmlformats.org/officeDocument/2006/relationships/externalLink" Target="externalLinks/externalLink11.xml"/><Relationship Id="rId94" Type="http://schemas.openxmlformats.org/officeDocument/2006/relationships/externalLink" Target="externalLinks/externalLink27.xml"/><Relationship Id="rId99" Type="http://schemas.openxmlformats.org/officeDocument/2006/relationships/externalLink" Target="externalLinks/externalLink32.xml"/><Relationship Id="rId101" Type="http://schemas.openxmlformats.org/officeDocument/2006/relationships/externalLink" Target="externalLinks/externalLink34.xml"/><Relationship Id="rId122" Type="http://schemas.openxmlformats.org/officeDocument/2006/relationships/externalLink" Target="externalLinks/externalLink55.xml"/><Relationship Id="rId143" Type="http://schemas.openxmlformats.org/officeDocument/2006/relationships/externalLink" Target="externalLinks/externalLink76.xml"/><Relationship Id="rId148" Type="http://schemas.openxmlformats.org/officeDocument/2006/relationships/externalLink" Target="externalLinks/externalLink81.xml"/><Relationship Id="rId164" Type="http://schemas.openxmlformats.org/officeDocument/2006/relationships/externalLink" Target="externalLinks/externalLink97.xml"/><Relationship Id="rId169" Type="http://schemas.openxmlformats.org/officeDocument/2006/relationships/externalLink" Target="externalLinks/externalLink10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3" name="Imagen 1" descr="http://www.presidencia.gov.co/prensa_new/historia/escudo.jpg"/>
        <xdr:cNvPicPr>
          <a:picLocks noChangeAspect="1" noChangeArrowheads="1"/>
        </xdr:cNvPicPr>
      </xdr:nvPicPr>
      <xdr:blipFill>
        <a:blip xmlns:r="http://schemas.openxmlformats.org/officeDocument/2006/relationships" r:embed="rId1"/>
        <a:srcRect/>
        <a:stretch>
          <a:fillRect/>
        </a:stretch>
      </xdr:blipFill>
      <xdr:spPr bwMode="auto">
        <a:xfrm>
          <a:off x="9791700" y="333375"/>
          <a:ext cx="0" cy="723900"/>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4</xdr:col>
      <xdr:colOff>49625</xdr:colOff>
      <xdr:row>4</xdr:row>
      <xdr:rowOff>139762</xdr:rowOff>
    </xdr:to>
    <xdr:pic>
      <xdr:nvPicPr>
        <xdr:cNvPr id="4" name="4 Imagen" descr="Invias"/>
        <xdr:cNvPicPr>
          <a:picLocks noChangeAspect="1" noChangeArrowheads="1"/>
        </xdr:cNvPicPr>
      </xdr:nvPicPr>
      <xdr:blipFill>
        <a:blip xmlns:r="http://schemas.openxmlformats.org/officeDocument/2006/relationships" r:embed="rId2" cstate="print"/>
        <a:srcRect/>
        <a:stretch>
          <a:fillRect/>
        </a:stretch>
      </xdr:blipFill>
      <xdr:spPr bwMode="auto">
        <a:xfrm>
          <a:off x="657783" y="503464"/>
          <a:ext cx="943056" cy="493548"/>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5"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1212285" y="530677"/>
          <a:ext cx="979049" cy="46264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1</xdr:row>
      <xdr:rowOff>123825</xdr:rowOff>
    </xdr:from>
    <xdr:to>
      <xdr:col>8</xdr:col>
      <xdr:colOff>2905125</xdr:colOff>
      <xdr:row>4</xdr:row>
      <xdr:rowOff>0</xdr:rowOff>
    </xdr:to>
    <xdr:pic>
      <xdr:nvPicPr>
        <xdr:cNvPr id="2" name="Imagen 1" descr="http://www.presidencia.gov.co/prensa_new/historia/escudo.jpg"/>
        <xdr:cNvPicPr>
          <a:picLocks noChangeAspect="1" noChangeArrowheads="1"/>
        </xdr:cNvPicPr>
      </xdr:nvPicPr>
      <xdr:blipFill>
        <a:blip xmlns:r="http://schemas.openxmlformats.org/officeDocument/2006/relationships" r:embed="rId1"/>
        <a:srcRect/>
        <a:stretch>
          <a:fillRect/>
        </a:stretch>
      </xdr:blipFill>
      <xdr:spPr bwMode="auto">
        <a:xfrm>
          <a:off x="11306175" y="352425"/>
          <a:ext cx="0" cy="504825"/>
        </a:xfrm>
        <a:prstGeom prst="rect">
          <a:avLst/>
        </a:prstGeom>
        <a:noFill/>
        <a:ln w="9525">
          <a:noFill/>
          <a:miter lim="800000"/>
          <a:headEnd/>
          <a:tailEnd/>
        </a:ln>
      </xdr:spPr>
    </xdr:pic>
    <xdr:clientData/>
  </xdr:twoCellAnchor>
  <xdr:twoCellAnchor editAs="oneCell">
    <xdr:from>
      <xdr:col>2</xdr:col>
      <xdr:colOff>195140</xdr:colOff>
      <xdr:row>1</xdr:row>
      <xdr:rowOff>54428</xdr:rowOff>
    </xdr:from>
    <xdr:to>
      <xdr:col>4</xdr:col>
      <xdr:colOff>49625</xdr:colOff>
      <xdr:row>3</xdr:row>
      <xdr:rowOff>139761</xdr:rowOff>
    </xdr:to>
    <xdr:pic>
      <xdr:nvPicPr>
        <xdr:cNvPr id="3" name="4 Imagen" descr="Invias"/>
        <xdr:cNvPicPr>
          <a:picLocks noChangeAspect="1" noChangeArrowheads="1"/>
        </xdr:cNvPicPr>
      </xdr:nvPicPr>
      <xdr:blipFill>
        <a:blip xmlns:r="http://schemas.openxmlformats.org/officeDocument/2006/relationships" r:embed="rId2" cstate="print"/>
        <a:srcRect/>
        <a:stretch>
          <a:fillRect/>
        </a:stretch>
      </xdr:blipFill>
      <xdr:spPr bwMode="auto">
        <a:xfrm>
          <a:off x="652340" y="283028"/>
          <a:ext cx="949860" cy="504433"/>
        </a:xfrm>
        <a:prstGeom prst="rect">
          <a:avLst/>
        </a:prstGeom>
        <a:noFill/>
        <a:ln w="9525">
          <a:noFill/>
          <a:miter lim="800000"/>
          <a:headEnd/>
          <a:tailEnd/>
        </a:ln>
      </xdr:spPr>
    </xdr:pic>
    <xdr:clientData/>
  </xdr:twoCellAnchor>
  <xdr:twoCellAnchor>
    <xdr:from>
      <xdr:col>10</xdr:col>
      <xdr:colOff>476249</xdr:colOff>
      <xdr:row>1</xdr:row>
      <xdr:rowOff>81641</xdr:rowOff>
    </xdr:from>
    <xdr:to>
      <xdr:col>10</xdr:col>
      <xdr:colOff>1455298</xdr:colOff>
      <xdr:row>3</xdr:row>
      <xdr:rowOff>136070</xdr:rowOff>
    </xdr:to>
    <xdr:pic>
      <xdr:nvPicPr>
        <xdr:cNvPr id="4"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3173074" y="310241"/>
          <a:ext cx="979049" cy="473529"/>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2</xdr:row>
      <xdr:rowOff>123825</xdr:rowOff>
    </xdr:from>
    <xdr:to>
      <xdr:col>8</xdr:col>
      <xdr:colOff>0</xdr:colOff>
      <xdr:row>5</xdr:row>
      <xdr:rowOff>0</xdr:rowOff>
    </xdr:to>
    <xdr:pic>
      <xdr:nvPicPr>
        <xdr:cNvPr id="2" name="Imagen 1" descr="http://www.presidencia.gov.co/prensa_new/historia/escudo.jpg"/>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4</xdr:col>
      <xdr:colOff>49625</xdr:colOff>
      <xdr:row>4</xdr:row>
      <xdr:rowOff>139762</xdr:rowOff>
    </xdr:to>
    <xdr:pic>
      <xdr:nvPicPr>
        <xdr:cNvPr id="3" name="4 Imagen" descr="Invias"/>
        <xdr:cNvPicPr>
          <a:picLocks noChangeAspect="1" noChangeArrowheads="1"/>
        </xdr:cNvPicPr>
      </xdr:nvPicPr>
      <xdr:blipFill>
        <a:blip xmlns:r="http://schemas.openxmlformats.org/officeDocument/2006/relationships" r:embed="rId2" cstate="print"/>
        <a:srcRect/>
        <a:stretch>
          <a:fillRect/>
        </a:stretch>
      </xdr:blipFill>
      <xdr:spPr bwMode="auto">
        <a:xfrm>
          <a:off x="652340" y="502103"/>
          <a:ext cx="949860" cy="504434"/>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4"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3173074" y="529316"/>
          <a:ext cx="979049" cy="473529"/>
        </a:xfrm>
        <a:prstGeom prst="rect">
          <a:avLst/>
        </a:prstGeom>
        <a:noFill/>
        <a:ln w="9525">
          <a:noFill/>
          <a:miter lim="800000"/>
          <a:headEnd/>
          <a:tailEnd/>
        </a:ln>
      </xdr:spPr>
    </xdr:pic>
    <xdr:clientData/>
  </xdr:twoCellAnchor>
  <xdr:twoCellAnchor>
    <xdr:from>
      <xdr:col>12</xdr:col>
      <xdr:colOff>476249</xdr:colOff>
      <xdr:row>2</xdr:row>
      <xdr:rowOff>81641</xdr:rowOff>
    </xdr:from>
    <xdr:to>
      <xdr:col>12</xdr:col>
      <xdr:colOff>1455298</xdr:colOff>
      <xdr:row>4</xdr:row>
      <xdr:rowOff>136070</xdr:rowOff>
    </xdr:to>
    <xdr:pic>
      <xdr:nvPicPr>
        <xdr:cNvPr id="5"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3776613" y="531914"/>
          <a:ext cx="979049" cy="470065"/>
        </a:xfrm>
        <a:prstGeom prst="rect">
          <a:avLst/>
        </a:prstGeom>
        <a:noFill/>
        <a:ln w="9525">
          <a:noFill/>
          <a:miter lim="800000"/>
          <a:headEnd/>
          <a:tailEnd/>
        </a:ln>
      </xdr:spPr>
    </xdr:pic>
    <xdr:clientData/>
  </xdr:twoCellAnchor>
  <xdr:twoCellAnchor>
    <xdr:from>
      <xdr:col>18</xdr:col>
      <xdr:colOff>476249</xdr:colOff>
      <xdr:row>2</xdr:row>
      <xdr:rowOff>81641</xdr:rowOff>
    </xdr:from>
    <xdr:to>
      <xdr:col>18</xdr:col>
      <xdr:colOff>1455298</xdr:colOff>
      <xdr:row>4</xdr:row>
      <xdr:rowOff>136070</xdr:rowOff>
    </xdr:to>
    <xdr:pic>
      <xdr:nvPicPr>
        <xdr:cNvPr id="6"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7253856" y="530677"/>
          <a:ext cx="979049" cy="462643"/>
        </a:xfrm>
        <a:prstGeom prst="rect">
          <a:avLst/>
        </a:prstGeom>
        <a:noFill/>
        <a:ln w="9525">
          <a:noFill/>
          <a:miter lim="800000"/>
          <a:headEnd/>
          <a:tailEnd/>
        </a:ln>
      </xdr:spPr>
    </xdr:pic>
    <xdr:clientData/>
  </xdr:twoCellAnchor>
  <xdr:twoCellAnchor>
    <xdr:from>
      <xdr:col>23</xdr:col>
      <xdr:colOff>476249</xdr:colOff>
      <xdr:row>2</xdr:row>
      <xdr:rowOff>81641</xdr:rowOff>
    </xdr:from>
    <xdr:to>
      <xdr:col>23</xdr:col>
      <xdr:colOff>1455298</xdr:colOff>
      <xdr:row>4</xdr:row>
      <xdr:rowOff>136070</xdr:rowOff>
    </xdr:to>
    <xdr:pic>
      <xdr:nvPicPr>
        <xdr:cNvPr id="7"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20723678" y="530677"/>
          <a:ext cx="979049" cy="462643"/>
        </a:xfrm>
        <a:prstGeom prst="rect">
          <a:avLst/>
        </a:prstGeom>
        <a:noFill/>
        <a:ln w="9525">
          <a:noFill/>
          <a:miter lim="800000"/>
          <a:headEnd/>
          <a:tailEnd/>
        </a:ln>
      </xdr:spPr>
    </xdr:pic>
    <xdr:clientData/>
  </xdr:twoCellAnchor>
  <xdr:twoCellAnchor>
    <xdr:from>
      <xdr:col>14</xdr:col>
      <xdr:colOff>476249</xdr:colOff>
      <xdr:row>2</xdr:row>
      <xdr:rowOff>81641</xdr:rowOff>
    </xdr:from>
    <xdr:to>
      <xdr:col>14</xdr:col>
      <xdr:colOff>1455298</xdr:colOff>
      <xdr:row>4</xdr:row>
      <xdr:rowOff>136070</xdr:rowOff>
    </xdr:to>
    <xdr:pic>
      <xdr:nvPicPr>
        <xdr:cNvPr id="8"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7240249" y="531914"/>
          <a:ext cx="979049" cy="470065"/>
        </a:xfrm>
        <a:prstGeom prst="rect">
          <a:avLst/>
        </a:prstGeom>
        <a:noFill/>
        <a:ln w="9525">
          <a:noFill/>
          <a:miter lim="800000"/>
          <a:headEnd/>
          <a:tailEnd/>
        </a:ln>
      </xdr:spPr>
    </xdr:pic>
    <xdr:clientData/>
  </xdr:twoCellAnchor>
  <xdr:twoCellAnchor>
    <xdr:from>
      <xdr:col>16</xdr:col>
      <xdr:colOff>476249</xdr:colOff>
      <xdr:row>2</xdr:row>
      <xdr:rowOff>81641</xdr:rowOff>
    </xdr:from>
    <xdr:to>
      <xdr:col>16</xdr:col>
      <xdr:colOff>1455298</xdr:colOff>
      <xdr:row>4</xdr:row>
      <xdr:rowOff>136070</xdr:rowOff>
    </xdr:to>
    <xdr:pic>
      <xdr:nvPicPr>
        <xdr:cNvPr id="9"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20703885" y="531914"/>
          <a:ext cx="979049" cy="470065"/>
        </a:xfrm>
        <a:prstGeom prst="rect">
          <a:avLst/>
        </a:prstGeom>
        <a:noFill/>
        <a:ln w="9525">
          <a:noFill/>
          <a:miter lim="800000"/>
          <a:headEnd/>
          <a:tailEnd/>
        </a:ln>
      </xdr:spPr>
    </xdr:pic>
    <xdr:clientData/>
  </xdr:twoCellAnchor>
  <xdr:twoCellAnchor>
    <xdr:from>
      <xdr:col>21</xdr:col>
      <xdr:colOff>476249</xdr:colOff>
      <xdr:row>2</xdr:row>
      <xdr:rowOff>81641</xdr:rowOff>
    </xdr:from>
    <xdr:to>
      <xdr:col>21</xdr:col>
      <xdr:colOff>1455298</xdr:colOff>
      <xdr:row>4</xdr:row>
      <xdr:rowOff>136070</xdr:rowOff>
    </xdr:to>
    <xdr:pic>
      <xdr:nvPicPr>
        <xdr:cNvPr id="10"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27631158" y="531914"/>
          <a:ext cx="979049" cy="470065"/>
        </a:xfrm>
        <a:prstGeom prst="rect">
          <a:avLst/>
        </a:prstGeom>
        <a:noFill/>
        <a:ln w="9525">
          <a:noFill/>
          <a:miter lim="800000"/>
          <a:headEnd/>
          <a:tailEnd/>
        </a:ln>
      </xdr:spPr>
    </xdr:pic>
    <xdr:clientData/>
  </xdr:twoCellAnchor>
  <xdr:twoCellAnchor>
    <xdr:from>
      <xdr:col>31</xdr:col>
      <xdr:colOff>476249</xdr:colOff>
      <xdr:row>2</xdr:row>
      <xdr:rowOff>81641</xdr:rowOff>
    </xdr:from>
    <xdr:to>
      <xdr:col>31</xdr:col>
      <xdr:colOff>1455298</xdr:colOff>
      <xdr:row>4</xdr:row>
      <xdr:rowOff>136070</xdr:rowOff>
    </xdr:to>
    <xdr:pic>
      <xdr:nvPicPr>
        <xdr:cNvPr id="11"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34367931" y="531914"/>
          <a:ext cx="979049" cy="470065"/>
        </a:xfrm>
        <a:prstGeom prst="rect">
          <a:avLst/>
        </a:prstGeom>
        <a:noFill/>
        <a:ln w="9525">
          <a:noFill/>
          <a:miter lim="800000"/>
          <a:headEnd/>
          <a:tailEnd/>
        </a:ln>
      </xdr:spPr>
    </xdr:pic>
    <xdr:clientData/>
  </xdr:twoCellAnchor>
  <xdr:twoCellAnchor>
    <xdr:from>
      <xdr:col>25</xdr:col>
      <xdr:colOff>476249</xdr:colOff>
      <xdr:row>2</xdr:row>
      <xdr:rowOff>81641</xdr:rowOff>
    </xdr:from>
    <xdr:to>
      <xdr:col>25</xdr:col>
      <xdr:colOff>1455298</xdr:colOff>
      <xdr:row>4</xdr:row>
      <xdr:rowOff>136070</xdr:rowOff>
    </xdr:to>
    <xdr:pic>
      <xdr:nvPicPr>
        <xdr:cNvPr id="12"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34593067" y="531914"/>
          <a:ext cx="979049" cy="470065"/>
        </a:xfrm>
        <a:prstGeom prst="rect">
          <a:avLst/>
        </a:prstGeom>
        <a:noFill/>
        <a:ln w="9525">
          <a:noFill/>
          <a:miter lim="800000"/>
          <a:headEnd/>
          <a:tailEnd/>
        </a:ln>
      </xdr:spPr>
    </xdr:pic>
    <xdr:clientData/>
  </xdr:twoCellAnchor>
  <xdr:twoCellAnchor>
    <xdr:from>
      <xdr:col>33</xdr:col>
      <xdr:colOff>476249</xdr:colOff>
      <xdr:row>2</xdr:row>
      <xdr:rowOff>81641</xdr:rowOff>
    </xdr:from>
    <xdr:to>
      <xdr:col>33</xdr:col>
      <xdr:colOff>1455298</xdr:colOff>
      <xdr:row>4</xdr:row>
      <xdr:rowOff>136070</xdr:rowOff>
    </xdr:to>
    <xdr:pic>
      <xdr:nvPicPr>
        <xdr:cNvPr id="13"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42022567" y="531914"/>
          <a:ext cx="979049" cy="470065"/>
        </a:xfrm>
        <a:prstGeom prst="rect">
          <a:avLst/>
        </a:prstGeom>
        <a:noFill/>
        <a:ln w="9525">
          <a:noFill/>
          <a:miter lim="800000"/>
          <a:headEnd/>
          <a:tailEnd/>
        </a:ln>
      </xdr:spPr>
    </xdr:pic>
    <xdr:clientData/>
  </xdr:twoCellAnchor>
  <xdr:twoCellAnchor>
    <xdr:from>
      <xdr:col>27</xdr:col>
      <xdr:colOff>476249</xdr:colOff>
      <xdr:row>2</xdr:row>
      <xdr:rowOff>81641</xdr:rowOff>
    </xdr:from>
    <xdr:to>
      <xdr:col>27</xdr:col>
      <xdr:colOff>1455298</xdr:colOff>
      <xdr:row>4</xdr:row>
      <xdr:rowOff>136070</xdr:rowOff>
    </xdr:to>
    <xdr:pic>
      <xdr:nvPicPr>
        <xdr:cNvPr id="14"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41797431" y="531914"/>
          <a:ext cx="979049" cy="470065"/>
        </a:xfrm>
        <a:prstGeom prst="rect">
          <a:avLst/>
        </a:prstGeom>
        <a:noFill/>
        <a:ln w="9525">
          <a:noFill/>
          <a:miter lim="800000"/>
          <a:headEnd/>
          <a:tailEnd/>
        </a:ln>
      </xdr:spPr>
    </xdr:pic>
    <xdr:clientData/>
  </xdr:twoCellAnchor>
  <xdr:twoCellAnchor>
    <xdr:from>
      <xdr:col>29</xdr:col>
      <xdr:colOff>476249</xdr:colOff>
      <xdr:row>2</xdr:row>
      <xdr:rowOff>81641</xdr:rowOff>
    </xdr:from>
    <xdr:to>
      <xdr:col>29</xdr:col>
      <xdr:colOff>1455298</xdr:colOff>
      <xdr:row>4</xdr:row>
      <xdr:rowOff>136070</xdr:rowOff>
    </xdr:to>
    <xdr:pic>
      <xdr:nvPicPr>
        <xdr:cNvPr id="15"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45382294" y="531914"/>
          <a:ext cx="979049" cy="470065"/>
        </a:xfrm>
        <a:prstGeom prst="rect">
          <a:avLst/>
        </a:prstGeom>
        <a:noFill/>
        <a:ln w="9525">
          <a:noFill/>
          <a:miter lim="800000"/>
          <a:headEnd/>
          <a:tailEnd/>
        </a:ln>
      </xdr:spPr>
    </xdr:pic>
    <xdr:clientData/>
  </xdr:twoCellAnchor>
  <xdr:twoCellAnchor>
    <xdr:from>
      <xdr:col>35</xdr:col>
      <xdr:colOff>476249</xdr:colOff>
      <xdr:row>2</xdr:row>
      <xdr:rowOff>81641</xdr:rowOff>
    </xdr:from>
    <xdr:to>
      <xdr:col>35</xdr:col>
      <xdr:colOff>1455298</xdr:colOff>
      <xdr:row>4</xdr:row>
      <xdr:rowOff>136070</xdr:rowOff>
    </xdr:to>
    <xdr:pic>
      <xdr:nvPicPr>
        <xdr:cNvPr id="16"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59775089" y="462641"/>
          <a:ext cx="979049" cy="420189"/>
        </a:xfrm>
        <a:prstGeom prst="rect">
          <a:avLst/>
        </a:prstGeom>
        <a:noFill/>
        <a:ln w="9525">
          <a:noFill/>
          <a:miter lim="800000"/>
          <a:headEnd/>
          <a:tailEnd/>
        </a:ln>
      </xdr:spPr>
    </xdr:pic>
    <xdr:clientData/>
  </xdr:twoCellAnchor>
  <xdr:twoCellAnchor>
    <xdr:from>
      <xdr:col>39</xdr:col>
      <xdr:colOff>476249</xdr:colOff>
      <xdr:row>2</xdr:row>
      <xdr:rowOff>81641</xdr:rowOff>
    </xdr:from>
    <xdr:to>
      <xdr:col>39</xdr:col>
      <xdr:colOff>1455298</xdr:colOff>
      <xdr:row>4</xdr:row>
      <xdr:rowOff>136070</xdr:rowOff>
    </xdr:to>
    <xdr:pic>
      <xdr:nvPicPr>
        <xdr:cNvPr id="17"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60369449" y="538841"/>
          <a:ext cx="979049" cy="473529"/>
        </a:xfrm>
        <a:prstGeom prst="rect">
          <a:avLst/>
        </a:prstGeom>
        <a:noFill/>
        <a:ln w="9525">
          <a:noFill/>
          <a:miter lim="800000"/>
          <a:headEnd/>
          <a:tailEnd/>
        </a:ln>
      </xdr:spPr>
    </xdr:pic>
    <xdr:clientData/>
  </xdr:twoCellAnchor>
  <xdr:twoCellAnchor>
    <xdr:from>
      <xdr:col>37</xdr:col>
      <xdr:colOff>476249</xdr:colOff>
      <xdr:row>2</xdr:row>
      <xdr:rowOff>81641</xdr:rowOff>
    </xdr:from>
    <xdr:to>
      <xdr:col>37</xdr:col>
      <xdr:colOff>1455298</xdr:colOff>
      <xdr:row>4</xdr:row>
      <xdr:rowOff>136070</xdr:rowOff>
    </xdr:to>
    <xdr:pic>
      <xdr:nvPicPr>
        <xdr:cNvPr id="18"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60345204" y="531914"/>
          <a:ext cx="979049" cy="47006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742950</xdr:colOff>
          <xdr:row>6</xdr:row>
          <xdr:rowOff>142875</xdr:rowOff>
        </xdr:to>
        <xdr:sp macro="" textlink="">
          <xdr:nvSpPr>
            <xdr:cNvPr id="149505" name="Object 1" hidden="1">
              <a:extLst>
                <a:ext uri="{63B3BB69-23CF-44E3-9099-C40C66FF867C}">
                  <a14:compatExt spid="_x0000_s1495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49506" name="Object 2" hidden="1">
              <a:extLst>
                <a:ext uri="{63B3BB69-23CF-44E3-9099-C40C66FF867C}">
                  <a14:compatExt spid="_x0000_s14950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11</xdr:row>
          <xdr:rowOff>209550</xdr:rowOff>
        </xdr:to>
        <xdr:sp macro="" textlink="">
          <xdr:nvSpPr>
            <xdr:cNvPr id="149509" name="Check Box 5" hidden="1">
              <a:extLst>
                <a:ext uri="{63B3BB69-23CF-44E3-9099-C40C66FF867C}">
                  <a14:compatExt spid="_x0000_s149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11</xdr:row>
          <xdr:rowOff>209550</xdr:rowOff>
        </xdr:to>
        <xdr:sp macro="" textlink="">
          <xdr:nvSpPr>
            <xdr:cNvPr id="149510" name="Check Box 6" hidden="1">
              <a:extLst>
                <a:ext uri="{63B3BB69-23CF-44E3-9099-C40C66FF867C}">
                  <a14:compatExt spid="_x0000_s149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112116"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57697" name="Object 1" hidden="1">
              <a:extLst>
                <a:ext uri="{63B3BB69-23CF-44E3-9099-C40C66FF867C}">
                  <a14:compatExt spid="_x0000_s1576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57700" name="Check Box 4" hidden="1">
              <a:extLst>
                <a:ext uri="{63B3BB69-23CF-44E3-9099-C40C66FF867C}">
                  <a14:compatExt spid="_x0000_s157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57701" name="Check Box 5" hidden="1">
              <a:extLst>
                <a:ext uri="{63B3BB69-23CF-44E3-9099-C40C66FF867C}">
                  <a14:compatExt spid="_x0000_s157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1072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158721" name="Object 1" hidden="1">
              <a:extLst>
                <a:ext uri="{63B3BB69-23CF-44E3-9099-C40C66FF867C}">
                  <a14:compatExt spid="_x0000_s1587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58724" name="Check Box 4" hidden="1">
              <a:extLst>
                <a:ext uri="{63B3BB69-23CF-44E3-9099-C40C66FF867C}">
                  <a14:compatExt spid="_x0000_s158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58725" name="Check Box 5" hidden="1">
              <a:extLst>
                <a:ext uri="{63B3BB69-23CF-44E3-9099-C40C66FF867C}">
                  <a14:compatExt spid="_x0000_s158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3010"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0769" name="Object 1" hidden="1">
              <a:extLst>
                <a:ext uri="{63B3BB69-23CF-44E3-9099-C40C66FF867C}">
                  <a14:compatExt spid="_x0000_s16076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60772" name="Check Box 4" hidden="1">
              <a:extLst>
                <a:ext uri="{63B3BB69-23CF-44E3-9099-C40C66FF867C}">
                  <a14:compatExt spid="_x0000_s160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60773" name="Check Box 5" hidden="1">
              <a:extLst>
                <a:ext uri="{63B3BB69-23CF-44E3-9099-C40C66FF867C}">
                  <a14:compatExt spid="_x0000_s160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923649" name="Object 1" hidden="1">
              <a:extLst>
                <a:ext uri="{63B3BB69-23CF-44E3-9099-C40C66FF867C}">
                  <a14:compatExt spid="_x0000_s9236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923650" name="Check Box 2" hidden="1">
              <a:extLst>
                <a:ext uri="{63B3BB69-23CF-44E3-9099-C40C66FF867C}">
                  <a14:compatExt spid="_x0000_s923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923651" name="Check Box 3" hidden="1">
              <a:extLst>
                <a:ext uri="{63B3BB69-23CF-44E3-9099-C40C66FF867C}">
                  <a14:compatExt spid="_x0000_s923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07681" name="Object 1" hidden="1">
              <a:extLst>
                <a:ext uri="{63B3BB69-23CF-44E3-9099-C40C66FF867C}">
                  <a14:compatExt spid="_x0000_s160768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57150</xdr:rowOff>
        </xdr:to>
        <xdr:sp macro="" textlink="">
          <xdr:nvSpPr>
            <xdr:cNvPr id="1607682" name="Check Box 2" hidden="1">
              <a:extLst>
                <a:ext uri="{63B3BB69-23CF-44E3-9099-C40C66FF867C}">
                  <a14:compatExt spid="_x0000_s1607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57150</xdr:rowOff>
        </xdr:to>
        <xdr:sp macro="" textlink="">
          <xdr:nvSpPr>
            <xdr:cNvPr id="1607683" name="Check Box 3" hidden="1">
              <a:extLst>
                <a:ext uri="{63B3BB69-23CF-44E3-9099-C40C66FF867C}">
                  <a14:compatExt spid="_x0000_s1607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4865" name="Object 1" hidden="1">
              <a:extLst>
                <a:ext uri="{63B3BB69-23CF-44E3-9099-C40C66FF867C}">
                  <a14:compatExt spid="_x0000_s1648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64868" name="Check Box 4" hidden="1">
              <a:extLst>
                <a:ext uri="{63B3BB69-23CF-44E3-9099-C40C66FF867C}">
                  <a14:compatExt spid="_x0000_s164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64869" name="Check Box 5" hidden="1">
              <a:extLst>
                <a:ext uri="{63B3BB69-23CF-44E3-9099-C40C66FF867C}">
                  <a14:compatExt spid="_x0000_s164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590273" name="Object 1" hidden="1">
              <a:extLst>
                <a:ext uri="{63B3BB69-23CF-44E3-9099-C40C66FF867C}">
                  <a14:compatExt spid="_x0000_s1590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590274" name="Check Box 2" hidden="1">
              <a:extLst>
                <a:ext uri="{63B3BB69-23CF-44E3-9099-C40C66FF867C}">
                  <a14:compatExt spid="_x0000_s1590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590275" name="Check Box 3" hidden="1">
              <a:extLst>
                <a:ext uri="{63B3BB69-23CF-44E3-9099-C40C66FF867C}">
                  <a14:compatExt spid="_x0000_s1590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88577" name="Object 1" hidden="1">
              <a:extLst>
                <a:ext uri="{63B3BB69-23CF-44E3-9099-C40C66FF867C}">
                  <a14:compatExt spid="_x0000_s168857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88578" name="Check Box 2" hidden="1">
              <a:extLst>
                <a:ext uri="{63B3BB69-23CF-44E3-9099-C40C66FF867C}">
                  <a14:compatExt spid="_x0000_s1688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88579" name="Check Box 3" hidden="1">
              <a:extLst>
                <a:ext uri="{63B3BB69-23CF-44E3-9099-C40C66FF867C}">
                  <a14:compatExt spid="_x0000_s1688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28576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526337" name="Object 1" hidden="1">
              <a:extLst>
                <a:ext uri="{63B3BB69-23CF-44E3-9099-C40C66FF867C}">
                  <a14:compatExt spid="_x0000_s5263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526338" name="Check Box 2" hidden="1">
              <a:extLst>
                <a:ext uri="{63B3BB69-23CF-44E3-9099-C40C66FF867C}">
                  <a14:compatExt spid="_x0000_s526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526339" name="Check Box 3" hidden="1">
              <a:extLst>
                <a:ext uri="{63B3BB69-23CF-44E3-9099-C40C66FF867C}">
                  <a14:compatExt spid="_x0000_s526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47626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226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85505" name="Object 1" hidden="1">
              <a:extLst>
                <a:ext uri="{63B3BB69-23CF-44E3-9099-C40C66FF867C}">
                  <a14:compatExt spid="_x0000_s16855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95250</xdr:rowOff>
        </xdr:to>
        <xdr:sp macro="" textlink="">
          <xdr:nvSpPr>
            <xdr:cNvPr id="1685506" name="Check Box 2" hidden="1">
              <a:extLst>
                <a:ext uri="{63B3BB69-23CF-44E3-9099-C40C66FF867C}">
                  <a14:compatExt spid="_x0000_s1685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95250</xdr:rowOff>
        </xdr:to>
        <xdr:sp macro="" textlink="">
          <xdr:nvSpPr>
            <xdr:cNvPr id="1685507" name="Check Box 3" hidden="1">
              <a:extLst>
                <a:ext uri="{63B3BB69-23CF-44E3-9099-C40C66FF867C}">
                  <a14:compatExt spid="_x0000_s1685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28576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89601" name="Object 1" hidden="1">
              <a:extLst>
                <a:ext uri="{63B3BB69-23CF-44E3-9099-C40C66FF867C}">
                  <a14:compatExt spid="_x0000_s16896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89602" name="Check Box 2" hidden="1">
              <a:extLst>
                <a:ext uri="{63B3BB69-23CF-44E3-9099-C40C66FF867C}">
                  <a14:compatExt spid="_x0000_s16896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89603" name="Check Box 3" hidden="1">
              <a:extLst>
                <a:ext uri="{63B3BB69-23CF-44E3-9099-C40C66FF867C}">
                  <a14:compatExt spid="_x0000_s16896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51954</xdr:colOff>
      <xdr:row>2</xdr:row>
      <xdr:rowOff>17319</xdr:rowOff>
    </xdr:from>
    <xdr:to>
      <xdr:col>1</xdr:col>
      <xdr:colOff>709179</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8657" name="Object 1" hidden="1">
              <a:extLst>
                <a:ext uri="{63B3BB69-23CF-44E3-9099-C40C66FF867C}">
                  <a14:compatExt spid="_x0000_s1986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8660" name="Check Box 4" hidden="1">
              <a:extLst>
                <a:ext uri="{63B3BB69-23CF-44E3-9099-C40C66FF867C}">
                  <a14:compatExt spid="_x0000_s198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8661" name="Check Box 5" hidden="1">
              <a:extLst>
                <a:ext uri="{63B3BB69-23CF-44E3-9099-C40C66FF867C}">
                  <a14:compatExt spid="_x0000_s198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2273" name="Object 1" hidden="1">
              <a:extLst>
                <a:ext uri="{63B3BB69-23CF-44E3-9099-C40C66FF867C}">
                  <a14:compatExt spid="_x0000_s182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2276" name="Check Box 4" hidden="1">
              <a:extLst>
                <a:ext uri="{63B3BB69-23CF-44E3-9099-C40C66FF867C}">
                  <a14:compatExt spid="_x0000_s182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2277" name="Check Box 5" hidden="1">
              <a:extLst>
                <a:ext uri="{63B3BB69-23CF-44E3-9099-C40C66FF867C}">
                  <a14:compatExt spid="_x0000_s182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3297" name="Object 1" hidden="1">
              <a:extLst>
                <a:ext uri="{63B3BB69-23CF-44E3-9099-C40C66FF867C}">
                  <a14:compatExt spid="_x0000_s1832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3300" name="Check Box 4" hidden="1">
              <a:extLst>
                <a:ext uri="{63B3BB69-23CF-44E3-9099-C40C66FF867C}">
                  <a14:compatExt spid="_x0000_s183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3301" name="Check Box 5" hidden="1">
              <a:extLst>
                <a:ext uri="{63B3BB69-23CF-44E3-9099-C40C66FF867C}">
                  <a14:compatExt spid="_x0000_s183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5345" name="Object 1" hidden="1">
              <a:extLst>
                <a:ext uri="{63B3BB69-23CF-44E3-9099-C40C66FF867C}">
                  <a14:compatExt spid="_x0000_s1853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5348" name="Check Box 4" hidden="1">
              <a:extLst>
                <a:ext uri="{63B3BB69-23CF-44E3-9099-C40C66FF867C}">
                  <a14:compatExt spid="_x0000_s185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5349" name="Check Box 5" hidden="1">
              <a:extLst>
                <a:ext uri="{63B3BB69-23CF-44E3-9099-C40C66FF867C}">
                  <a14:compatExt spid="_x0000_s185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50223</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90625" name="Object 1" hidden="1">
              <a:extLst>
                <a:ext uri="{63B3BB69-23CF-44E3-9099-C40C66FF867C}">
                  <a14:compatExt spid="_x0000_s16906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90626" name="Check Box 2" hidden="1">
              <a:extLst>
                <a:ext uri="{63B3BB69-23CF-44E3-9099-C40C66FF867C}">
                  <a14:compatExt spid="_x0000_s1690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90627" name="Check Box 3" hidden="1">
              <a:extLst>
                <a:ext uri="{63B3BB69-23CF-44E3-9099-C40C66FF867C}">
                  <a14:compatExt spid="_x0000_s1690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32905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527361" name="Object 1" hidden="1">
              <a:extLst>
                <a:ext uri="{63B3BB69-23CF-44E3-9099-C40C66FF867C}">
                  <a14:compatExt spid="_x0000_s5273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527362" name="Check Box 2" hidden="1">
              <a:extLst>
                <a:ext uri="{63B3BB69-23CF-44E3-9099-C40C66FF867C}">
                  <a14:compatExt spid="_x0000_s527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527363" name="Check Box 3" hidden="1">
              <a:extLst>
                <a:ext uri="{63B3BB69-23CF-44E3-9099-C40C66FF867C}">
                  <a14:compatExt spid="_x0000_s527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7393" name="Object 1" hidden="1">
              <a:extLst>
                <a:ext uri="{63B3BB69-23CF-44E3-9099-C40C66FF867C}">
                  <a14:compatExt spid="_x0000_s187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7396" name="Check Box 4" hidden="1">
              <a:extLst>
                <a:ext uri="{63B3BB69-23CF-44E3-9099-C40C66FF867C}">
                  <a14:compatExt spid="_x0000_s187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7397" name="Check Box 5" hidden="1">
              <a:extLst>
                <a:ext uri="{63B3BB69-23CF-44E3-9099-C40C66FF867C}">
                  <a14:compatExt spid="_x0000_s187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3"/>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1489" name="Object 1" hidden="1">
              <a:extLst>
                <a:ext uri="{63B3BB69-23CF-44E3-9099-C40C66FF867C}">
                  <a14:compatExt spid="_x0000_s191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1492" name="Check Box 4" hidden="1">
              <a:extLst>
                <a:ext uri="{63B3BB69-23CF-44E3-9099-C40C66FF867C}">
                  <a14:compatExt spid="_x0000_s191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1493" name="Check Box 5" hidden="1">
              <a:extLst>
                <a:ext uri="{63B3BB69-23CF-44E3-9099-C40C66FF867C}">
                  <a14:compatExt spid="_x0000_s191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5585" name="Object 1" hidden="1">
              <a:extLst>
                <a:ext uri="{63B3BB69-23CF-44E3-9099-C40C66FF867C}">
                  <a14:compatExt spid="_x0000_s19558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5588" name="Check Box 4" hidden="1">
              <a:extLst>
                <a:ext uri="{63B3BB69-23CF-44E3-9099-C40C66FF867C}">
                  <a14:compatExt spid="_x0000_s195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5589" name="Check Box 5" hidden="1">
              <a:extLst>
                <a:ext uri="{63B3BB69-23CF-44E3-9099-C40C66FF867C}">
                  <a14:compatExt spid="_x0000_s195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2753" name="Object 1" hidden="1">
              <a:extLst>
                <a:ext uri="{63B3BB69-23CF-44E3-9099-C40C66FF867C}">
                  <a14:compatExt spid="_x0000_s202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2756" name="Check Box 4" hidden="1">
              <a:extLst>
                <a:ext uri="{63B3BB69-23CF-44E3-9099-C40C66FF867C}">
                  <a14:compatExt spid="_x0000_s202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2757" name="Check Box 5" hidden="1">
              <a:extLst>
                <a:ext uri="{63B3BB69-23CF-44E3-9099-C40C66FF867C}">
                  <a14:compatExt spid="_x0000_s202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4354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3777" name="Object 1" hidden="1">
              <a:extLst>
                <a:ext uri="{63B3BB69-23CF-44E3-9099-C40C66FF867C}">
                  <a14:compatExt spid="_x0000_s20377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3780" name="Check Box 4" hidden="1">
              <a:extLst>
                <a:ext uri="{63B3BB69-23CF-44E3-9099-C40C66FF867C}">
                  <a14:compatExt spid="_x0000_s203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3781" name="Check Box 5" hidden="1">
              <a:extLst>
                <a:ext uri="{63B3BB69-23CF-44E3-9099-C40C66FF867C}">
                  <a14:compatExt spid="_x0000_s203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4801" name="Object 1" hidden="1">
              <a:extLst>
                <a:ext uri="{63B3BB69-23CF-44E3-9099-C40C66FF867C}">
                  <a14:compatExt spid="_x0000_s2048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4804" name="Check Box 4" hidden="1">
              <a:extLst>
                <a:ext uri="{63B3BB69-23CF-44E3-9099-C40C66FF867C}">
                  <a14:compatExt spid="_x0000_s204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4805" name="Check Box 5" hidden="1">
              <a:extLst>
                <a:ext uri="{63B3BB69-23CF-44E3-9099-C40C66FF867C}">
                  <a14:compatExt spid="_x0000_s204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27709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8897" name="Object 1" hidden="1">
              <a:extLst>
                <a:ext uri="{63B3BB69-23CF-44E3-9099-C40C66FF867C}">
                  <a14:compatExt spid="_x0000_s2088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8900" name="Check Box 4" hidden="1">
              <a:extLst>
                <a:ext uri="{63B3BB69-23CF-44E3-9099-C40C66FF867C}">
                  <a14:compatExt spid="_x0000_s208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8901" name="Check Box 5" hidden="1">
              <a:extLst>
                <a:ext uri="{63B3BB69-23CF-44E3-9099-C40C66FF867C}">
                  <a14:compatExt spid="_x0000_s208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103910</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10945" name="Object 1" hidden="1">
              <a:extLst>
                <a:ext uri="{63B3BB69-23CF-44E3-9099-C40C66FF867C}">
                  <a14:compatExt spid="_x0000_s2109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10948" name="Check Box 4" hidden="1">
              <a:extLst>
                <a:ext uri="{63B3BB69-23CF-44E3-9099-C40C66FF867C}">
                  <a14:compatExt spid="_x0000_s210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10949" name="Check Box 5" hidden="1">
              <a:extLst>
                <a:ext uri="{63B3BB69-23CF-44E3-9099-C40C66FF867C}">
                  <a14:compatExt spid="_x0000_s210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0</xdr:col>
      <xdr:colOff>76200</xdr:colOff>
      <xdr:row>1</xdr:row>
      <xdr:rowOff>47625</xdr:rowOff>
    </xdr:from>
    <xdr:to>
      <xdr:col>1</xdr:col>
      <xdr:colOff>0</xdr:colOff>
      <xdr:row>6</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19075"/>
          <a:ext cx="133350" cy="847725"/>
        </a:xfrm>
        <a:prstGeom prst="rect">
          <a:avLst/>
        </a:prstGeom>
        <a:noFill/>
        <a:ln w="9525">
          <a:noFill/>
          <a:miter lim="800000"/>
          <a:headEnd/>
          <a:tailEnd/>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76200</xdr:colOff>
      <xdr:row>1</xdr:row>
      <xdr:rowOff>47625</xdr:rowOff>
    </xdr:from>
    <xdr:to>
      <xdr:col>1</xdr:col>
      <xdr:colOff>0</xdr:colOff>
      <xdr:row>6</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19075"/>
          <a:ext cx="133350" cy="847725"/>
        </a:xfrm>
        <a:prstGeom prst="rect">
          <a:avLst/>
        </a:prstGeom>
        <a:noFill/>
        <a:ln w="9525">
          <a:noFill/>
          <a:miter lim="800000"/>
          <a:headEnd/>
          <a:tailEnd/>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144780" name="Text Box 225"/>
        <xdr:cNvSpPr txBox="1">
          <a:spLocks noChangeArrowheads="1"/>
        </xdr:cNvSpPr>
      </xdr:nvSpPr>
      <xdr:spPr bwMode="auto">
        <a:xfrm>
          <a:off x="0" y="130492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144781" name="Text Box 225"/>
        <xdr:cNvSpPr txBox="1">
          <a:spLocks noChangeArrowheads="1"/>
        </xdr:cNvSpPr>
      </xdr:nvSpPr>
      <xdr:spPr bwMode="auto">
        <a:xfrm>
          <a:off x="0" y="11334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2"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3"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144784" name="Text Box 225"/>
        <xdr:cNvSpPr txBox="1">
          <a:spLocks noChangeArrowheads="1"/>
        </xdr:cNvSpPr>
      </xdr:nvSpPr>
      <xdr:spPr bwMode="auto">
        <a:xfrm>
          <a:off x="0" y="647700"/>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26305" name="Object 1" hidden="1">
              <a:extLst>
                <a:ext uri="{63B3BB69-23CF-44E3-9099-C40C66FF867C}">
                  <a14:compatExt spid="_x0000_s2263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26308" name="Check Box 4" hidden="1">
              <a:extLst>
                <a:ext uri="{63B3BB69-23CF-44E3-9099-C40C66FF867C}">
                  <a14:compatExt spid="_x0000_s226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26309" name="Check Box 5" hidden="1">
              <a:extLst>
                <a:ext uri="{63B3BB69-23CF-44E3-9099-C40C66FF867C}">
                  <a14:compatExt spid="_x0000_s226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3473" name="Object 1" hidden="1">
              <a:extLst>
                <a:ext uri="{63B3BB69-23CF-44E3-9099-C40C66FF867C}">
                  <a14:compatExt spid="_x0000_s2334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3476" name="Check Box 4" hidden="1">
              <a:extLst>
                <a:ext uri="{63B3BB69-23CF-44E3-9099-C40C66FF867C}">
                  <a14:compatExt spid="_x0000_s233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3477" name="Check Box 5" hidden="1">
              <a:extLst>
                <a:ext uri="{63B3BB69-23CF-44E3-9099-C40C66FF867C}">
                  <a14:compatExt spid="_x0000_s233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6545" name="Object 1" hidden="1">
              <a:extLst>
                <a:ext uri="{63B3BB69-23CF-44E3-9099-C40C66FF867C}">
                  <a14:compatExt spid="_x0000_s2365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6548" name="Check Box 4" hidden="1">
              <a:extLst>
                <a:ext uri="{63B3BB69-23CF-44E3-9099-C40C66FF867C}">
                  <a14:compatExt spid="_x0000_s236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6549" name="Check Box 5" hidden="1">
              <a:extLst>
                <a:ext uri="{63B3BB69-23CF-44E3-9099-C40C66FF867C}">
                  <a14:compatExt spid="_x0000_s236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39179" name="Text Box 225"/>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9180" name="Text Box 225"/>
        <xdr:cNvSpPr txBox="1">
          <a:spLocks noChangeArrowheads="1"/>
        </xdr:cNvSpPr>
      </xdr:nvSpPr>
      <xdr:spPr bwMode="auto">
        <a:xfrm>
          <a:off x="0" y="8324850"/>
          <a:ext cx="104775" cy="39052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39181" name="Text Box 225"/>
        <xdr:cNvSpPr txBox="1">
          <a:spLocks noChangeArrowheads="1"/>
        </xdr:cNvSpPr>
      </xdr:nvSpPr>
      <xdr:spPr bwMode="auto">
        <a:xfrm>
          <a:off x="0" y="8324850"/>
          <a:ext cx="104775" cy="38100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9182"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4737" name="Object 1" hidden="1">
              <a:extLst>
                <a:ext uri="{63B3BB69-23CF-44E3-9099-C40C66FF867C}">
                  <a14:compatExt spid="_x0000_s2447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4740" name="Check Box 4" hidden="1">
              <a:extLst>
                <a:ext uri="{63B3BB69-23CF-44E3-9099-C40C66FF867C}">
                  <a14:compatExt spid="_x0000_s244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4741" name="Check Box 5" hidden="1">
              <a:extLst>
                <a:ext uri="{63B3BB69-23CF-44E3-9099-C40C66FF867C}">
                  <a14:compatExt spid="_x0000_s244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38342" name="Text Box 225"/>
        <xdr:cNvSpPr txBox="1">
          <a:spLocks noChangeArrowheads="1"/>
        </xdr:cNvSpPr>
      </xdr:nvSpPr>
      <xdr:spPr bwMode="auto">
        <a:xfrm>
          <a:off x="0" y="14668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8343" name="Text Box 225"/>
        <xdr:cNvSpPr txBox="1">
          <a:spLocks noChangeArrowheads="1"/>
        </xdr:cNvSpPr>
      </xdr:nvSpPr>
      <xdr:spPr bwMode="auto">
        <a:xfrm>
          <a:off x="0" y="1133475"/>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38344" name="Text Box 225"/>
        <xdr:cNvSpPr txBox="1">
          <a:spLocks noChangeArrowheads="1"/>
        </xdr:cNvSpPr>
      </xdr:nvSpPr>
      <xdr:spPr bwMode="auto">
        <a:xfrm>
          <a:off x="0" y="1133475"/>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38345" name="Text Box 225"/>
        <xdr:cNvSpPr txBox="1">
          <a:spLocks noChangeArrowheads="1"/>
        </xdr:cNvSpPr>
      </xdr:nvSpPr>
      <xdr:spPr bwMode="auto">
        <a:xfrm>
          <a:off x="0" y="1133475"/>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38346" name="Text Box 225"/>
        <xdr:cNvSpPr txBox="1">
          <a:spLocks noChangeArrowheads="1"/>
        </xdr:cNvSpPr>
      </xdr:nvSpPr>
      <xdr:spPr bwMode="auto">
        <a:xfrm>
          <a:off x="0" y="647700"/>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38347" name="Text Box 225"/>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38348" name="Text Box 225"/>
        <xdr:cNvSpPr txBox="1">
          <a:spLocks noChangeArrowheads="1"/>
        </xdr:cNvSpPr>
      </xdr:nvSpPr>
      <xdr:spPr bwMode="auto">
        <a:xfrm>
          <a:off x="0" y="912495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38349" name="Text Box 225"/>
        <xdr:cNvSpPr txBox="1">
          <a:spLocks noChangeArrowheads="1"/>
        </xdr:cNvSpPr>
      </xdr:nvSpPr>
      <xdr:spPr bwMode="auto">
        <a:xfrm>
          <a:off x="0" y="9124950"/>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8350"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87745" name="Object 1" hidden="1">
              <a:extLst>
                <a:ext uri="{63B3BB69-23CF-44E3-9099-C40C66FF867C}">
                  <a14:compatExt spid="_x0000_s2877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87748" name="Check Box 4" hidden="1">
              <a:extLst>
                <a:ext uri="{63B3BB69-23CF-44E3-9099-C40C66FF867C}">
                  <a14:compatExt spid="_x0000_s287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87749" name="Check Box 5" hidden="1">
              <a:extLst>
                <a:ext uri="{63B3BB69-23CF-44E3-9099-C40C66FF867C}">
                  <a14:compatExt spid="_x0000_s287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5"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0033" name="Object 1" hidden="1">
              <a:extLst>
                <a:ext uri="{63B3BB69-23CF-44E3-9099-C40C66FF867C}">
                  <a14:compatExt spid="_x0000_s3000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0036" name="Check Box 4" hidden="1">
              <a:extLst>
                <a:ext uri="{63B3BB69-23CF-44E3-9099-C40C66FF867C}">
                  <a14:compatExt spid="_x0000_s300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0037" name="Check Box 5" hidden="1">
              <a:extLst>
                <a:ext uri="{63B3BB69-23CF-44E3-9099-C40C66FF867C}">
                  <a14:compatExt spid="_x0000_s300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8"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7201" name="Object 1" hidden="1">
              <a:extLst>
                <a:ext uri="{63B3BB69-23CF-44E3-9099-C40C66FF867C}">
                  <a14:compatExt spid="_x0000_s3072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7204" name="Check Box 4" hidden="1">
              <a:extLst>
                <a:ext uri="{63B3BB69-23CF-44E3-9099-C40C66FF867C}">
                  <a14:compatExt spid="_x0000_s307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7205" name="Check Box 5" hidden="1">
              <a:extLst>
                <a:ext uri="{63B3BB69-23CF-44E3-9099-C40C66FF867C}">
                  <a14:compatExt spid="_x0000_s307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8225" name="Object 1" hidden="1">
              <a:extLst>
                <a:ext uri="{63B3BB69-23CF-44E3-9099-C40C66FF867C}">
                  <a14:compatExt spid="_x0000_s3082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8228" name="Check Box 4" hidden="1">
              <a:extLst>
                <a:ext uri="{63B3BB69-23CF-44E3-9099-C40C66FF867C}">
                  <a14:compatExt spid="_x0000_s308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8229" name="Check Box 5" hidden="1">
              <a:extLst>
                <a:ext uri="{63B3BB69-23CF-44E3-9099-C40C66FF867C}">
                  <a14:compatExt spid="_x0000_s308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9249" name="Object 1" hidden="1">
              <a:extLst>
                <a:ext uri="{63B3BB69-23CF-44E3-9099-C40C66FF867C}">
                  <a14:compatExt spid="_x0000_s3092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9252" name="Check Box 4" hidden="1">
              <a:extLst>
                <a:ext uri="{63B3BB69-23CF-44E3-9099-C40C66FF867C}">
                  <a14:compatExt spid="_x0000_s309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9253" name="Check Box 5" hidden="1">
              <a:extLst>
                <a:ext uri="{63B3BB69-23CF-44E3-9099-C40C66FF867C}">
                  <a14:compatExt spid="_x0000_s309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0273" name="Object 1" hidden="1">
              <a:extLst>
                <a:ext uri="{63B3BB69-23CF-44E3-9099-C40C66FF867C}">
                  <a14:compatExt spid="_x0000_s310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0276" name="Check Box 4" hidden="1">
              <a:extLst>
                <a:ext uri="{63B3BB69-23CF-44E3-9099-C40C66FF867C}">
                  <a14:compatExt spid="_x0000_s310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0277" name="Check Box 5" hidden="1">
              <a:extLst>
                <a:ext uri="{63B3BB69-23CF-44E3-9099-C40C66FF867C}">
                  <a14:compatExt spid="_x0000_s310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6"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5393" name="Object 1" hidden="1">
              <a:extLst>
                <a:ext uri="{63B3BB69-23CF-44E3-9099-C40C66FF867C}">
                  <a14:compatExt spid="_x0000_s315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5396" name="Check Box 4" hidden="1">
              <a:extLst>
                <a:ext uri="{63B3BB69-23CF-44E3-9099-C40C66FF867C}">
                  <a14:compatExt spid="_x0000_s315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5397" name="Check Box 5" hidden="1">
              <a:extLst>
                <a:ext uri="{63B3BB69-23CF-44E3-9099-C40C66FF867C}">
                  <a14:compatExt spid="_x0000_s315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6417" name="Object 1" hidden="1">
              <a:extLst>
                <a:ext uri="{63B3BB69-23CF-44E3-9099-C40C66FF867C}">
                  <a14:compatExt spid="_x0000_s31641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6420" name="Check Box 4" hidden="1">
              <a:extLst>
                <a:ext uri="{63B3BB69-23CF-44E3-9099-C40C66FF867C}">
                  <a14:compatExt spid="_x0000_s316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6421" name="Check Box 5" hidden="1">
              <a:extLst>
                <a:ext uri="{63B3BB69-23CF-44E3-9099-C40C66FF867C}">
                  <a14:compatExt spid="_x0000_s316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8465" name="Object 1" hidden="1">
              <a:extLst>
                <a:ext uri="{63B3BB69-23CF-44E3-9099-C40C66FF867C}">
                  <a14:compatExt spid="_x0000_s3184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8468" name="Check Box 4" hidden="1">
              <a:extLst>
                <a:ext uri="{63B3BB69-23CF-44E3-9099-C40C66FF867C}">
                  <a14:compatExt spid="_x0000_s318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8469" name="Check Box 5" hidden="1">
              <a:extLst>
                <a:ext uri="{63B3BB69-23CF-44E3-9099-C40C66FF867C}">
                  <a14:compatExt spid="_x0000_s318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9489" name="Object 1" hidden="1">
              <a:extLst>
                <a:ext uri="{63B3BB69-23CF-44E3-9099-C40C66FF867C}">
                  <a14:compatExt spid="_x0000_s319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9492" name="Check Box 4" hidden="1">
              <a:extLst>
                <a:ext uri="{63B3BB69-23CF-44E3-9099-C40C66FF867C}">
                  <a14:compatExt spid="_x0000_s319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9493" name="Check Box 5" hidden="1">
              <a:extLst>
                <a:ext uri="{63B3BB69-23CF-44E3-9099-C40C66FF867C}">
                  <a14:compatExt spid="_x0000_s319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2561" name="Object 1" hidden="1">
              <a:extLst>
                <a:ext uri="{63B3BB69-23CF-44E3-9099-C40C66FF867C}">
                  <a14:compatExt spid="_x0000_s322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2564" name="Check Box 4" hidden="1">
              <a:extLst>
                <a:ext uri="{63B3BB69-23CF-44E3-9099-C40C66FF867C}">
                  <a14:compatExt spid="_x0000_s322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2565" name="Check Box 5" hidden="1">
              <a:extLst>
                <a:ext uri="{63B3BB69-23CF-44E3-9099-C40C66FF867C}">
                  <a14:compatExt spid="_x0000_s322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4609" name="Object 1" hidden="1">
              <a:extLst>
                <a:ext uri="{63B3BB69-23CF-44E3-9099-C40C66FF867C}">
                  <a14:compatExt spid="_x0000_s3246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4612" name="Check Box 4" hidden="1">
              <a:extLst>
                <a:ext uri="{63B3BB69-23CF-44E3-9099-C40C66FF867C}">
                  <a14:compatExt spid="_x0000_s324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4613" name="Check Box 5" hidden="1">
              <a:extLst>
                <a:ext uri="{63B3BB69-23CF-44E3-9099-C40C66FF867C}">
                  <a14:compatExt spid="_x0000_s324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5633" name="Object 1" hidden="1">
              <a:extLst>
                <a:ext uri="{63B3BB69-23CF-44E3-9099-C40C66FF867C}">
                  <a14:compatExt spid="_x0000_s3256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5636" name="Check Box 4" hidden="1">
              <a:extLst>
                <a:ext uri="{63B3BB69-23CF-44E3-9099-C40C66FF867C}">
                  <a14:compatExt spid="_x0000_s325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5637" name="Check Box 5" hidden="1">
              <a:extLst>
                <a:ext uri="{63B3BB69-23CF-44E3-9099-C40C66FF867C}">
                  <a14:compatExt spid="_x0000_s325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6657" name="Object 1" hidden="1">
              <a:extLst>
                <a:ext uri="{63B3BB69-23CF-44E3-9099-C40C66FF867C}">
                  <a14:compatExt spid="_x0000_s3266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6660" name="Check Box 4" hidden="1">
              <a:extLst>
                <a:ext uri="{63B3BB69-23CF-44E3-9099-C40C66FF867C}">
                  <a14:compatExt spid="_x0000_s326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6661" name="Check Box 5" hidden="1">
              <a:extLst>
                <a:ext uri="{63B3BB69-23CF-44E3-9099-C40C66FF867C}">
                  <a14:compatExt spid="_x0000_s326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8705" name="Object 1" hidden="1">
              <a:extLst>
                <a:ext uri="{63B3BB69-23CF-44E3-9099-C40C66FF867C}">
                  <a14:compatExt spid="_x0000_s3287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8708" name="Check Box 4" hidden="1">
              <a:extLst>
                <a:ext uri="{63B3BB69-23CF-44E3-9099-C40C66FF867C}">
                  <a14:compatExt spid="_x0000_s328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8709" name="Check Box 5" hidden="1">
              <a:extLst>
                <a:ext uri="{63B3BB69-23CF-44E3-9099-C40C66FF867C}">
                  <a14:compatExt spid="_x0000_s3287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0753" name="Object 1" hidden="1">
              <a:extLst>
                <a:ext uri="{63B3BB69-23CF-44E3-9099-C40C66FF867C}">
                  <a14:compatExt spid="_x0000_s330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0756" name="Check Box 4" hidden="1">
              <a:extLst>
                <a:ext uri="{63B3BB69-23CF-44E3-9099-C40C66FF867C}">
                  <a14:compatExt spid="_x0000_s330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0757" name="Check Box 5" hidden="1">
              <a:extLst>
                <a:ext uri="{63B3BB69-23CF-44E3-9099-C40C66FF867C}">
                  <a14:compatExt spid="_x0000_s330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2801" name="Object 1" hidden="1">
              <a:extLst>
                <a:ext uri="{63B3BB69-23CF-44E3-9099-C40C66FF867C}">
                  <a14:compatExt spid="_x0000_s3328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2804" name="Check Box 4" hidden="1">
              <a:extLst>
                <a:ext uri="{63B3BB69-23CF-44E3-9099-C40C66FF867C}">
                  <a14:compatExt spid="_x0000_s332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2805" name="Check Box 5" hidden="1">
              <a:extLst>
                <a:ext uri="{63B3BB69-23CF-44E3-9099-C40C66FF867C}">
                  <a14:compatExt spid="_x0000_s332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5873" name="Object 1" hidden="1">
              <a:extLst>
                <a:ext uri="{63B3BB69-23CF-44E3-9099-C40C66FF867C}">
                  <a14:compatExt spid="_x0000_s3358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5876" name="Check Box 4" hidden="1">
              <a:extLst>
                <a:ext uri="{63B3BB69-23CF-44E3-9099-C40C66FF867C}">
                  <a14:compatExt spid="_x0000_s335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5877" name="Check Box 5" hidden="1">
              <a:extLst>
                <a:ext uri="{63B3BB69-23CF-44E3-9099-C40C66FF867C}">
                  <a14:compatExt spid="_x0000_s3358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86591</xdr:colOff>
      <xdr:row>2</xdr:row>
      <xdr:rowOff>69274</xdr:rowOff>
    </xdr:from>
    <xdr:to>
      <xdr:col>1</xdr:col>
      <xdr:colOff>743816</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6897" name="Object 1" hidden="1">
              <a:extLst>
                <a:ext uri="{63B3BB69-23CF-44E3-9099-C40C66FF867C}">
                  <a14:compatExt spid="_x0000_s3368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6900" name="Check Box 4" hidden="1">
              <a:extLst>
                <a:ext uri="{63B3BB69-23CF-44E3-9099-C40C66FF867C}">
                  <a14:compatExt spid="_x0000_s336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6901" name="Check Box 5" hidden="1">
              <a:extLst>
                <a:ext uri="{63B3BB69-23CF-44E3-9099-C40C66FF867C}">
                  <a14:compatExt spid="_x0000_s336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84772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6"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31322" y="40821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5089" name="Object 1" hidden="1">
              <a:extLst>
                <a:ext uri="{63B3BB69-23CF-44E3-9099-C40C66FF867C}">
                  <a14:compatExt spid="_x0000_s3450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45092" name="Check Box 4" hidden="1">
              <a:extLst>
                <a:ext uri="{63B3BB69-23CF-44E3-9099-C40C66FF867C}">
                  <a14:compatExt spid="_x0000_s345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45093" name="Check Box 5" hidden="1">
              <a:extLst>
                <a:ext uri="{63B3BB69-23CF-44E3-9099-C40C66FF867C}">
                  <a14:compatExt spid="_x0000_s345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6"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6113" name="Object 1" hidden="1">
              <a:extLst>
                <a:ext uri="{63B3BB69-23CF-44E3-9099-C40C66FF867C}">
                  <a14:compatExt spid="_x0000_s3461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46116" name="Check Box 4" hidden="1">
              <a:extLst>
                <a:ext uri="{63B3BB69-23CF-44E3-9099-C40C66FF867C}">
                  <a14:compatExt spid="_x0000_s346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46117" name="Check Box 5" hidden="1">
              <a:extLst>
                <a:ext uri="{63B3BB69-23CF-44E3-9099-C40C66FF867C}">
                  <a14:compatExt spid="_x0000_s346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lanta%20Soda\Programa%20B&#225;sico\CUADROS%20%20CONTRO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Administrador\Desktop\AMV03NARI&#209;O%20ACTUAL\PRESUPUESTOS\Ruta%201702\PRESENTACI&#211;N%20BOGOT&#193;_RUTA%201702_26%20MARZO%202012\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Volumes\TOSHIBA%20EXT\Presupuestos%20Variante%20San%20Gil\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OFERTAS\7422\DPTO\CIVIL\7422CWXL.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10.6.75.177\VQ2008\Documents%20and%20Settings\c5205871\Configuraci&#243;n%20local\Archivos%20temporales%20de%20Internet\OLK6\Nuevo%20disco\INELECTRA\Aminas1\Proyecto\119-contratomarco\119-04%20aromaticos\tuberia\doc_tecnicos\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RPLC\escalatoria\fps.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onppy2454\PREPLIEGOS%20EPC1%20OCT%202006\Documents%20and%20Settings\c5205871\Configuraci&#243;n%20local\Archivos%20temporales%20de%20Internet\OLK6\Nuevo%20disco\INELECTRA\Aminas1\Proyecto\119-contratomarco\119-02%20glp\tuberia\Materiales\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Documentos%202010\Trabajo\Programacion%20de%20Proyectos\Historial\RANDLEY\Refineria\Contrato%204028079\Historial%20Informes\Diarios\Noviembre\Eduin%20Clavijo%20Quintana\Laboral\b%20-%20ECOBRAS_2008-2009\a-%20Prog.%20y%20control\ISO\Prog.%20y%20Control_ECOBR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Volumes\TOSHIBA%20EXT\Presupuestos%20Variante%20San%20Gil\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ROUPS\DOCUME~1\e0227748\CONFIG~1\Temp\Instrucciones%20de%20trabajo%20SAS3.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RENE\INVIAS\RUTA%20DEL%20SOL\Entrega%20ANI%203-3-2017%20Amarillos\2.%20Cantidades%20de%20Obra.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Users\lestupinan\Desktop\presupuestos\Tramo%202\INFO%20ANI\Entrega%20ANI%203-3-2017%20Amarillos\2.%20Cantidades%20de%20Ob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t="str">
            <v/>
          </cell>
          <cell r="K4" t="str">
            <v/>
          </cell>
          <cell r="L4" t="str">
            <v/>
          </cell>
          <cell r="M4" t="str">
            <v/>
          </cell>
          <cell r="N4" t="str">
            <v/>
          </cell>
          <cell r="O4" t="str">
            <v/>
          </cell>
          <cell r="P4" t="str">
            <v/>
          </cell>
          <cell r="Q4" t="str">
            <v/>
          </cell>
          <cell r="R4" t="str">
            <v/>
          </cell>
          <cell r="S4" t="str">
            <v/>
          </cell>
          <cell r="T4" t="str">
            <v/>
          </cell>
          <cell r="U4" t="str">
            <v/>
          </cell>
          <cell r="V4" t="str">
            <v/>
          </cell>
          <cell r="W4" t="str">
            <v/>
          </cell>
          <cell r="X4" t="str">
            <v/>
          </cell>
          <cell r="Y4" t="str">
            <v/>
          </cell>
          <cell r="Z4" t="str">
            <v/>
          </cell>
          <cell r="AA4" t="str">
            <v/>
          </cell>
          <cell r="AB4" t="str">
            <v/>
          </cell>
          <cell r="AC4" t="str">
            <v/>
          </cell>
          <cell r="AD4" t="str">
            <v/>
          </cell>
          <cell r="AE4" t="str">
            <v/>
          </cell>
          <cell r="AF4" t="str">
            <v/>
          </cell>
          <cell r="AG4" t="str">
            <v/>
          </cell>
          <cell r="AH4" t="str">
            <v/>
          </cell>
          <cell r="AI4" t="str">
            <v/>
          </cell>
          <cell r="AJ4" t="str">
            <v/>
          </cell>
          <cell r="AK4" t="str">
            <v/>
          </cell>
          <cell r="AL4" t="str">
            <v/>
          </cell>
          <cell r="AM4" t="str">
            <v/>
          </cell>
          <cell r="AN4" t="str">
            <v/>
          </cell>
          <cell r="AO4" t="str">
            <v/>
          </cell>
          <cell r="AP4" t="str">
            <v/>
          </cell>
          <cell r="AQ4" t="str">
            <v/>
          </cell>
          <cell r="AR4" t="str">
            <v/>
          </cell>
          <cell r="AS4" t="str">
            <v/>
          </cell>
          <cell r="AT4" t="str">
            <v/>
          </cell>
          <cell r="AU4" t="str">
            <v/>
          </cell>
          <cell r="AV4" t="str">
            <v/>
          </cell>
          <cell r="AW4" t="str">
            <v/>
          </cell>
          <cell r="AX4">
            <v>284168.42105263157</v>
          </cell>
          <cell r="AY4" t="str">
            <v/>
          </cell>
          <cell r="AZ4">
            <v>284168.42105263157</v>
          </cell>
          <cell r="BA4">
            <v>284168.42105263157</v>
          </cell>
          <cell r="BB4">
            <v>284168.42105263157</v>
          </cell>
          <cell r="BC4">
            <v>284168.42105263157</v>
          </cell>
          <cell r="BD4">
            <v>284168.42105263157</v>
          </cell>
          <cell r="BE4">
            <v>284168.42105263157</v>
          </cell>
          <cell r="BF4" t="str">
            <v/>
          </cell>
          <cell r="BG4">
            <v>284168.42105263157</v>
          </cell>
          <cell r="BH4">
            <v>284168.42105263157</v>
          </cell>
          <cell r="BI4">
            <v>284168.42105263157</v>
          </cell>
          <cell r="BJ4">
            <v>284168.42105263157</v>
          </cell>
          <cell r="BK4">
            <v>284168.42105263157</v>
          </cell>
          <cell r="BL4">
            <v>284168.42105263157</v>
          </cell>
          <cell r="BM4" t="str">
            <v/>
          </cell>
          <cell r="BN4">
            <v>284168.42105263157</v>
          </cell>
          <cell r="BO4">
            <v>284168.42105263157</v>
          </cell>
          <cell r="BP4">
            <v>284168.42105263157</v>
          </cell>
          <cell r="BQ4">
            <v>284168.42105263157</v>
          </cell>
          <cell r="BR4">
            <v>284168.42105263157</v>
          </cell>
          <cell r="BS4">
            <v>284168.42105263157</v>
          </cell>
          <cell r="BT4" t="str">
            <v/>
          </cell>
          <cell r="BU4" t="str">
            <v/>
          </cell>
          <cell r="BV4" t="str">
            <v/>
          </cell>
          <cell r="BW4" t="str">
            <v/>
          </cell>
          <cell r="BX4" t="str">
            <v/>
          </cell>
          <cell r="BY4" t="str">
            <v/>
          </cell>
          <cell r="BZ4" t="str">
            <v/>
          </cell>
          <cell r="CA4" t="str">
            <v/>
          </cell>
          <cell r="CB4" t="str">
            <v/>
          </cell>
          <cell r="CC4" t="str">
            <v/>
          </cell>
          <cell r="CD4" t="str">
            <v/>
          </cell>
          <cell r="CE4" t="str">
            <v/>
          </cell>
          <cell r="CF4" t="str">
            <v/>
          </cell>
          <cell r="CG4" t="str">
            <v/>
          </cell>
          <cell r="CH4" t="str">
            <v/>
          </cell>
          <cell r="CI4" t="str">
            <v/>
          </cell>
          <cell r="CJ4" t="str">
            <v/>
          </cell>
          <cell r="CK4" t="str">
            <v/>
          </cell>
        </row>
        <row r="5">
          <cell r="J5" t="str">
            <v/>
          </cell>
          <cell r="K5" t="str">
            <v/>
          </cell>
          <cell r="L5" t="str">
            <v/>
          </cell>
          <cell r="M5" t="str">
            <v/>
          </cell>
          <cell r="N5" t="str">
            <v/>
          </cell>
          <cell r="O5" t="str">
            <v/>
          </cell>
          <cell r="P5" t="str">
            <v/>
          </cell>
          <cell r="Q5" t="str">
            <v/>
          </cell>
          <cell r="R5" t="str">
            <v/>
          </cell>
          <cell r="S5" t="str">
            <v/>
          </cell>
          <cell r="T5" t="str">
            <v/>
          </cell>
          <cell r="U5" t="str">
            <v/>
          </cell>
          <cell r="V5" t="str">
            <v/>
          </cell>
          <cell r="W5" t="str">
            <v/>
          </cell>
          <cell r="X5" t="str">
            <v/>
          </cell>
          <cell r="Y5" t="str">
            <v/>
          </cell>
          <cell r="Z5" t="str">
            <v/>
          </cell>
          <cell r="AA5" t="str">
            <v/>
          </cell>
          <cell r="AB5" t="str">
            <v/>
          </cell>
          <cell r="AC5" t="str">
            <v/>
          </cell>
          <cell r="AD5" t="str">
            <v/>
          </cell>
          <cell r="AE5" t="str">
            <v/>
          </cell>
          <cell r="AF5" t="str">
            <v/>
          </cell>
          <cell r="AG5" t="str">
            <v/>
          </cell>
          <cell r="AH5" t="str">
            <v/>
          </cell>
          <cell r="AI5" t="str">
            <v/>
          </cell>
          <cell r="AJ5" t="str">
            <v/>
          </cell>
          <cell r="AK5" t="str">
            <v/>
          </cell>
          <cell r="AL5" t="str">
            <v/>
          </cell>
          <cell r="AM5" t="str">
            <v/>
          </cell>
          <cell r="AN5" t="str">
            <v/>
          </cell>
          <cell r="AO5" t="str">
            <v/>
          </cell>
          <cell r="AP5" t="str">
            <v/>
          </cell>
          <cell r="AQ5" t="str">
            <v/>
          </cell>
          <cell r="AR5" t="str">
            <v/>
          </cell>
          <cell r="AS5" t="str">
            <v/>
          </cell>
          <cell r="AT5" t="str">
            <v/>
          </cell>
          <cell r="AU5" t="str">
            <v/>
          </cell>
          <cell r="AV5" t="str">
            <v/>
          </cell>
          <cell r="AW5" t="str">
            <v/>
          </cell>
          <cell r="AX5">
            <v>10140160</v>
          </cell>
          <cell r="AY5" t="str">
            <v/>
          </cell>
          <cell r="AZ5">
            <v>10140160</v>
          </cell>
          <cell r="BA5" t="str">
            <v/>
          </cell>
          <cell r="BB5" t="str">
            <v/>
          </cell>
          <cell r="BC5" t="str">
            <v/>
          </cell>
          <cell r="BD5" t="str">
            <v/>
          </cell>
          <cell r="BE5" t="str">
            <v/>
          </cell>
          <cell r="BF5" t="str">
            <v/>
          </cell>
          <cell r="BG5" t="str">
            <v/>
          </cell>
          <cell r="BH5" t="str">
            <v/>
          </cell>
          <cell r="BI5" t="str">
            <v/>
          </cell>
          <cell r="BJ5" t="str">
            <v/>
          </cell>
          <cell r="BK5" t="str">
            <v/>
          </cell>
          <cell r="BL5" t="str">
            <v/>
          </cell>
          <cell r="BM5" t="str">
            <v/>
          </cell>
          <cell r="BN5" t="str">
            <v/>
          </cell>
          <cell r="BO5" t="str">
            <v/>
          </cell>
          <cell r="BP5" t="str">
            <v/>
          </cell>
          <cell r="BQ5" t="str">
            <v/>
          </cell>
          <cell r="BR5" t="str">
            <v/>
          </cell>
          <cell r="BS5" t="str">
            <v/>
          </cell>
          <cell r="BT5" t="str">
            <v/>
          </cell>
          <cell r="BU5" t="str">
            <v/>
          </cell>
          <cell r="BV5" t="str">
            <v/>
          </cell>
          <cell r="BW5" t="str">
            <v/>
          </cell>
          <cell r="BX5" t="str">
            <v/>
          </cell>
          <cell r="BY5" t="str">
            <v/>
          </cell>
          <cell r="BZ5" t="str">
            <v/>
          </cell>
          <cell r="CA5" t="str">
            <v/>
          </cell>
          <cell r="CB5" t="str">
            <v/>
          </cell>
          <cell r="CC5" t="str">
            <v/>
          </cell>
          <cell r="CD5" t="str">
            <v/>
          </cell>
          <cell r="CE5" t="str">
            <v/>
          </cell>
          <cell r="CF5" t="str">
            <v/>
          </cell>
          <cell r="CG5" t="str">
            <v/>
          </cell>
          <cell r="CH5" t="str">
            <v/>
          </cell>
          <cell r="CI5" t="str">
            <v/>
          </cell>
          <cell r="CJ5" t="str">
            <v/>
          </cell>
          <cell r="CK5" t="str">
            <v/>
          </cell>
        </row>
        <row r="6">
          <cell r="J6" t="str">
            <v/>
          </cell>
          <cell r="K6" t="str">
            <v/>
          </cell>
          <cell r="L6" t="str">
            <v/>
          </cell>
          <cell r="M6" t="str">
            <v/>
          </cell>
          <cell r="N6" t="str">
            <v/>
          </cell>
          <cell r="O6" t="str">
            <v/>
          </cell>
          <cell r="P6" t="str">
            <v/>
          </cell>
          <cell r="Q6" t="str">
            <v/>
          </cell>
          <cell r="R6" t="str">
            <v/>
          </cell>
          <cell r="S6" t="str">
            <v/>
          </cell>
          <cell r="T6" t="str">
            <v/>
          </cell>
          <cell r="U6" t="str">
            <v/>
          </cell>
          <cell r="V6" t="str">
            <v/>
          </cell>
          <cell r="W6" t="str">
            <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t="str">
            <v/>
          </cell>
          <cell r="BM6" t="str">
            <v/>
          </cell>
          <cell r="BN6" t="str">
            <v/>
          </cell>
          <cell r="BO6" t="str">
            <v/>
          </cell>
          <cell r="BP6" t="str">
            <v/>
          </cell>
          <cell r="BQ6" t="str">
            <v/>
          </cell>
          <cell r="BR6" t="str">
            <v/>
          </cell>
          <cell r="BS6" t="str">
            <v/>
          </cell>
          <cell r="BT6" t="str">
            <v/>
          </cell>
          <cell r="BU6" t="str">
            <v/>
          </cell>
          <cell r="BV6" t="str">
            <v/>
          </cell>
          <cell r="BW6" t="str">
            <v/>
          </cell>
          <cell r="BX6" t="str">
            <v/>
          </cell>
          <cell r="BY6" t="str">
            <v/>
          </cell>
          <cell r="BZ6" t="str">
            <v/>
          </cell>
          <cell r="CA6" t="str">
            <v/>
          </cell>
          <cell r="CB6" t="str">
            <v/>
          </cell>
          <cell r="CC6" t="str">
            <v/>
          </cell>
          <cell r="CD6" t="str">
            <v/>
          </cell>
          <cell r="CE6" t="str">
            <v/>
          </cell>
          <cell r="CF6" t="str">
            <v/>
          </cell>
          <cell r="CG6" t="str">
            <v/>
          </cell>
          <cell r="CH6" t="str">
            <v/>
          </cell>
          <cell r="CI6" t="str">
            <v/>
          </cell>
          <cell r="CJ6" t="str">
            <v/>
          </cell>
          <cell r="CK6">
            <v>261500</v>
          </cell>
        </row>
        <row r="7">
          <cell r="J7" t="str">
            <v/>
          </cell>
          <cell r="K7" t="str">
            <v/>
          </cell>
          <cell r="L7" t="str">
            <v/>
          </cell>
          <cell r="M7" t="str">
            <v/>
          </cell>
          <cell r="N7" t="str">
            <v/>
          </cell>
          <cell r="O7" t="str">
            <v/>
          </cell>
          <cell r="P7" t="str">
            <v/>
          </cell>
          <cell r="Q7" t="str">
            <v/>
          </cell>
          <cell r="R7" t="str">
            <v/>
          </cell>
          <cell r="S7" t="str">
            <v/>
          </cell>
          <cell r="T7" t="str">
            <v/>
          </cell>
          <cell r="U7" t="str">
            <v/>
          </cell>
          <cell r="V7" t="str">
            <v/>
          </cell>
          <cell r="W7" t="str">
            <v/>
          </cell>
          <cell r="X7" t="str">
            <v/>
          </cell>
          <cell r="Y7" t="str">
            <v/>
          </cell>
          <cell r="Z7" t="str">
            <v/>
          </cell>
          <cell r="AA7" t="str">
            <v/>
          </cell>
          <cell r="AB7" t="str">
            <v/>
          </cell>
          <cell r="AC7" t="str">
            <v/>
          </cell>
          <cell r="AD7" t="str">
            <v/>
          </cell>
          <cell r="AE7" t="str">
            <v/>
          </cell>
          <cell r="AF7" t="str">
            <v/>
          </cell>
          <cell r="AG7" t="str">
            <v/>
          </cell>
          <cell r="AH7" t="str">
            <v/>
          </cell>
          <cell r="AI7" t="str">
            <v/>
          </cell>
          <cell r="AJ7" t="str">
            <v/>
          </cell>
          <cell r="AK7" t="str">
            <v/>
          </cell>
          <cell r="AL7" t="str">
            <v/>
          </cell>
          <cell r="AM7" t="str">
            <v/>
          </cell>
          <cell r="AN7" t="str">
            <v/>
          </cell>
          <cell r="AO7" t="str">
            <v/>
          </cell>
          <cell r="AP7" t="str">
            <v/>
          </cell>
          <cell r="AQ7" t="str">
            <v/>
          </cell>
          <cell r="AR7" t="str">
            <v/>
          </cell>
          <cell r="AS7" t="str">
            <v/>
          </cell>
          <cell r="AT7" t="str">
            <v/>
          </cell>
          <cell r="AU7" t="str">
            <v/>
          </cell>
          <cell r="AV7" t="str">
            <v/>
          </cell>
          <cell r="AW7" t="str">
            <v/>
          </cell>
          <cell r="AX7" t="str">
            <v/>
          </cell>
          <cell r="AY7" t="str">
            <v/>
          </cell>
          <cell r="AZ7" t="str">
            <v/>
          </cell>
          <cell r="BA7">
            <v>8463000</v>
          </cell>
          <cell r="BB7">
            <v>8463000</v>
          </cell>
          <cell r="BC7">
            <v>8463000</v>
          </cell>
          <cell r="BD7">
            <v>8463000</v>
          </cell>
          <cell r="BE7">
            <v>8463000</v>
          </cell>
          <cell r="BF7" t="str">
            <v/>
          </cell>
          <cell r="BG7">
            <v>8463000</v>
          </cell>
          <cell r="BH7" t="str">
            <v/>
          </cell>
          <cell r="BI7" t="str">
            <v/>
          </cell>
          <cell r="BJ7" t="str">
            <v/>
          </cell>
          <cell r="BK7" t="str">
            <v/>
          </cell>
          <cell r="BL7" t="str">
            <v/>
          </cell>
          <cell r="BM7" t="str">
            <v/>
          </cell>
          <cell r="BN7" t="str">
            <v/>
          </cell>
          <cell r="BO7" t="str">
            <v/>
          </cell>
          <cell r="BP7" t="str">
            <v/>
          </cell>
          <cell r="BQ7" t="str">
            <v/>
          </cell>
          <cell r="BR7" t="str">
            <v/>
          </cell>
          <cell r="BS7" t="str">
            <v/>
          </cell>
          <cell r="BT7" t="str">
            <v/>
          </cell>
          <cell r="BU7" t="str">
            <v/>
          </cell>
          <cell r="BV7" t="str">
            <v/>
          </cell>
          <cell r="BW7" t="str">
            <v/>
          </cell>
          <cell r="BX7" t="str">
            <v/>
          </cell>
          <cell r="BY7" t="str">
            <v/>
          </cell>
          <cell r="BZ7" t="str">
            <v/>
          </cell>
          <cell r="CA7" t="str">
            <v/>
          </cell>
          <cell r="CB7" t="str">
            <v/>
          </cell>
          <cell r="CC7" t="str">
            <v/>
          </cell>
          <cell r="CD7" t="str">
            <v/>
          </cell>
          <cell r="CE7" t="str">
            <v/>
          </cell>
          <cell r="CF7" t="str">
            <v/>
          </cell>
          <cell r="CG7" t="str">
            <v/>
          </cell>
          <cell r="CH7" t="str">
            <v/>
          </cell>
          <cell r="CI7" t="str">
            <v/>
          </cell>
          <cell r="CJ7" t="str">
            <v/>
          </cell>
          <cell r="CK7" t="str">
            <v/>
          </cell>
        </row>
        <row r="8">
          <cell r="J8" t="str">
            <v/>
          </cell>
          <cell r="K8" t="str">
            <v/>
          </cell>
          <cell r="L8" t="str">
            <v/>
          </cell>
          <cell r="M8" t="str">
            <v/>
          </cell>
          <cell r="N8" t="str">
            <v/>
          </cell>
          <cell r="O8" t="str">
            <v/>
          </cell>
          <cell r="P8" t="str">
            <v/>
          </cell>
          <cell r="Q8" t="str">
            <v/>
          </cell>
          <cell r="R8" t="str">
            <v/>
          </cell>
          <cell r="S8" t="str">
            <v/>
          </cell>
          <cell r="T8" t="str">
            <v/>
          </cell>
          <cell r="U8" t="str">
            <v/>
          </cell>
          <cell r="V8" t="str">
            <v/>
          </cell>
          <cell r="W8" t="str">
            <v/>
          </cell>
          <cell r="X8" t="str">
            <v/>
          </cell>
          <cell r="Y8" t="str">
            <v/>
          </cell>
          <cell r="Z8" t="str">
            <v/>
          </cell>
          <cell r="AA8" t="str">
            <v/>
          </cell>
          <cell r="AB8" t="str">
            <v/>
          </cell>
          <cell r="AC8" t="str">
            <v/>
          </cell>
          <cell r="AD8" t="str">
            <v/>
          </cell>
          <cell r="AE8" t="str">
            <v/>
          </cell>
          <cell r="AF8" t="str">
            <v/>
          </cell>
          <cell r="AG8" t="str">
            <v/>
          </cell>
          <cell r="AH8" t="str">
            <v/>
          </cell>
          <cell r="AI8" t="str">
            <v/>
          </cell>
          <cell r="AJ8" t="str">
            <v/>
          </cell>
          <cell r="AK8" t="str">
            <v/>
          </cell>
          <cell r="AL8" t="str">
            <v/>
          </cell>
          <cell r="AM8" t="str">
            <v/>
          </cell>
          <cell r="AN8" t="str">
            <v/>
          </cell>
          <cell r="AO8" t="str">
            <v/>
          </cell>
          <cell r="AP8" t="str">
            <v/>
          </cell>
          <cell r="AQ8" t="str">
            <v/>
          </cell>
          <cell r="AR8" t="str">
            <v/>
          </cell>
          <cell r="AS8" t="str">
            <v/>
          </cell>
          <cell r="AT8" t="str">
            <v/>
          </cell>
          <cell r="AU8" t="str">
            <v/>
          </cell>
          <cell r="AV8" t="str">
            <v/>
          </cell>
          <cell r="AW8" t="str">
            <v/>
          </cell>
          <cell r="AX8" t="str">
            <v/>
          </cell>
          <cell r="AY8" t="str">
            <v/>
          </cell>
          <cell r="AZ8" t="str">
            <v/>
          </cell>
          <cell r="BA8" t="str">
            <v/>
          </cell>
          <cell r="BB8" t="str">
            <v/>
          </cell>
          <cell r="BC8" t="str">
            <v/>
          </cell>
          <cell r="BD8" t="str">
            <v/>
          </cell>
          <cell r="BE8" t="str">
            <v/>
          </cell>
          <cell r="BF8" t="str">
            <v/>
          </cell>
          <cell r="BG8" t="str">
            <v/>
          </cell>
          <cell r="BH8" t="str">
            <v/>
          </cell>
          <cell r="BI8">
            <v>582080</v>
          </cell>
          <cell r="BJ8">
            <v>582080</v>
          </cell>
          <cell r="BK8">
            <v>582080</v>
          </cell>
          <cell r="BL8">
            <v>582080</v>
          </cell>
          <cell r="BM8" t="str">
            <v/>
          </cell>
          <cell r="BN8">
            <v>582080</v>
          </cell>
          <cell r="BO8">
            <v>582080</v>
          </cell>
          <cell r="BP8">
            <v>582080</v>
          </cell>
          <cell r="BQ8">
            <v>582080</v>
          </cell>
          <cell r="BR8">
            <v>582080</v>
          </cell>
          <cell r="BS8">
            <v>582080</v>
          </cell>
          <cell r="BT8" t="str">
            <v/>
          </cell>
          <cell r="BU8" t="str">
            <v/>
          </cell>
          <cell r="BV8" t="str">
            <v/>
          </cell>
          <cell r="BW8" t="str">
            <v/>
          </cell>
          <cell r="BX8" t="str">
            <v/>
          </cell>
          <cell r="BY8" t="str">
            <v/>
          </cell>
          <cell r="BZ8" t="str">
            <v/>
          </cell>
          <cell r="CA8" t="str">
            <v/>
          </cell>
          <cell r="CB8" t="str">
            <v/>
          </cell>
          <cell r="CC8" t="str">
            <v/>
          </cell>
          <cell r="CD8" t="str">
            <v/>
          </cell>
          <cell r="CE8" t="str">
            <v/>
          </cell>
          <cell r="CF8" t="str">
            <v/>
          </cell>
          <cell r="CG8" t="str">
            <v/>
          </cell>
          <cell r="CH8" t="str">
            <v/>
          </cell>
          <cell r="CI8" t="str">
            <v/>
          </cell>
          <cell r="CJ8" t="str">
            <v/>
          </cell>
          <cell r="CK8" t="str">
            <v/>
          </cell>
        </row>
        <row r="9">
          <cell r="J9" t="str">
            <v/>
          </cell>
          <cell r="K9" t="str">
            <v/>
          </cell>
          <cell r="L9" t="str">
            <v/>
          </cell>
          <cell r="M9" t="str">
            <v/>
          </cell>
          <cell r="N9" t="str">
            <v/>
          </cell>
          <cell r="O9" t="str">
            <v/>
          </cell>
          <cell r="P9" t="str">
            <v/>
          </cell>
          <cell r="Q9" t="str">
            <v/>
          </cell>
          <cell r="R9" t="str">
            <v/>
          </cell>
          <cell r="S9" t="str">
            <v/>
          </cell>
          <cell r="T9" t="str">
            <v/>
          </cell>
          <cell r="U9" t="str">
            <v/>
          </cell>
          <cell r="V9" t="str">
            <v/>
          </cell>
          <cell r="W9" t="str">
            <v/>
          </cell>
          <cell r="X9" t="str">
            <v/>
          </cell>
          <cell r="Y9" t="str">
            <v/>
          </cell>
          <cell r="Z9" t="str">
            <v/>
          </cell>
          <cell r="AA9" t="str">
            <v/>
          </cell>
          <cell r="AB9" t="str">
            <v/>
          </cell>
          <cell r="AC9" t="str">
            <v/>
          </cell>
          <cell r="AD9" t="str">
            <v/>
          </cell>
          <cell r="AE9" t="str">
            <v/>
          </cell>
          <cell r="AF9" t="str">
            <v/>
          </cell>
          <cell r="AG9" t="str">
            <v/>
          </cell>
          <cell r="AH9" t="str">
            <v/>
          </cell>
          <cell r="AI9" t="str">
            <v/>
          </cell>
          <cell r="AJ9" t="str">
            <v/>
          </cell>
          <cell r="AK9" t="str">
            <v/>
          </cell>
          <cell r="AL9" t="str">
            <v/>
          </cell>
          <cell r="AM9" t="str">
            <v/>
          </cell>
          <cell r="AN9" t="str">
            <v/>
          </cell>
          <cell r="AO9" t="str">
            <v/>
          </cell>
          <cell r="AP9" t="str">
            <v/>
          </cell>
          <cell r="AQ9" t="str">
            <v/>
          </cell>
          <cell r="AR9" t="str">
            <v/>
          </cell>
          <cell r="AS9" t="str">
            <v/>
          </cell>
          <cell r="AT9" t="str">
            <v/>
          </cell>
          <cell r="AU9" t="str">
            <v/>
          </cell>
          <cell r="AV9" t="str">
            <v/>
          </cell>
          <cell r="AW9" t="str">
            <v/>
          </cell>
          <cell r="AX9" t="str">
            <v/>
          </cell>
          <cell r="AY9" t="str">
            <v/>
          </cell>
          <cell r="AZ9" t="str">
            <v/>
          </cell>
          <cell r="BA9" t="str">
            <v/>
          </cell>
          <cell r="BB9" t="str">
            <v/>
          </cell>
          <cell r="BC9" t="str">
            <v/>
          </cell>
          <cell r="BD9" t="str">
            <v/>
          </cell>
          <cell r="BE9" t="str">
            <v/>
          </cell>
          <cell r="BF9" t="str">
            <v/>
          </cell>
          <cell r="BG9">
            <v>4210560</v>
          </cell>
          <cell r="BH9">
            <v>4210560</v>
          </cell>
          <cell r="BI9">
            <v>4210560</v>
          </cell>
          <cell r="BJ9">
            <v>4210560</v>
          </cell>
          <cell r="BK9">
            <v>4210560</v>
          </cell>
          <cell r="BL9">
            <v>4210560</v>
          </cell>
          <cell r="BM9" t="str">
            <v/>
          </cell>
          <cell r="BN9">
            <v>4210560</v>
          </cell>
          <cell r="BO9">
            <v>4210560</v>
          </cell>
          <cell r="BP9">
            <v>4210560</v>
          </cell>
          <cell r="BQ9">
            <v>4210560</v>
          </cell>
          <cell r="BR9" t="str">
            <v/>
          </cell>
          <cell r="BS9" t="str">
            <v/>
          </cell>
          <cell r="BT9" t="str">
            <v/>
          </cell>
          <cell r="BU9" t="str">
            <v/>
          </cell>
          <cell r="BV9" t="str">
            <v/>
          </cell>
          <cell r="BW9" t="str">
            <v/>
          </cell>
          <cell r="BX9" t="str">
            <v/>
          </cell>
          <cell r="BY9" t="str">
            <v/>
          </cell>
          <cell r="BZ9" t="str">
            <v/>
          </cell>
          <cell r="CA9" t="str">
            <v/>
          </cell>
          <cell r="CB9" t="str">
            <v/>
          </cell>
          <cell r="CC9" t="str">
            <v/>
          </cell>
          <cell r="CD9" t="str">
            <v/>
          </cell>
          <cell r="CE9" t="str">
            <v/>
          </cell>
          <cell r="CF9" t="str">
            <v/>
          </cell>
          <cell r="CG9" t="str">
            <v/>
          </cell>
          <cell r="CH9" t="str">
            <v/>
          </cell>
          <cell r="CI9" t="str">
            <v/>
          </cell>
          <cell r="CJ9" t="str">
            <v/>
          </cell>
          <cell r="CK9" t="str">
            <v/>
          </cell>
        </row>
        <row r="10">
          <cell r="J10" t="str">
            <v/>
          </cell>
          <cell r="K10" t="str">
            <v/>
          </cell>
          <cell r="L10" t="str">
            <v/>
          </cell>
          <cell r="M10" t="str">
            <v/>
          </cell>
          <cell r="N10" t="str">
            <v/>
          </cell>
          <cell r="O10" t="str">
            <v/>
          </cell>
          <cell r="P10" t="str">
            <v/>
          </cell>
          <cell r="Q10" t="str">
            <v/>
          </cell>
          <cell r="R10" t="str">
            <v/>
          </cell>
          <cell r="S10" t="str">
            <v/>
          </cell>
          <cell r="T10" t="str">
            <v/>
          </cell>
          <cell r="U10" t="str">
            <v/>
          </cell>
          <cell r="V10" t="str">
            <v/>
          </cell>
          <cell r="W10" t="str">
            <v/>
          </cell>
          <cell r="X10" t="str">
            <v/>
          </cell>
          <cell r="Y10" t="str">
            <v/>
          </cell>
          <cell r="Z10" t="str">
            <v/>
          </cell>
          <cell r="AA10" t="str">
            <v/>
          </cell>
          <cell r="AB10" t="str">
            <v/>
          </cell>
          <cell r="AC10" t="str">
            <v/>
          </cell>
          <cell r="AD10" t="str">
            <v/>
          </cell>
          <cell r="AE10" t="str">
            <v/>
          </cell>
          <cell r="AF10" t="str">
            <v/>
          </cell>
          <cell r="AG10" t="str">
            <v/>
          </cell>
          <cell r="AH10" t="str">
            <v/>
          </cell>
          <cell r="AI10" t="str">
            <v/>
          </cell>
          <cell r="AJ10" t="str">
            <v/>
          </cell>
          <cell r="AK10" t="str">
            <v/>
          </cell>
          <cell r="AL10" t="str">
            <v/>
          </cell>
          <cell r="AM10" t="str">
            <v/>
          </cell>
          <cell r="AN10" t="str">
            <v/>
          </cell>
          <cell r="AO10" t="str">
            <v/>
          </cell>
          <cell r="AP10" t="str">
            <v/>
          </cell>
          <cell r="AQ10" t="str">
            <v/>
          </cell>
          <cell r="AR10" t="str">
            <v/>
          </cell>
          <cell r="AS10" t="str">
            <v/>
          </cell>
          <cell r="AT10" t="str">
            <v/>
          </cell>
          <cell r="AU10" t="str">
            <v/>
          </cell>
          <cell r="AV10" t="str">
            <v/>
          </cell>
          <cell r="AW10" t="str">
            <v/>
          </cell>
          <cell r="AX10" t="str">
            <v/>
          </cell>
          <cell r="AY10" t="str">
            <v/>
          </cell>
          <cell r="AZ10" t="str">
            <v/>
          </cell>
          <cell r="BA10" t="str">
            <v/>
          </cell>
          <cell r="BB10" t="str">
            <v/>
          </cell>
          <cell r="BC10" t="str">
            <v/>
          </cell>
          <cell r="BD10" t="str">
            <v/>
          </cell>
          <cell r="BE10" t="str">
            <v/>
          </cell>
          <cell r="BF10" t="str">
            <v/>
          </cell>
          <cell r="BG10">
            <v>6868680</v>
          </cell>
          <cell r="BH10">
            <v>6868680</v>
          </cell>
          <cell r="BI10">
            <v>6868680</v>
          </cell>
          <cell r="BJ10">
            <v>6868680</v>
          </cell>
          <cell r="BK10">
            <v>6868680</v>
          </cell>
          <cell r="BL10">
            <v>6868680</v>
          </cell>
          <cell r="BM10" t="str">
            <v/>
          </cell>
          <cell r="BN10">
            <v>6868680</v>
          </cell>
          <cell r="BO10">
            <v>6868680</v>
          </cell>
          <cell r="BP10">
            <v>6868680</v>
          </cell>
          <cell r="BQ10">
            <v>6868680</v>
          </cell>
          <cell r="BR10" t="str">
            <v/>
          </cell>
          <cell r="BS10" t="str">
            <v/>
          </cell>
          <cell r="BT10" t="str">
            <v/>
          </cell>
          <cell r="BU10" t="str">
            <v/>
          </cell>
          <cell r="BV10" t="str">
            <v/>
          </cell>
          <cell r="BW10" t="str">
            <v/>
          </cell>
          <cell r="BX10" t="str">
            <v/>
          </cell>
          <cell r="BY10" t="str">
            <v/>
          </cell>
          <cell r="BZ10" t="str">
            <v/>
          </cell>
          <cell r="CA10" t="str">
            <v/>
          </cell>
          <cell r="CB10" t="str">
            <v/>
          </cell>
          <cell r="CC10" t="str">
            <v/>
          </cell>
          <cell r="CD10" t="str">
            <v/>
          </cell>
          <cell r="CE10" t="str">
            <v/>
          </cell>
          <cell r="CF10" t="str">
            <v/>
          </cell>
          <cell r="CG10" t="str">
            <v/>
          </cell>
          <cell r="CH10" t="str">
            <v/>
          </cell>
          <cell r="CI10" t="str">
            <v/>
          </cell>
          <cell r="CJ10" t="str">
            <v/>
          </cell>
          <cell r="CK10" t="str">
            <v/>
          </cell>
        </row>
        <row r="11">
          <cell r="J11" t="str">
            <v/>
          </cell>
          <cell r="K11" t="str">
            <v/>
          </cell>
          <cell r="L11" t="str">
            <v/>
          </cell>
          <cell r="M11" t="str">
            <v/>
          </cell>
          <cell r="N11" t="str">
            <v/>
          </cell>
          <cell r="O11" t="str">
            <v/>
          </cell>
          <cell r="P11" t="str">
            <v/>
          </cell>
          <cell r="Q11" t="str">
            <v/>
          </cell>
          <cell r="R11" t="str">
            <v/>
          </cell>
          <cell r="S11" t="str">
            <v/>
          </cell>
          <cell r="T11" t="str">
            <v/>
          </cell>
          <cell r="U11" t="str">
            <v/>
          </cell>
          <cell r="V11" t="str">
            <v/>
          </cell>
          <cell r="W11" t="str">
            <v/>
          </cell>
          <cell r="X11" t="str">
            <v/>
          </cell>
          <cell r="Y11" t="str">
            <v/>
          </cell>
          <cell r="Z11" t="str">
            <v/>
          </cell>
          <cell r="AA11" t="str">
            <v/>
          </cell>
          <cell r="AB11" t="str">
            <v/>
          </cell>
          <cell r="AC11" t="str">
            <v/>
          </cell>
          <cell r="AD11" t="str">
            <v/>
          </cell>
          <cell r="AE11">
            <v>475046</v>
          </cell>
          <cell r="AF11">
            <v>475046</v>
          </cell>
          <cell r="AG11">
            <v>475046</v>
          </cell>
          <cell r="AH11">
            <v>475046</v>
          </cell>
          <cell r="AI11">
            <v>475046</v>
          </cell>
          <cell r="AJ11">
            <v>475046</v>
          </cell>
          <cell r="AK11" t="str">
            <v/>
          </cell>
          <cell r="AL11">
            <v>475046</v>
          </cell>
          <cell r="AM11">
            <v>475046</v>
          </cell>
          <cell r="AN11">
            <v>475046</v>
          </cell>
          <cell r="AO11">
            <v>475046</v>
          </cell>
          <cell r="AP11" t="str">
            <v/>
          </cell>
          <cell r="AQ11" t="str">
            <v/>
          </cell>
          <cell r="AR11" t="str">
            <v/>
          </cell>
          <cell r="AS11" t="str">
            <v/>
          </cell>
          <cell r="AT11" t="str">
            <v/>
          </cell>
          <cell r="AU11" t="str">
            <v/>
          </cell>
          <cell r="AV11" t="str">
            <v/>
          </cell>
          <cell r="AW11" t="str">
            <v/>
          </cell>
          <cell r="AX11" t="str">
            <v/>
          </cell>
          <cell r="AY11" t="str">
            <v/>
          </cell>
          <cell r="AZ11" t="str">
            <v/>
          </cell>
          <cell r="BA11" t="str">
            <v/>
          </cell>
          <cell r="BB11" t="str">
            <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
          </cell>
          <cell r="BU11" t="str">
            <v/>
          </cell>
          <cell r="BV11" t="str">
            <v/>
          </cell>
          <cell r="BW11" t="str">
            <v/>
          </cell>
          <cell r="BX11" t="str">
            <v/>
          </cell>
          <cell r="BY11" t="str">
            <v/>
          </cell>
          <cell r="BZ11" t="str">
            <v/>
          </cell>
          <cell r="CA11" t="str">
            <v/>
          </cell>
          <cell r="CB11" t="str">
            <v/>
          </cell>
          <cell r="CC11" t="str">
            <v/>
          </cell>
          <cell r="CD11" t="str">
            <v/>
          </cell>
          <cell r="CE11" t="str">
            <v/>
          </cell>
          <cell r="CF11" t="str">
            <v/>
          </cell>
          <cell r="CG11" t="str">
            <v/>
          </cell>
          <cell r="CH11" t="str">
            <v/>
          </cell>
          <cell r="CI11" t="str">
            <v/>
          </cell>
          <cell r="CJ11" t="str">
            <v/>
          </cell>
          <cell r="CK11" t="str">
            <v/>
          </cell>
        </row>
        <row r="12">
          <cell r="J12" t="str">
            <v/>
          </cell>
          <cell r="K12" t="str">
            <v/>
          </cell>
          <cell r="L12" t="str">
            <v/>
          </cell>
          <cell r="M12" t="str">
            <v/>
          </cell>
          <cell r="N12" t="str">
            <v/>
          </cell>
          <cell r="O12" t="str">
            <v/>
          </cell>
          <cell r="P12" t="str">
            <v/>
          </cell>
          <cell r="Q12" t="str">
            <v/>
          </cell>
          <cell r="R12" t="str">
            <v/>
          </cell>
          <cell r="S12" t="str">
            <v/>
          </cell>
          <cell r="T12" t="str">
            <v/>
          </cell>
          <cell r="U12" t="str">
            <v/>
          </cell>
          <cell r="V12" t="str">
            <v/>
          </cell>
          <cell r="W12" t="str">
            <v/>
          </cell>
          <cell r="X12" t="str">
            <v/>
          </cell>
          <cell r="Y12" t="str">
            <v/>
          </cell>
          <cell r="Z12" t="str">
            <v/>
          </cell>
          <cell r="AA12" t="str">
            <v/>
          </cell>
          <cell r="AB12" t="str">
            <v/>
          </cell>
          <cell r="AC12" t="str">
            <v/>
          </cell>
          <cell r="AD12" t="str">
            <v/>
          </cell>
          <cell r="AE12" t="str">
            <v/>
          </cell>
          <cell r="AF12" t="str">
            <v/>
          </cell>
          <cell r="AG12" t="str">
            <v/>
          </cell>
          <cell r="AH12" t="str">
            <v/>
          </cell>
          <cell r="AI12" t="str">
            <v/>
          </cell>
          <cell r="AJ12" t="str">
            <v/>
          </cell>
          <cell r="AK12" t="str">
            <v/>
          </cell>
          <cell r="AL12" t="str">
            <v/>
          </cell>
          <cell r="AM12" t="str">
            <v/>
          </cell>
          <cell r="AN12" t="str">
            <v/>
          </cell>
          <cell r="AO12" t="str">
            <v/>
          </cell>
          <cell r="AP12" t="str">
            <v/>
          </cell>
          <cell r="AQ12" t="str">
            <v/>
          </cell>
          <cell r="AR12" t="str">
            <v/>
          </cell>
          <cell r="AS12" t="str">
            <v/>
          </cell>
          <cell r="AT12" t="str">
            <v/>
          </cell>
          <cell r="AU12" t="str">
            <v/>
          </cell>
          <cell r="AV12" t="str">
            <v/>
          </cell>
          <cell r="AW12" t="str">
            <v/>
          </cell>
          <cell r="AX12" t="str">
            <v/>
          </cell>
          <cell r="AY12" t="str">
            <v/>
          </cell>
          <cell r="AZ12" t="str">
            <v/>
          </cell>
          <cell r="BA12" t="str">
            <v/>
          </cell>
          <cell r="BB12" t="str">
            <v/>
          </cell>
          <cell r="BC12" t="str">
            <v/>
          </cell>
          <cell r="BD12" t="str">
            <v/>
          </cell>
          <cell r="BE12" t="str">
            <v/>
          </cell>
          <cell r="BF12" t="str">
            <v/>
          </cell>
          <cell r="BG12" t="str">
            <v/>
          </cell>
          <cell r="BH12" t="str">
            <v/>
          </cell>
          <cell r="BI12" t="str">
            <v/>
          </cell>
          <cell r="BJ12" t="str">
            <v/>
          </cell>
          <cell r="BK12" t="str">
            <v/>
          </cell>
          <cell r="BL12" t="str">
            <v/>
          </cell>
          <cell r="BM12" t="str">
            <v/>
          </cell>
          <cell r="BN12" t="str">
            <v/>
          </cell>
          <cell r="BO12" t="str">
            <v/>
          </cell>
          <cell r="BP12" t="str">
            <v/>
          </cell>
          <cell r="BQ12" t="str">
            <v/>
          </cell>
          <cell r="BR12" t="str">
            <v/>
          </cell>
          <cell r="BS12" t="str">
            <v/>
          </cell>
          <cell r="BT12" t="str">
            <v/>
          </cell>
          <cell r="BU12" t="str">
            <v/>
          </cell>
          <cell r="BV12" t="str">
            <v/>
          </cell>
          <cell r="BW12" t="str">
            <v/>
          </cell>
          <cell r="BX12" t="str">
            <v/>
          </cell>
          <cell r="BY12" t="str">
            <v/>
          </cell>
          <cell r="BZ12" t="str">
            <v/>
          </cell>
          <cell r="CA12" t="str">
            <v/>
          </cell>
          <cell r="CB12" t="str">
            <v/>
          </cell>
          <cell r="CC12" t="str">
            <v/>
          </cell>
          <cell r="CD12" t="str">
            <v/>
          </cell>
          <cell r="CE12" t="str">
            <v/>
          </cell>
          <cell r="CF12" t="str">
            <v/>
          </cell>
          <cell r="CG12" t="str">
            <v/>
          </cell>
          <cell r="CH12" t="str">
            <v/>
          </cell>
          <cell r="CI12" t="str">
            <v/>
          </cell>
          <cell r="CJ12" t="str">
            <v/>
          </cell>
          <cell r="CK12">
            <v>1127000</v>
          </cell>
        </row>
        <row r="13">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v>318489.23076923081</v>
          </cell>
          <cell r="Y13">
            <v>318489.23076923081</v>
          </cell>
          <cell r="Z13">
            <v>318489.23076923081</v>
          </cell>
          <cell r="AA13">
            <v>318489.23076923081</v>
          </cell>
          <cell r="AB13">
            <v>318489.23076923081</v>
          </cell>
          <cell r="AC13">
            <v>318489.23076923081</v>
          </cell>
          <cell r="AD13" t="str">
            <v/>
          </cell>
          <cell r="AE13">
            <v>318489.23076923081</v>
          </cell>
          <cell r="AF13">
            <v>318489.23076923081</v>
          </cell>
          <cell r="AG13">
            <v>318489.23076923081</v>
          </cell>
          <cell r="AH13">
            <v>318489.23076923081</v>
          </cell>
          <cell r="AI13">
            <v>318489.23076923081</v>
          </cell>
          <cell r="AJ13">
            <v>318489.23076923081</v>
          </cell>
          <cell r="AK13" t="str">
            <v/>
          </cell>
          <cell r="AL13">
            <v>318489.23076923081</v>
          </cell>
          <cell r="AM13" t="str">
            <v/>
          </cell>
          <cell r="AN13" t="str">
            <v/>
          </cell>
          <cell r="AO13" t="str">
            <v/>
          </cell>
          <cell r="AP13" t="str">
            <v/>
          </cell>
          <cell r="AQ13" t="str">
            <v/>
          </cell>
          <cell r="AR13" t="str">
            <v/>
          </cell>
          <cell r="AS13" t="str">
            <v/>
          </cell>
          <cell r="AT13" t="str">
            <v/>
          </cell>
          <cell r="AU13" t="str">
            <v/>
          </cell>
          <cell r="AV13" t="str">
            <v/>
          </cell>
          <cell r="AW13" t="str">
            <v/>
          </cell>
          <cell r="AX13" t="str">
            <v/>
          </cell>
          <cell r="AY13" t="str">
            <v/>
          </cell>
          <cell r="AZ13" t="str">
            <v/>
          </cell>
          <cell r="BA13" t="str">
            <v/>
          </cell>
          <cell r="BB13" t="str">
            <v/>
          </cell>
          <cell r="BC13" t="str">
            <v/>
          </cell>
          <cell r="BD13" t="str">
            <v/>
          </cell>
          <cell r="BE13" t="str">
            <v/>
          </cell>
          <cell r="BF13" t="str">
            <v/>
          </cell>
          <cell r="BG13" t="str">
            <v/>
          </cell>
          <cell r="BH13" t="str">
            <v/>
          </cell>
          <cell r="BI13" t="str">
            <v/>
          </cell>
          <cell r="BJ13" t="str">
            <v/>
          </cell>
          <cell r="BK13" t="str">
            <v/>
          </cell>
          <cell r="BL13" t="str">
            <v/>
          </cell>
          <cell r="BM13" t="str">
            <v/>
          </cell>
          <cell r="BN13" t="str">
            <v/>
          </cell>
          <cell r="BO13" t="str">
            <v/>
          </cell>
          <cell r="BP13" t="str">
            <v/>
          </cell>
          <cell r="BQ13" t="str">
            <v/>
          </cell>
          <cell r="BR13" t="str">
            <v/>
          </cell>
          <cell r="BS13" t="str">
            <v/>
          </cell>
          <cell r="BT13" t="str">
            <v/>
          </cell>
          <cell r="BU13" t="str">
            <v/>
          </cell>
          <cell r="BV13" t="str">
            <v/>
          </cell>
          <cell r="BW13" t="str">
            <v/>
          </cell>
          <cell r="BX13" t="str">
            <v/>
          </cell>
          <cell r="BY13" t="str">
            <v/>
          </cell>
          <cell r="BZ13" t="str">
            <v/>
          </cell>
          <cell r="CA13" t="str">
            <v/>
          </cell>
          <cell r="CB13" t="str">
            <v/>
          </cell>
          <cell r="CC13" t="str">
            <v/>
          </cell>
          <cell r="CD13" t="str">
            <v/>
          </cell>
          <cell r="CE13" t="str">
            <v/>
          </cell>
          <cell r="CF13" t="str">
            <v/>
          </cell>
          <cell r="CG13" t="str">
            <v/>
          </cell>
          <cell r="CH13" t="str">
            <v/>
          </cell>
          <cell r="CI13" t="str">
            <v/>
          </cell>
          <cell r="CJ13" t="str">
            <v/>
          </cell>
          <cell r="CK13" t="str">
            <v/>
          </cell>
        </row>
        <row r="14">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Z14" t="str">
            <v/>
          </cell>
          <cell r="AA14" t="str">
            <v/>
          </cell>
          <cell r="AB14" t="str">
            <v/>
          </cell>
          <cell r="AC14" t="str">
            <v/>
          </cell>
          <cell r="AD14" t="str">
            <v/>
          </cell>
          <cell r="AE14" t="str">
            <v/>
          </cell>
          <cell r="AF14" t="str">
            <v/>
          </cell>
          <cell r="AG14" t="str">
            <v/>
          </cell>
          <cell r="AH14" t="str">
            <v/>
          </cell>
          <cell r="AI14" t="str">
            <v/>
          </cell>
          <cell r="AJ14" t="str">
            <v/>
          </cell>
          <cell r="AK14" t="str">
            <v/>
          </cell>
          <cell r="AL14" t="str">
            <v/>
          </cell>
          <cell r="AM14" t="str">
            <v/>
          </cell>
          <cell r="AN14" t="str">
            <v/>
          </cell>
          <cell r="AO14" t="str">
            <v/>
          </cell>
          <cell r="AP14" t="str">
            <v/>
          </cell>
          <cell r="AQ14" t="str">
            <v/>
          </cell>
          <cell r="AR14" t="str">
            <v/>
          </cell>
          <cell r="AS14" t="str">
            <v/>
          </cell>
          <cell r="AT14" t="str">
            <v/>
          </cell>
          <cell r="AU14" t="str">
            <v/>
          </cell>
          <cell r="AV14" t="str">
            <v/>
          </cell>
          <cell r="AW14" t="str">
            <v/>
          </cell>
          <cell r="AX14" t="str">
            <v/>
          </cell>
          <cell r="AY14" t="str">
            <v/>
          </cell>
          <cell r="AZ14">
            <v>217200</v>
          </cell>
          <cell r="BA14">
            <v>217200</v>
          </cell>
          <cell r="BB14">
            <v>217200</v>
          </cell>
          <cell r="BC14">
            <v>217200</v>
          </cell>
          <cell r="BD14">
            <v>217200</v>
          </cell>
          <cell r="BE14">
            <v>217200</v>
          </cell>
          <cell r="BF14" t="str">
            <v/>
          </cell>
          <cell r="BG14" t="str">
            <v/>
          </cell>
          <cell r="BH14" t="str">
            <v/>
          </cell>
          <cell r="BI14" t="str">
            <v/>
          </cell>
          <cell r="BJ14" t="str">
            <v/>
          </cell>
          <cell r="BK14" t="str">
            <v/>
          </cell>
          <cell r="BL14" t="str">
            <v/>
          </cell>
          <cell r="BM14" t="str">
            <v/>
          </cell>
          <cell r="BN14" t="str">
            <v/>
          </cell>
          <cell r="BO14" t="str">
            <v/>
          </cell>
          <cell r="BP14" t="str">
            <v/>
          </cell>
          <cell r="BQ14" t="str">
            <v/>
          </cell>
          <cell r="BR14" t="str">
            <v/>
          </cell>
          <cell r="BS14" t="str">
            <v/>
          </cell>
          <cell r="BT14" t="str">
            <v/>
          </cell>
          <cell r="BU14" t="str">
            <v/>
          </cell>
          <cell r="BV14" t="str">
            <v/>
          </cell>
          <cell r="BW14" t="str">
            <v/>
          </cell>
          <cell r="BX14" t="str">
            <v/>
          </cell>
          <cell r="BY14" t="str">
            <v/>
          </cell>
          <cell r="BZ14" t="str">
            <v/>
          </cell>
          <cell r="CA14" t="str">
            <v/>
          </cell>
          <cell r="CB14" t="str">
            <v/>
          </cell>
          <cell r="CC14" t="str">
            <v/>
          </cell>
          <cell r="CD14" t="str">
            <v/>
          </cell>
          <cell r="CE14" t="str">
            <v/>
          </cell>
          <cell r="CF14" t="str">
            <v/>
          </cell>
          <cell r="CG14" t="str">
            <v/>
          </cell>
          <cell r="CH14" t="str">
            <v/>
          </cell>
          <cell r="CI14" t="str">
            <v/>
          </cell>
          <cell r="CJ14" t="str">
            <v/>
          </cell>
          <cell r="CK14" t="str">
            <v/>
          </cell>
        </row>
        <row r="15">
          <cell r="J15" t="str">
            <v/>
          </cell>
          <cell r="K15" t="str">
            <v/>
          </cell>
          <cell r="L15" t="str">
            <v/>
          </cell>
          <cell r="M15" t="str">
            <v/>
          </cell>
          <cell r="N15" t="str">
            <v/>
          </cell>
          <cell r="O15" t="str">
            <v/>
          </cell>
          <cell r="P15" t="str">
            <v/>
          </cell>
          <cell r="Q15" t="str">
            <v/>
          </cell>
          <cell r="R15" t="str">
            <v/>
          </cell>
          <cell r="S15" t="str">
            <v/>
          </cell>
          <cell r="T15" t="str">
            <v/>
          </cell>
          <cell r="U15" t="str">
            <v/>
          </cell>
          <cell r="V15" t="str">
            <v/>
          </cell>
          <cell r="W15" t="str">
            <v/>
          </cell>
          <cell r="X15" t="str">
            <v/>
          </cell>
          <cell r="Y15" t="str">
            <v/>
          </cell>
          <cell r="Z15" t="str">
            <v/>
          </cell>
          <cell r="AA15" t="str">
            <v/>
          </cell>
          <cell r="AB15" t="str">
            <v/>
          </cell>
          <cell r="AC15" t="str">
            <v/>
          </cell>
          <cell r="AD15" t="str">
            <v/>
          </cell>
          <cell r="AE15" t="str">
            <v/>
          </cell>
          <cell r="AF15" t="str">
            <v/>
          </cell>
          <cell r="AG15" t="str">
            <v/>
          </cell>
          <cell r="AH15" t="str">
            <v/>
          </cell>
          <cell r="AI15" t="str">
            <v/>
          </cell>
          <cell r="AJ15" t="str">
            <v/>
          </cell>
          <cell r="AK15" t="str">
            <v/>
          </cell>
          <cell r="AL15" t="str">
            <v/>
          </cell>
          <cell r="AM15" t="str">
            <v/>
          </cell>
          <cell r="AN15" t="str">
            <v/>
          </cell>
          <cell r="AO15" t="str">
            <v/>
          </cell>
          <cell r="AP15" t="str">
            <v/>
          </cell>
          <cell r="AQ15" t="str">
            <v/>
          </cell>
          <cell r="AR15" t="str">
            <v/>
          </cell>
          <cell r="AS15" t="str">
            <v/>
          </cell>
          <cell r="AT15" t="str">
            <v/>
          </cell>
          <cell r="AU15" t="str">
            <v/>
          </cell>
          <cell r="AV15" t="str">
            <v/>
          </cell>
          <cell r="AW15" t="str">
            <v/>
          </cell>
          <cell r="AX15" t="str">
            <v/>
          </cell>
          <cell r="AY15" t="str">
            <v/>
          </cell>
          <cell r="AZ15" t="str">
            <v/>
          </cell>
          <cell r="BA15" t="str">
            <v/>
          </cell>
          <cell r="BB15" t="str">
            <v/>
          </cell>
          <cell r="BC15" t="str">
            <v/>
          </cell>
          <cell r="BD15" t="str">
            <v/>
          </cell>
          <cell r="BE15" t="str">
            <v/>
          </cell>
          <cell r="BF15" t="str">
            <v/>
          </cell>
          <cell r="BG15" t="str">
            <v/>
          </cell>
          <cell r="BH15" t="str">
            <v/>
          </cell>
          <cell r="BI15" t="str">
            <v/>
          </cell>
          <cell r="BJ15" t="str">
            <v/>
          </cell>
          <cell r="BK15" t="str">
            <v/>
          </cell>
          <cell r="BL15" t="str">
            <v/>
          </cell>
          <cell r="BM15" t="str">
            <v/>
          </cell>
          <cell r="BN15" t="str">
            <v/>
          </cell>
          <cell r="BO15" t="str">
            <v/>
          </cell>
          <cell r="BP15" t="str">
            <v/>
          </cell>
          <cell r="BQ15" t="str">
            <v/>
          </cell>
          <cell r="BR15" t="str">
            <v/>
          </cell>
          <cell r="BS15" t="str">
            <v/>
          </cell>
          <cell r="BT15" t="str">
            <v/>
          </cell>
          <cell r="BU15" t="str">
            <v/>
          </cell>
          <cell r="BV15" t="str">
            <v/>
          </cell>
          <cell r="BW15" t="str">
            <v/>
          </cell>
          <cell r="BX15" t="str">
            <v/>
          </cell>
          <cell r="BY15" t="str">
            <v/>
          </cell>
          <cell r="BZ15" t="str">
            <v/>
          </cell>
          <cell r="CA15" t="str">
            <v/>
          </cell>
          <cell r="CB15">
            <v>1541100</v>
          </cell>
          <cell r="CC15" t="str">
            <v/>
          </cell>
          <cell r="CD15" t="str">
            <v/>
          </cell>
          <cell r="CE15" t="str">
            <v/>
          </cell>
          <cell r="CF15" t="str">
            <v/>
          </cell>
          <cell r="CG15" t="str">
            <v/>
          </cell>
          <cell r="CH15" t="str">
            <v/>
          </cell>
          <cell r="CI15" t="str">
            <v/>
          </cell>
          <cell r="CJ15" t="str">
            <v/>
          </cell>
          <cell r="CK15" t="str">
            <v/>
          </cell>
        </row>
        <row r="16">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Z16" t="str">
            <v/>
          </cell>
          <cell r="AA16" t="str">
            <v/>
          </cell>
          <cell r="AB16" t="str">
            <v/>
          </cell>
          <cell r="AC16" t="str">
            <v/>
          </cell>
          <cell r="AD16" t="str">
            <v/>
          </cell>
          <cell r="AE16" t="str">
            <v/>
          </cell>
          <cell r="AF16" t="str">
            <v/>
          </cell>
          <cell r="AG16" t="str">
            <v/>
          </cell>
          <cell r="AH16" t="str">
            <v/>
          </cell>
          <cell r="AI16" t="str">
            <v/>
          </cell>
          <cell r="AJ16" t="str">
            <v/>
          </cell>
          <cell r="AK16" t="str">
            <v/>
          </cell>
          <cell r="AL16" t="str">
            <v/>
          </cell>
          <cell r="AM16" t="str">
            <v/>
          </cell>
          <cell r="AN16" t="str">
            <v/>
          </cell>
          <cell r="AO16" t="str">
            <v/>
          </cell>
          <cell r="AP16" t="str">
            <v/>
          </cell>
          <cell r="AQ16" t="str">
            <v/>
          </cell>
          <cell r="AR16" t="str">
            <v/>
          </cell>
          <cell r="AS16" t="str">
            <v/>
          </cell>
          <cell r="AT16" t="str">
            <v/>
          </cell>
          <cell r="AU16" t="str">
            <v/>
          </cell>
          <cell r="AV16" t="str">
            <v/>
          </cell>
          <cell r="AW16" t="str">
            <v/>
          </cell>
          <cell r="AX16" t="str">
            <v/>
          </cell>
          <cell r="AY16" t="str">
            <v/>
          </cell>
          <cell r="AZ16" t="str">
            <v/>
          </cell>
          <cell r="BA16" t="str">
            <v/>
          </cell>
          <cell r="BB16" t="str">
            <v/>
          </cell>
          <cell r="BC16" t="str">
            <v/>
          </cell>
          <cell r="BD16" t="str">
            <v/>
          </cell>
          <cell r="BE16" t="str">
            <v/>
          </cell>
          <cell r="BF16" t="str">
            <v/>
          </cell>
          <cell r="BG16" t="str">
            <v/>
          </cell>
          <cell r="BH16" t="str">
            <v/>
          </cell>
          <cell r="BI16" t="str">
            <v/>
          </cell>
          <cell r="BJ16" t="str">
            <v/>
          </cell>
          <cell r="BK16" t="str">
            <v/>
          </cell>
          <cell r="BL16" t="str">
            <v/>
          </cell>
          <cell r="BM16" t="str">
            <v/>
          </cell>
          <cell r="BN16" t="str">
            <v/>
          </cell>
          <cell r="BO16" t="str">
            <v/>
          </cell>
          <cell r="BP16" t="str">
            <v/>
          </cell>
          <cell r="BQ16" t="str">
            <v/>
          </cell>
          <cell r="BR16" t="str">
            <v/>
          </cell>
          <cell r="BS16" t="str">
            <v/>
          </cell>
          <cell r="BT16" t="str">
            <v/>
          </cell>
          <cell r="BU16" t="str">
            <v/>
          </cell>
          <cell r="BV16" t="str">
            <v/>
          </cell>
          <cell r="BW16" t="str">
            <v/>
          </cell>
          <cell r="BX16" t="str">
            <v/>
          </cell>
          <cell r="BY16" t="str">
            <v/>
          </cell>
          <cell r="BZ16" t="str">
            <v/>
          </cell>
          <cell r="CA16" t="str">
            <v/>
          </cell>
          <cell r="CB16">
            <v>874311.66666666663</v>
          </cell>
          <cell r="CC16">
            <v>874311.66666666663</v>
          </cell>
          <cell r="CD16">
            <v>874311.66666666663</v>
          </cell>
          <cell r="CE16">
            <v>874311.66666666663</v>
          </cell>
          <cell r="CF16">
            <v>874311.66666666663</v>
          </cell>
          <cell r="CG16">
            <v>874311.66666666663</v>
          </cell>
          <cell r="CH16" t="str">
            <v/>
          </cell>
          <cell r="CI16" t="str">
            <v/>
          </cell>
          <cell r="CJ16" t="str">
            <v/>
          </cell>
          <cell r="CK16" t="str">
            <v/>
          </cell>
        </row>
        <row r="18">
          <cell r="J18">
            <v>108200.60869565218</v>
          </cell>
          <cell r="K18">
            <v>108200.60869565218</v>
          </cell>
          <cell r="L18">
            <v>108200.60869565218</v>
          </cell>
          <cell r="M18">
            <v>108200.60869565218</v>
          </cell>
          <cell r="N18">
            <v>108200.60869565218</v>
          </cell>
          <cell r="O18">
            <v>108200.60869565218</v>
          </cell>
          <cell r="P18" t="str">
            <v/>
          </cell>
          <cell r="Q18">
            <v>108200.60869565218</v>
          </cell>
          <cell r="R18">
            <v>108200.60869565218</v>
          </cell>
          <cell r="S18">
            <v>108200.60869565218</v>
          </cell>
          <cell r="T18">
            <v>108200.60869565218</v>
          </cell>
          <cell r="U18">
            <v>108200.60869565218</v>
          </cell>
          <cell r="V18">
            <v>108200.60869565218</v>
          </cell>
          <cell r="W18" t="str">
            <v/>
          </cell>
          <cell r="X18">
            <v>108200.60869565218</v>
          </cell>
          <cell r="Y18">
            <v>108200.60869565218</v>
          </cell>
          <cell r="Z18">
            <v>108200.60869565218</v>
          </cell>
          <cell r="AA18">
            <v>108200.60869565218</v>
          </cell>
          <cell r="AB18">
            <v>108200.60869565218</v>
          </cell>
          <cell r="AC18">
            <v>108200.60869565218</v>
          </cell>
          <cell r="AD18" t="str">
            <v/>
          </cell>
          <cell r="AE18">
            <v>108200.60869565218</v>
          </cell>
          <cell r="AF18">
            <v>108200.60869565218</v>
          </cell>
          <cell r="AG18">
            <v>108200.60869565218</v>
          </cell>
          <cell r="AH18">
            <v>108200.60869565218</v>
          </cell>
          <cell r="AI18">
            <v>108200.60869565218</v>
          </cell>
          <cell r="AJ18">
            <v>108200.60869565218</v>
          </cell>
          <cell r="AK18" t="str">
            <v/>
          </cell>
          <cell r="AL18">
            <v>108200.60869565218</v>
          </cell>
          <cell r="AM18">
            <v>108200.60869565218</v>
          </cell>
          <cell r="AN18">
            <v>108200.60869565218</v>
          </cell>
          <cell r="AO18">
            <v>108200.60869565218</v>
          </cell>
          <cell r="AP18">
            <v>108200.60869565218</v>
          </cell>
          <cell r="AQ18">
            <v>108200.60869565218</v>
          </cell>
          <cell r="AR18" t="str">
            <v/>
          </cell>
          <cell r="AS18">
            <v>108200.60869565218</v>
          </cell>
          <cell r="AT18">
            <v>108200.60869565218</v>
          </cell>
          <cell r="AU18">
            <v>108200.60869565218</v>
          </cell>
          <cell r="AV18">
            <v>108200.60869565218</v>
          </cell>
          <cell r="AW18">
            <v>108200.60869565218</v>
          </cell>
          <cell r="AX18">
            <v>108200.60869565218</v>
          </cell>
          <cell r="AY18" t="str">
            <v/>
          </cell>
          <cell r="AZ18">
            <v>108200.60869565218</v>
          </cell>
          <cell r="BA18">
            <v>108200.60869565218</v>
          </cell>
          <cell r="BB18">
            <v>108200.60869565218</v>
          </cell>
          <cell r="BC18">
            <v>108200.60869565218</v>
          </cell>
          <cell r="BD18">
            <v>108200.60869565218</v>
          </cell>
          <cell r="BE18">
            <v>108200.60869565218</v>
          </cell>
          <cell r="BF18" t="str">
            <v/>
          </cell>
          <cell r="BG18">
            <v>108200.60869565218</v>
          </cell>
          <cell r="BH18">
            <v>108200.60869565218</v>
          </cell>
          <cell r="BI18">
            <v>108200.60869565218</v>
          </cell>
          <cell r="BJ18">
            <v>108200.60869565218</v>
          </cell>
          <cell r="BK18">
            <v>108200.60869565218</v>
          </cell>
          <cell r="BL18">
            <v>108200.60869565218</v>
          </cell>
          <cell r="BM18" t="str">
            <v/>
          </cell>
          <cell r="BN18">
            <v>108200.60869565218</v>
          </cell>
          <cell r="BO18">
            <v>108200.60869565218</v>
          </cell>
          <cell r="BP18">
            <v>108200.60869565218</v>
          </cell>
          <cell r="BQ18">
            <v>108200.60869565218</v>
          </cell>
          <cell r="BR18">
            <v>108200.60869565218</v>
          </cell>
          <cell r="BS18">
            <v>108200.60869565218</v>
          </cell>
          <cell r="BT18" t="str">
            <v/>
          </cell>
          <cell r="BU18">
            <v>108200.60869565218</v>
          </cell>
          <cell r="BV18">
            <v>108200.60869565218</v>
          </cell>
          <cell r="BW18">
            <v>108200.60869565218</v>
          </cell>
          <cell r="BX18">
            <v>108200.60869565218</v>
          </cell>
          <cell r="BY18">
            <v>108200.60869565218</v>
          </cell>
          <cell r="BZ18">
            <v>108200.60869565218</v>
          </cell>
          <cell r="CA18" t="str">
            <v/>
          </cell>
          <cell r="CB18">
            <v>108200.60869565218</v>
          </cell>
          <cell r="CC18">
            <v>108200.60869565218</v>
          </cell>
          <cell r="CD18">
            <v>108200.60869565218</v>
          </cell>
          <cell r="CE18">
            <v>108200.60869565218</v>
          </cell>
          <cell r="CF18">
            <v>108200.60869565218</v>
          </cell>
          <cell r="CG18">
            <v>108200.60869565218</v>
          </cell>
          <cell r="CH18" t="str">
            <v/>
          </cell>
          <cell r="CI18">
            <v>108200.60869565218</v>
          </cell>
          <cell r="CJ18">
            <v>108200.60869565218</v>
          </cell>
          <cell r="CK18">
            <v>108200.60869565218</v>
          </cell>
        </row>
        <row r="19">
          <cell r="J19">
            <v>4473600</v>
          </cell>
          <cell r="K19">
            <v>4473600</v>
          </cell>
          <cell r="L19">
            <v>4473600</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cell r="AI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
          </cell>
          <cell r="BU19" t="str">
            <v/>
          </cell>
          <cell r="BV19" t="str">
            <v/>
          </cell>
          <cell r="BW19" t="str">
            <v/>
          </cell>
          <cell r="BX19" t="str">
            <v/>
          </cell>
          <cell r="BY19" t="str">
            <v/>
          </cell>
          <cell r="BZ19" t="str">
            <v/>
          </cell>
          <cell r="CA19" t="str">
            <v/>
          </cell>
          <cell r="CB19" t="str">
            <v/>
          </cell>
          <cell r="CC19" t="str">
            <v/>
          </cell>
          <cell r="CD19" t="str">
            <v/>
          </cell>
          <cell r="CE19" t="str">
            <v/>
          </cell>
          <cell r="CF19" t="str">
            <v/>
          </cell>
          <cell r="CG19" t="str">
            <v/>
          </cell>
          <cell r="CH19" t="str">
            <v/>
          </cell>
          <cell r="CI19" t="str">
            <v/>
          </cell>
          <cell r="CJ19" t="str">
            <v/>
          </cell>
          <cell r="CK19" t="str">
            <v/>
          </cell>
        </row>
        <row r="20">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Z20" t="str">
            <v/>
          </cell>
          <cell r="AA20" t="str">
            <v/>
          </cell>
          <cell r="AB20" t="str">
            <v/>
          </cell>
          <cell r="AC20" t="str">
            <v/>
          </cell>
          <cell r="AD20" t="str">
            <v/>
          </cell>
          <cell r="AE20" t="str">
            <v/>
          </cell>
          <cell r="AF20" t="str">
            <v/>
          </cell>
          <cell r="AG20" t="str">
            <v/>
          </cell>
          <cell r="AH20" t="str">
            <v/>
          </cell>
          <cell r="AI20">
            <v>953511.57894736831</v>
          </cell>
          <cell r="AJ20">
            <v>953511.57894736831</v>
          </cell>
          <cell r="AK20" t="str">
            <v/>
          </cell>
          <cell r="AL20">
            <v>953511.57894736831</v>
          </cell>
          <cell r="AM20">
            <v>953511.57894736831</v>
          </cell>
          <cell r="AN20">
            <v>953511.57894736831</v>
          </cell>
          <cell r="AO20">
            <v>953511.57894736831</v>
          </cell>
          <cell r="AP20">
            <v>953511.57894736831</v>
          </cell>
          <cell r="AQ20">
            <v>953511.57894736831</v>
          </cell>
          <cell r="AR20" t="str">
            <v/>
          </cell>
          <cell r="AS20">
            <v>953511.57894736831</v>
          </cell>
          <cell r="AT20">
            <v>953511.57894736831</v>
          </cell>
          <cell r="AU20">
            <v>953511.57894736831</v>
          </cell>
          <cell r="AV20">
            <v>953511.57894736831</v>
          </cell>
          <cell r="AW20">
            <v>953511.57894736831</v>
          </cell>
          <cell r="AX20">
            <v>953511.57894736831</v>
          </cell>
          <cell r="AY20" t="str">
            <v/>
          </cell>
          <cell r="AZ20">
            <v>953511.57894736831</v>
          </cell>
          <cell r="BA20">
            <v>953511.57894736831</v>
          </cell>
          <cell r="BB20">
            <v>953511.57894736831</v>
          </cell>
          <cell r="BC20">
            <v>953511.57894736831</v>
          </cell>
          <cell r="BD20">
            <v>953511.57894736831</v>
          </cell>
          <cell r="BE20" t="str">
            <v/>
          </cell>
          <cell r="BF20" t="str">
            <v/>
          </cell>
          <cell r="BG20" t="str">
            <v/>
          </cell>
          <cell r="BH20" t="str">
            <v/>
          </cell>
          <cell r="BI20" t="str">
            <v/>
          </cell>
          <cell r="BJ20" t="str">
            <v/>
          </cell>
          <cell r="BK20" t="str">
            <v/>
          </cell>
          <cell r="BL20" t="str">
            <v/>
          </cell>
          <cell r="BM20" t="str">
            <v/>
          </cell>
          <cell r="BN20" t="str">
            <v/>
          </cell>
          <cell r="BO20" t="str">
            <v/>
          </cell>
          <cell r="BP20" t="str">
            <v/>
          </cell>
          <cell r="BQ20" t="str">
            <v/>
          </cell>
          <cell r="BR20" t="str">
            <v/>
          </cell>
          <cell r="BS20" t="str">
            <v/>
          </cell>
          <cell r="BT20" t="str">
            <v/>
          </cell>
          <cell r="BU20" t="str">
            <v/>
          </cell>
          <cell r="BV20" t="str">
            <v/>
          </cell>
          <cell r="BW20" t="str">
            <v/>
          </cell>
          <cell r="BX20" t="str">
            <v/>
          </cell>
          <cell r="BY20" t="str">
            <v/>
          </cell>
          <cell r="BZ20" t="str">
            <v/>
          </cell>
          <cell r="CA20" t="str">
            <v/>
          </cell>
          <cell r="CB20" t="str">
            <v/>
          </cell>
          <cell r="CC20" t="str">
            <v/>
          </cell>
          <cell r="CD20" t="str">
            <v/>
          </cell>
          <cell r="CE20" t="str">
            <v/>
          </cell>
          <cell r="CF20" t="str">
            <v/>
          </cell>
          <cell r="CG20" t="str">
            <v/>
          </cell>
          <cell r="CH20" t="str">
            <v/>
          </cell>
          <cell r="CI20" t="str">
            <v/>
          </cell>
          <cell r="CJ20" t="str">
            <v/>
          </cell>
          <cell r="CK20" t="str">
            <v/>
          </cell>
        </row>
        <row r="21">
          <cell r="J21">
            <v>4956900</v>
          </cell>
          <cell r="K21">
            <v>4956900</v>
          </cell>
          <cell r="L21">
            <v>4956900</v>
          </cell>
          <cell r="M21">
            <v>4956900</v>
          </cell>
          <cell r="N21">
            <v>4956900</v>
          </cell>
          <cell r="O21">
            <v>4956900</v>
          </cell>
          <cell r="P21" t="str">
            <v/>
          </cell>
          <cell r="Q21">
            <v>4956900</v>
          </cell>
          <cell r="R21">
            <v>4956900</v>
          </cell>
          <cell r="S21">
            <v>4956900</v>
          </cell>
          <cell r="T21">
            <v>4956900</v>
          </cell>
          <cell r="U21">
            <v>4956900</v>
          </cell>
          <cell r="V21">
            <v>4956900</v>
          </cell>
          <cell r="W21" t="str">
            <v/>
          </cell>
          <cell r="X21">
            <v>4956900</v>
          </cell>
          <cell r="Y21">
            <v>4956900</v>
          </cell>
          <cell r="Z21">
            <v>4956900</v>
          </cell>
          <cell r="AA21">
            <v>4956900</v>
          </cell>
          <cell r="AB21">
            <v>4956900</v>
          </cell>
          <cell r="AC21">
            <v>4956900</v>
          </cell>
          <cell r="AD21" t="str">
            <v/>
          </cell>
          <cell r="AE21">
            <v>4956900</v>
          </cell>
          <cell r="AF21">
            <v>4956900</v>
          </cell>
          <cell r="AG21">
            <v>4956900</v>
          </cell>
          <cell r="AH21">
            <v>4956900</v>
          </cell>
          <cell r="AI21">
            <v>4956900</v>
          </cell>
          <cell r="AJ21">
            <v>4956900</v>
          </cell>
          <cell r="AK21" t="str">
            <v/>
          </cell>
          <cell r="AL21">
            <v>4956900</v>
          </cell>
          <cell r="AM21">
            <v>4956900</v>
          </cell>
          <cell r="AN21">
            <v>4956900</v>
          </cell>
          <cell r="AO21">
            <v>4956900</v>
          </cell>
          <cell r="AP21">
            <v>4956900</v>
          </cell>
          <cell r="AQ21">
            <v>4956900</v>
          </cell>
          <cell r="AR21" t="str">
            <v/>
          </cell>
          <cell r="AS21" t="str">
            <v/>
          </cell>
          <cell r="AT21" t="str">
            <v/>
          </cell>
          <cell r="AU21" t="str">
            <v/>
          </cell>
          <cell r="AV21" t="str">
            <v/>
          </cell>
          <cell r="AW21" t="str">
            <v/>
          </cell>
          <cell r="AX21" t="str">
            <v/>
          </cell>
          <cell r="AY21" t="str">
            <v/>
          </cell>
          <cell r="AZ21" t="str">
            <v/>
          </cell>
          <cell r="BA21" t="str">
            <v/>
          </cell>
          <cell r="BB21" t="str">
            <v/>
          </cell>
          <cell r="BC21" t="str">
            <v/>
          </cell>
          <cell r="BD21" t="str">
            <v/>
          </cell>
          <cell r="BE21" t="str">
            <v/>
          </cell>
          <cell r="BF21" t="str">
            <v/>
          </cell>
          <cell r="BG21" t="str">
            <v/>
          </cell>
          <cell r="BH21" t="str">
            <v/>
          </cell>
          <cell r="BI21" t="str">
            <v/>
          </cell>
          <cell r="BJ21" t="str">
            <v/>
          </cell>
          <cell r="BK21" t="str">
            <v/>
          </cell>
          <cell r="BL21" t="str">
            <v/>
          </cell>
          <cell r="BM21" t="str">
            <v/>
          </cell>
          <cell r="BN21" t="str">
            <v/>
          </cell>
          <cell r="BO21" t="str">
            <v/>
          </cell>
          <cell r="BP21" t="str">
            <v/>
          </cell>
          <cell r="BQ21" t="str">
            <v/>
          </cell>
          <cell r="BR21" t="str">
            <v/>
          </cell>
          <cell r="BS21" t="str">
            <v/>
          </cell>
          <cell r="BT21" t="str">
            <v/>
          </cell>
          <cell r="BU21" t="str">
            <v/>
          </cell>
          <cell r="BV21" t="str">
            <v/>
          </cell>
          <cell r="BW21" t="str">
            <v/>
          </cell>
          <cell r="BX21" t="str">
            <v/>
          </cell>
          <cell r="BY21" t="str">
            <v/>
          </cell>
          <cell r="BZ21" t="str">
            <v/>
          </cell>
          <cell r="CA21" t="str">
            <v/>
          </cell>
          <cell r="CB21" t="str">
            <v/>
          </cell>
          <cell r="CC21" t="str">
            <v/>
          </cell>
          <cell r="CD21" t="str">
            <v/>
          </cell>
          <cell r="CE21" t="str">
            <v/>
          </cell>
          <cell r="CF21" t="str">
            <v/>
          </cell>
          <cell r="CG21" t="str">
            <v/>
          </cell>
          <cell r="CH21" t="str">
            <v/>
          </cell>
          <cell r="CI21" t="str">
            <v/>
          </cell>
          <cell r="CJ21" t="str">
            <v/>
          </cell>
          <cell r="CK21" t="str">
            <v/>
          </cell>
        </row>
        <row r="22">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Z22" t="str">
            <v/>
          </cell>
          <cell r="AA22" t="str">
            <v/>
          </cell>
          <cell r="AB22" t="str">
            <v/>
          </cell>
          <cell r="AC22" t="str">
            <v/>
          </cell>
          <cell r="AD22" t="str">
            <v/>
          </cell>
          <cell r="AE22" t="str">
            <v/>
          </cell>
          <cell r="AF22" t="str">
            <v/>
          </cell>
          <cell r="AG22" t="str">
            <v/>
          </cell>
          <cell r="AH22" t="str">
            <v/>
          </cell>
          <cell r="AI22" t="str">
            <v/>
          </cell>
          <cell r="AJ22" t="str">
            <v/>
          </cell>
          <cell r="AK22" t="str">
            <v/>
          </cell>
          <cell r="AL22">
            <v>2476800</v>
          </cell>
          <cell r="AM22">
            <v>2476800</v>
          </cell>
          <cell r="AN22">
            <v>2476800</v>
          </cell>
          <cell r="AO22">
            <v>2476800</v>
          </cell>
          <cell r="AP22">
            <v>2476800</v>
          </cell>
          <cell r="AQ22">
            <v>2476800</v>
          </cell>
          <cell r="AR22" t="str">
            <v/>
          </cell>
          <cell r="AS22">
            <v>2476800</v>
          </cell>
          <cell r="AT22">
            <v>2476800</v>
          </cell>
          <cell r="AU22">
            <v>2476800</v>
          </cell>
          <cell r="AV22">
            <v>2476800</v>
          </cell>
          <cell r="AW22">
            <v>2476800</v>
          </cell>
          <cell r="AX22">
            <v>2476800</v>
          </cell>
          <cell r="AY22" t="str">
            <v/>
          </cell>
          <cell r="AZ22">
            <v>2476800</v>
          </cell>
          <cell r="BA22">
            <v>2476800</v>
          </cell>
          <cell r="BB22">
            <v>2476800</v>
          </cell>
          <cell r="BC22">
            <v>2476800</v>
          </cell>
          <cell r="BD22">
            <v>2476800</v>
          </cell>
          <cell r="BE22">
            <v>2476800</v>
          </cell>
          <cell r="BF22" t="str">
            <v/>
          </cell>
          <cell r="BG22" t="str">
            <v/>
          </cell>
          <cell r="BH22" t="str">
            <v/>
          </cell>
          <cell r="BI22" t="str">
            <v/>
          </cell>
          <cell r="BJ22" t="str">
            <v/>
          </cell>
          <cell r="BK22" t="str">
            <v/>
          </cell>
          <cell r="BL22" t="str">
            <v/>
          </cell>
          <cell r="BM22" t="str">
            <v/>
          </cell>
          <cell r="BN22" t="str">
            <v/>
          </cell>
          <cell r="BO22" t="str">
            <v/>
          </cell>
          <cell r="BP22" t="str">
            <v/>
          </cell>
          <cell r="BQ22" t="str">
            <v/>
          </cell>
          <cell r="BR22" t="str">
            <v/>
          </cell>
          <cell r="BS22" t="str">
            <v/>
          </cell>
          <cell r="BT22" t="str">
            <v/>
          </cell>
          <cell r="BU22" t="str">
            <v/>
          </cell>
          <cell r="BV22" t="str">
            <v/>
          </cell>
          <cell r="BW22" t="str">
            <v/>
          </cell>
          <cell r="BX22" t="str">
            <v/>
          </cell>
          <cell r="BY22" t="str">
            <v/>
          </cell>
          <cell r="BZ22" t="str">
            <v/>
          </cell>
          <cell r="CA22" t="str">
            <v/>
          </cell>
          <cell r="CB22" t="str">
            <v/>
          </cell>
          <cell r="CC22" t="str">
            <v/>
          </cell>
          <cell r="CD22" t="str">
            <v/>
          </cell>
          <cell r="CE22" t="str">
            <v/>
          </cell>
          <cell r="CF22" t="str">
            <v/>
          </cell>
          <cell r="CG22" t="str">
            <v/>
          </cell>
          <cell r="CH22" t="str">
            <v/>
          </cell>
          <cell r="CI22" t="str">
            <v/>
          </cell>
          <cell r="CJ22" t="str">
            <v/>
          </cell>
          <cell r="CK22" t="str">
            <v/>
          </cell>
        </row>
        <row r="23">
          <cell r="J23" t="str">
            <v/>
          </cell>
          <cell r="K23" t="str">
            <v/>
          </cell>
          <cell r="L23" t="str">
            <v/>
          </cell>
          <cell r="M23" t="str">
            <v/>
          </cell>
          <cell r="N23" t="str">
            <v/>
          </cell>
          <cell r="O23" t="str">
            <v/>
          </cell>
          <cell r="P23" t="str">
            <v/>
          </cell>
          <cell r="Q23" t="str">
            <v/>
          </cell>
          <cell r="R23" t="str">
            <v/>
          </cell>
          <cell r="S23" t="str">
            <v/>
          </cell>
          <cell r="T23" t="str">
            <v/>
          </cell>
          <cell r="U23" t="str">
            <v/>
          </cell>
          <cell r="V23" t="str">
            <v/>
          </cell>
          <cell r="W23" t="str">
            <v/>
          </cell>
          <cell r="X23" t="str">
            <v/>
          </cell>
          <cell r="Y23" t="str">
            <v/>
          </cell>
          <cell r="Z23" t="str">
            <v/>
          </cell>
          <cell r="AA23" t="str">
            <v/>
          </cell>
          <cell r="AB23" t="str">
            <v/>
          </cell>
          <cell r="AC23" t="str">
            <v/>
          </cell>
          <cell r="AD23" t="str">
            <v/>
          </cell>
          <cell r="AE23" t="str">
            <v/>
          </cell>
          <cell r="AF23" t="str">
            <v/>
          </cell>
          <cell r="AG23" t="str">
            <v/>
          </cell>
          <cell r="AH23" t="str">
            <v/>
          </cell>
          <cell r="AI23" t="str">
            <v/>
          </cell>
          <cell r="AJ23" t="str">
            <v/>
          </cell>
          <cell r="AK23" t="str">
            <v/>
          </cell>
          <cell r="AL23">
            <v>4368000</v>
          </cell>
          <cell r="AM23">
            <v>4368000</v>
          </cell>
          <cell r="AN23">
            <v>4368000</v>
          </cell>
          <cell r="AO23">
            <v>4368000</v>
          </cell>
          <cell r="AP23">
            <v>4368000</v>
          </cell>
          <cell r="AQ23">
            <v>4368000</v>
          </cell>
          <cell r="AR23" t="str">
            <v/>
          </cell>
          <cell r="AS23">
            <v>4368000</v>
          </cell>
          <cell r="AT23">
            <v>4368000</v>
          </cell>
          <cell r="AU23">
            <v>4368000</v>
          </cell>
          <cell r="AV23">
            <v>4368000</v>
          </cell>
          <cell r="AW23">
            <v>4368000</v>
          </cell>
          <cell r="AX23">
            <v>4368000</v>
          </cell>
          <cell r="AY23" t="str">
            <v/>
          </cell>
          <cell r="AZ23">
            <v>4368000</v>
          </cell>
          <cell r="BA23">
            <v>4368000</v>
          </cell>
          <cell r="BB23">
            <v>4368000</v>
          </cell>
          <cell r="BC23">
            <v>4368000</v>
          </cell>
          <cell r="BD23">
            <v>4368000</v>
          </cell>
          <cell r="BE23">
            <v>4368000</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
          </cell>
          <cell r="BU23" t="str">
            <v/>
          </cell>
          <cell r="BV23" t="str">
            <v/>
          </cell>
          <cell r="BW23" t="str">
            <v/>
          </cell>
          <cell r="BX23" t="str">
            <v/>
          </cell>
          <cell r="BY23" t="str">
            <v/>
          </cell>
          <cell r="BZ23" t="str">
            <v/>
          </cell>
          <cell r="CA23" t="str">
            <v/>
          </cell>
          <cell r="CB23" t="str">
            <v/>
          </cell>
          <cell r="CC23" t="str">
            <v/>
          </cell>
          <cell r="CD23" t="str">
            <v/>
          </cell>
          <cell r="CE23" t="str">
            <v/>
          </cell>
          <cell r="CF23" t="str">
            <v/>
          </cell>
          <cell r="CG23" t="str">
            <v/>
          </cell>
          <cell r="CH23" t="str">
            <v/>
          </cell>
          <cell r="CI23" t="str">
            <v/>
          </cell>
          <cell r="CJ23" t="str">
            <v/>
          </cell>
          <cell r="CK23" t="str">
            <v/>
          </cell>
        </row>
        <row r="24">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Z24" t="str">
            <v/>
          </cell>
          <cell r="AA24" t="str">
            <v/>
          </cell>
          <cell r="AB24" t="str">
            <v/>
          </cell>
          <cell r="AC24" t="str">
            <v/>
          </cell>
          <cell r="AD24" t="str">
            <v/>
          </cell>
          <cell r="AE24" t="str">
            <v/>
          </cell>
          <cell r="AF24" t="str">
            <v/>
          </cell>
          <cell r="AG24" t="str">
            <v/>
          </cell>
          <cell r="AH24" t="str">
            <v/>
          </cell>
          <cell r="AI24" t="str">
            <v/>
          </cell>
          <cell r="AJ24" t="str">
            <v/>
          </cell>
          <cell r="AK24" t="str">
            <v/>
          </cell>
          <cell r="AL24" t="str">
            <v/>
          </cell>
          <cell r="AM24" t="str">
            <v/>
          </cell>
          <cell r="AN24" t="str">
            <v/>
          </cell>
          <cell r="AO24" t="str">
            <v/>
          </cell>
          <cell r="AP24" t="str">
            <v/>
          </cell>
          <cell r="AQ24" t="str">
            <v/>
          </cell>
          <cell r="AR24" t="str">
            <v/>
          </cell>
          <cell r="AS24">
            <v>2702754.5925925924</v>
          </cell>
          <cell r="AT24">
            <v>2702754.5925925924</v>
          </cell>
          <cell r="AU24">
            <v>2702754.5925925924</v>
          </cell>
          <cell r="AV24">
            <v>2702754.5925925924</v>
          </cell>
          <cell r="AW24">
            <v>2702754.5925925924</v>
          </cell>
          <cell r="AX24">
            <v>2702754.5925925924</v>
          </cell>
          <cell r="AY24" t="str">
            <v/>
          </cell>
          <cell r="AZ24">
            <v>2702754.5925925924</v>
          </cell>
          <cell r="BA24">
            <v>2702754.5925925924</v>
          </cell>
          <cell r="BB24">
            <v>2702754.5925925924</v>
          </cell>
          <cell r="BC24">
            <v>2702754.5925925924</v>
          </cell>
          <cell r="BD24">
            <v>2702754.5925925924</v>
          </cell>
          <cell r="BE24">
            <v>2702754.5925925924</v>
          </cell>
          <cell r="BF24" t="str">
            <v/>
          </cell>
          <cell r="BG24">
            <v>2702754.5925925924</v>
          </cell>
          <cell r="BH24">
            <v>2702754.5925925924</v>
          </cell>
          <cell r="BI24">
            <v>2702754.5925925924</v>
          </cell>
          <cell r="BJ24">
            <v>2702754.5925925924</v>
          </cell>
          <cell r="BK24">
            <v>2702754.5925925924</v>
          </cell>
          <cell r="BL24">
            <v>2702754.5925925924</v>
          </cell>
          <cell r="BM24" t="str">
            <v/>
          </cell>
          <cell r="BN24">
            <v>2702754.5925925924</v>
          </cell>
          <cell r="BO24">
            <v>2702754.5925925924</v>
          </cell>
          <cell r="BP24">
            <v>2702754.5925925924</v>
          </cell>
          <cell r="BQ24">
            <v>2702754.5925925924</v>
          </cell>
          <cell r="BR24">
            <v>2702754.5925925924</v>
          </cell>
          <cell r="BS24">
            <v>2702754.5925925924</v>
          </cell>
          <cell r="BT24" t="str">
            <v/>
          </cell>
          <cell r="BU24">
            <v>2702754.5925925924</v>
          </cell>
          <cell r="BV24">
            <v>2702754.5925925924</v>
          </cell>
          <cell r="BW24">
            <v>2702754.5925925924</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t="str">
            <v/>
          </cell>
          <cell r="CK24" t="str">
            <v/>
          </cell>
        </row>
        <row r="25">
          <cell r="J25" t="str">
            <v/>
          </cell>
          <cell r="K25" t="str">
            <v/>
          </cell>
          <cell r="L25" t="str">
            <v/>
          </cell>
          <cell r="M25" t="str">
            <v/>
          </cell>
          <cell r="N25" t="str">
            <v/>
          </cell>
          <cell r="O25" t="str">
            <v/>
          </cell>
          <cell r="P25" t="str">
            <v/>
          </cell>
          <cell r="Q25" t="str">
            <v/>
          </cell>
          <cell r="R25" t="str">
            <v/>
          </cell>
          <cell r="S25" t="str">
            <v/>
          </cell>
          <cell r="T25" t="str">
            <v/>
          </cell>
          <cell r="U25" t="str">
            <v/>
          </cell>
          <cell r="V25" t="str">
            <v/>
          </cell>
          <cell r="W25" t="str">
            <v/>
          </cell>
          <cell r="X25" t="str">
            <v/>
          </cell>
          <cell r="Y25" t="str">
            <v/>
          </cell>
          <cell r="Z25" t="str">
            <v/>
          </cell>
          <cell r="AA25" t="str">
            <v/>
          </cell>
          <cell r="AB25" t="str">
            <v/>
          </cell>
          <cell r="AC25" t="str">
            <v/>
          </cell>
          <cell r="AD25" t="str">
            <v/>
          </cell>
          <cell r="AE25" t="str">
            <v/>
          </cell>
          <cell r="AF25" t="str">
            <v/>
          </cell>
          <cell r="AG25" t="str">
            <v/>
          </cell>
          <cell r="AH25" t="str">
            <v/>
          </cell>
          <cell r="AI25" t="str">
            <v/>
          </cell>
          <cell r="AJ25" t="str">
            <v/>
          </cell>
          <cell r="AK25" t="str">
            <v/>
          </cell>
          <cell r="AL25" t="str">
            <v/>
          </cell>
          <cell r="AM25" t="str">
            <v/>
          </cell>
          <cell r="AN25" t="str">
            <v/>
          </cell>
          <cell r="AO25" t="str">
            <v/>
          </cell>
          <cell r="AP25" t="str">
            <v/>
          </cell>
          <cell r="AQ25">
            <v>911743</v>
          </cell>
          <cell r="AR25" t="str">
            <v/>
          </cell>
          <cell r="AS25">
            <v>911743</v>
          </cell>
          <cell r="AT25">
            <v>911743</v>
          </cell>
          <cell r="AU25">
            <v>911743</v>
          </cell>
          <cell r="AV25">
            <v>911743</v>
          </cell>
          <cell r="AW25">
            <v>911743</v>
          </cell>
          <cell r="AX25">
            <v>911743</v>
          </cell>
          <cell r="AY25" t="str">
            <v/>
          </cell>
          <cell r="AZ25">
            <v>911743</v>
          </cell>
          <cell r="BA25">
            <v>911743</v>
          </cell>
          <cell r="BB25">
            <v>911743</v>
          </cell>
          <cell r="BC25">
            <v>911743</v>
          </cell>
          <cell r="BD25">
            <v>911743</v>
          </cell>
          <cell r="BE25">
            <v>911743</v>
          </cell>
          <cell r="BF25" t="str">
            <v/>
          </cell>
          <cell r="BG25">
            <v>911743</v>
          </cell>
          <cell r="BH25">
            <v>911743</v>
          </cell>
          <cell r="BI25">
            <v>911743</v>
          </cell>
          <cell r="BJ25">
            <v>911743</v>
          </cell>
          <cell r="BK25">
            <v>911743</v>
          </cell>
          <cell r="BL25">
            <v>911743</v>
          </cell>
          <cell r="BM25" t="str">
            <v/>
          </cell>
          <cell r="BN25">
            <v>911743</v>
          </cell>
          <cell r="BO25">
            <v>911743</v>
          </cell>
          <cell r="BP25">
            <v>911743</v>
          </cell>
          <cell r="BQ25">
            <v>911743</v>
          </cell>
          <cell r="BR25">
            <v>911743</v>
          </cell>
          <cell r="BS25">
            <v>911743</v>
          </cell>
          <cell r="BT25" t="str">
            <v/>
          </cell>
          <cell r="BU25" t="str">
            <v/>
          </cell>
          <cell r="BV25" t="str">
            <v/>
          </cell>
          <cell r="BW25" t="str">
            <v/>
          </cell>
          <cell r="BX25" t="str">
            <v/>
          </cell>
          <cell r="BY25" t="str">
            <v/>
          </cell>
          <cell r="BZ25" t="str">
            <v/>
          </cell>
          <cell r="CA25" t="str">
            <v/>
          </cell>
          <cell r="CB25" t="str">
            <v/>
          </cell>
          <cell r="CC25" t="str">
            <v/>
          </cell>
          <cell r="CD25" t="str">
            <v/>
          </cell>
          <cell r="CE25" t="str">
            <v/>
          </cell>
          <cell r="CF25" t="str">
            <v/>
          </cell>
          <cell r="CG25" t="str">
            <v/>
          </cell>
          <cell r="CH25" t="str">
            <v/>
          </cell>
          <cell r="CI25" t="str">
            <v/>
          </cell>
          <cell r="CJ25" t="str">
            <v/>
          </cell>
          <cell r="CK25" t="str">
            <v/>
          </cell>
        </row>
        <row r="26">
          <cell r="J26" t="str">
            <v/>
          </cell>
          <cell r="K26" t="str">
            <v/>
          </cell>
          <cell r="L26" t="str">
            <v/>
          </cell>
          <cell r="M26" t="str">
            <v/>
          </cell>
          <cell r="N26" t="str">
            <v/>
          </cell>
          <cell r="O26" t="str">
            <v/>
          </cell>
          <cell r="P26" t="str">
            <v/>
          </cell>
          <cell r="Q26" t="str">
            <v/>
          </cell>
          <cell r="R26" t="str">
            <v/>
          </cell>
          <cell r="S26" t="str">
            <v/>
          </cell>
          <cell r="T26" t="str">
            <v/>
          </cell>
          <cell r="U26" t="str">
            <v/>
          </cell>
          <cell r="V26" t="str">
            <v/>
          </cell>
          <cell r="W26" t="str">
            <v/>
          </cell>
          <cell r="X26" t="str">
            <v/>
          </cell>
          <cell r="Y26" t="str">
            <v/>
          </cell>
          <cell r="Z26" t="str">
            <v/>
          </cell>
          <cell r="AA26" t="str">
            <v/>
          </cell>
          <cell r="AB26" t="str">
            <v/>
          </cell>
          <cell r="AC26" t="str">
            <v/>
          </cell>
          <cell r="AD26" t="str">
            <v/>
          </cell>
          <cell r="AE26" t="str">
            <v/>
          </cell>
          <cell r="AF26" t="str">
            <v/>
          </cell>
          <cell r="AG26" t="str">
            <v/>
          </cell>
          <cell r="AH26" t="str">
            <v/>
          </cell>
          <cell r="AI26" t="str">
            <v/>
          </cell>
          <cell r="AJ26" t="str">
            <v/>
          </cell>
          <cell r="AK26" t="str">
            <v/>
          </cell>
          <cell r="AL26" t="str">
            <v/>
          </cell>
          <cell r="AM26" t="str">
            <v/>
          </cell>
          <cell r="AN26" t="str">
            <v/>
          </cell>
          <cell r="AO26" t="str">
            <v/>
          </cell>
          <cell r="AP26" t="str">
            <v/>
          </cell>
          <cell r="AQ26" t="str">
            <v/>
          </cell>
          <cell r="AR26" t="str">
            <v/>
          </cell>
          <cell r="AS26" t="str">
            <v/>
          </cell>
          <cell r="AT26" t="str">
            <v/>
          </cell>
          <cell r="AU26" t="str">
            <v/>
          </cell>
          <cell r="AV26" t="str">
            <v/>
          </cell>
          <cell r="AW26" t="str">
            <v/>
          </cell>
          <cell r="AX26" t="str">
            <v/>
          </cell>
          <cell r="AY26" t="str">
            <v/>
          </cell>
          <cell r="AZ26" t="str">
            <v/>
          </cell>
          <cell r="BA26" t="str">
            <v/>
          </cell>
          <cell r="BB26" t="str">
            <v/>
          </cell>
          <cell r="BC26" t="str">
            <v/>
          </cell>
          <cell r="BD26" t="str">
            <v/>
          </cell>
          <cell r="BE26" t="str">
            <v/>
          </cell>
          <cell r="BF26" t="str">
            <v/>
          </cell>
          <cell r="BG26" t="str">
            <v/>
          </cell>
          <cell r="BH26" t="str">
            <v/>
          </cell>
          <cell r="BI26" t="str">
            <v/>
          </cell>
          <cell r="BJ26" t="str">
            <v/>
          </cell>
          <cell r="BK26" t="str">
            <v/>
          </cell>
          <cell r="BL26" t="str">
            <v/>
          </cell>
          <cell r="BM26" t="str">
            <v/>
          </cell>
          <cell r="BN26" t="str">
            <v/>
          </cell>
          <cell r="BO26" t="str">
            <v/>
          </cell>
          <cell r="BP26" t="str">
            <v/>
          </cell>
          <cell r="BQ26">
            <v>965685</v>
          </cell>
          <cell r="BR26">
            <v>965685</v>
          </cell>
          <cell r="BS26">
            <v>965685</v>
          </cell>
          <cell r="BT26" t="str">
            <v/>
          </cell>
          <cell r="BU26">
            <v>965685</v>
          </cell>
          <cell r="BV26">
            <v>965685</v>
          </cell>
          <cell r="BW26">
            <v>965685</v>
          </cell>
          <cell r="BX26">
            <v>965685</v>
          </cell>
          <cell r="BY26">
            <v>965685</v>
          </cell>
          <cell r="BZ26">
            <v>965685</v>
          </cell>
          <cell r="CA26" t="str">
            <v/>
          </cell>
          <cell r="CB26">
            <v>965685</v>
          </cell>
          <cell r="CC26" t="str">
            <v/>
          </cell>
          <cell r="CD26" t="str">
            <v/>
          </cell>
          <cell r="CE26" t="str">
            <v/>
          </cell>
          <cell r="CF26" t="str">
            <v/>
          </cell>
          <cell r="CG26" t="str">
            <v/>
          </cell>
          <cell r="CH26" t="str">
            <v/>
          </cell>
          <cell r="CI26" t="str">
            <v/>
          </cell>
          <cell r="CJ26" t="str">
            <v/>
          </cell>
          <cell r="CK26" t="str">
            <v/>
          </cell>
        </row>
        <row r="27">
          <cell r="J27" t="str">
            <v/>
          </cell>
          <cell r="K27" t="str">
            <v/>
          </cell>
          <cell r="L27" t="str">
            <v/>
          </cell>
          <cell r="M27" t="str">
            <v/>
          </cell>
          <cell r="N27" t="str">
            <v/>
          </cell>
          <cell r="O27" t="str">
            <v/>
          </cell>
          <cell r="P27" t="str">
            <v/>
          </cell>
          <cell r="Q27" t="str">
            <v/>
          </cell>
          <cell r="R27" t="str">
            <v/>
          </cell>
          <cell r="S27" t="str">
            <v/>
          </cell>
          <cell r="T27" t="str">
            <v/>
          </cell>
          <cell r="U27" t="str">
            <v/>
          </cell>
          <cell r="V27" t="str">
            <v/>
          </cell>
          <cell r="W27" t="str">
            <v/>
          </cell>
          <cell r="X27" t="str">
            <v/>
          </cell>
          <cell r="Y27" t="str">
            <v/>
          </cell>
          <cell r="Z27" t="str">
            <v/>
          </cell>
          <cell r="AA27" t="str">
            <v/>
          </cell>
          <cell r="AB27" t="str">
            <v/>
          </cell>
          <cell r="AC27" t="str">
            <v/>
          </cell>
          <cell r="AD27" t="str">
            <v/>
          </cell>
          <cell r="AE27" t="str">
            <v/>
          </cell>
          <cell r="AF27" t="str">
            <v/>
          </cell>
          <cell r="AG27" t="str">
            <v/>
          </cell>
          <cell r="AH27" t="str">
            <v/>
          </cell>
          <cell r="AI27" t="str">
            <v/>
          </cell>
          <cell r="AJ27" t="str">
            <v/>
          </cell>
          <cell r="AK27" t="str">
            <v/>
          </cell>
          <cell r="AL27" t="str">
            <v/>
          </cell>
          <cell r="AM27" t="str">
            <v/>
          </cell>
          <cell r="AN27" t="str">
            <v/>
          </cell>
          <cell r="AO27" t="str">
            <v/>
          </cell>
          <cell r="AP27" t="str">
            <v/>
          </cell>
          <cell r="AQ27" t="str">
            <v/>
          </cell>
          <cell r="AR27" t="str">
            <v/>
          </cell>
          <cell r="AS27" t="str">
            <v/>
          </cell>
          <cell r="AT27" t="str">
            <v/>
          </cell>
          <cell r="AU27" t="str">
            <v/>
          </cell>
          <cell r="AV27" t="str">
            <v/>
          </cell>
          <cell r="AW27" t="str">
            <v/>
          </cell>
          <cell r="AX27" t="str">
            <v/>
          </cell>
          <cell r="AY27" t="str">
            <v/>
          </cell>
          <cell r="AZ27" t="str">
            <v/>
          </cell>
          <cell r="BA27" t="str">
            <v/>
          </cell>
          <cell r="BB27" t="str">
            <v/>
          </cell>
          <cell r="BC27" t="str">
            <v/>
          </cell>
          <cell r="BD27" t="str">
            <v/>
          </cell>
          <cell r="BE27" t="str">
            <v/>
          </cell>
          <cell r="BF27" t="str">
            <v/>
          </cell>
          <cell r="BG27">
            <v>1092000</v>
          </cell>
          <cell r="BH27">
            <v>1092000</v>
          </cell>
          <cell r="BI27">
            <v>1092000</v>
          </cell>
          <cell r="BJ27">
            <v>1092000</v>
          </cell>
          <cell r="BK27">
            <v>1092000</v>
          </cell>
          <cell r="BL27">
            <v>1092000</v>
          </cell>
          <cell r="BM27" t="str">
            <v/>
          </cell>
          <cell r="BN27">
            <v>1092000</v>
          </cell>
          <cell r="BO27">
            <v>1092000</v>
          </cell>
          <cell r="BP27">
            <v>1092000</v>
          </cell>
          <cell r="BQ27">
            <v>1092000</v>
          </cell>
          <cell r="BR27">
            <v>1092000</v>
          </cell>
          <cell r="BS27">
            <v>1092000</v>
          </cell>
          <cell r="BT27" t="str">
            <v/>
          </cell>
          <cell r="BU27">
            <v>1092000</v>
          </cell>
          <cell r="BV27">
            <v>1092000</v>
          </cell>
          <cell r="BW27">
            <v>1092000</v>
          </cell>
          <cell r="BX27">
            <v>1092000</v>
          </cell>
          <cell r="BY27">
            <v>1092000</v>
          </cell>
          <cell r="BZ27">
            <v>1092000</v>
          </cell>
          <cell r="CA27" t="str">
            <v/>
          </cell>
          <cell r="CB27" t="str">
            <v/>
          </cell>
          <cell r="CC27" t="str">
            <v/>
          </cell>
          <cell r="CD27" t="str">
            <v/>
          </cell>
          <cell r="CE27" t="str">
            <v/>
          </cell>
          <cell r="CF27" t="str">
            <v/>
          </cell>
          <cell r="CG27" t="str">
            <v/>
          </cell>
          <cell r="CH27" t="str">
            <v/>
          </cell>
          <cell r="CI27" t="str">
            <v/>
          </cell>
          <cell r="CJ27" t="str">
            <v/>
          </cell>
          <cell r="CK27" t="str">
            <v/>
          </cell>
        </row>
        <row r="28">
          <cell r="J28" t="str">
            <v/>
          </cell>
          <cell r="K28" t="str">
            <v/>
          </cell>
          <cell r="L28" t="str">
            <v/>
          </cell>
          <cell r="M28" t="str">
            <v/>
          </cell>
          <cell r="N28" t="str">
            <v/>
          </cell>
          <cell r="O28" t="str">
            <v/>
          </cell>
          <cell r="P28" t="str">
            <v/>
          </cell>
          <cell r="Q28" t="str">
            <v/>
          </cell>
          <cell r="R28" t="str">
            <v/>
          </cell>
          <cell r="S28" t="str">
            <v/>
          </cell>
          <cell r="T28" t="str">
            <v/>
          </cell>
          <cell r="U28" t="str">
            <v/>
          </cell>
          <cell r="V28" t="str">
            <v/>
          </cell>
          <cell r="W28" t="str">
            <v/>
          </cell>
          <cell r="X28" t="str">
            <v/>
          </cell>
          <cell r="Y28" t="str">
            <v/>
          </cell>
          <cell r="Z28" t="str">
            <v/>
          </cell>
          <cell r="AA28" t="str">
            <v/>
          </cell>
          <cell r="AB28" t="str">
            <v/>
          </cell>
          <cell r="AC28" t="str">
            <v/>
          </cell>
          <cell r="AD28" t="str">
            <v/>
          </cell>
          <cell r="AE28" t="str">
            <v/>
          </cell>
          <cell r="AF28" t="str">
            <v/>
          </cell>
          <cell r="AG28" t="str">
            <v/>
          </cell>
          <cell r="AH28" t="str">
            <v/>
          </cell>
          <cell r="AI28" t="str">
            <v/>
          </cell>
          <cell r="AJ28" t="str">
            <v/>
          </cell>
          <cell r="AK28" t="str">
            <v/>
          </cell>
          <cell r="AL28" t="str">
            <v/>
          </cell>
          <cell r="AM28" t="str">
            <v/>
          </cell>
          <cell r="AN28" t="str">
            <v/>
          </cell>
          <cell r="AO28" t="str">
            <v/>
          </cell>
          <cell r="AP28" t="str">
            <v/>
          </cell>
          <cell r="AQ28" t="str">
            <v/>
          </cell>
          <cell r="AR28" t="str">
            <v/>
          </cell>
          <cell r="AS28" t="str">
            <v/>
          </cell>
          <cell r="AT28" t="str">
            <v/>
          </cell>
          <cell r="AU28" t="str">
            <v/>
          </cell>
          <cell r="AV28" t="str">
            <v/>
          </cell>
          <cell r="AW28" t="str">
            <v/>
          </cell>
          <cell r="AX28" t="str">
            <v/>
          </cell>
          <cell r="AY28" t="str">
            <v/>
          </cell>
          <cell r="AZ28" t="str">
            <v/>
          </cell>
          <cell r="BA28" t="str">
            <v/>
          </cell>
          <cell r="BB28" t="str">
            <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
          </cell>
          <cell r="BU28" t="str">
            <v/>
          </cell>
          <cell r="BV28" t="str">
            <v/>
          </cell>
          <cell r="BW28" t="str">
            <v/>
          </cell>
          <cell r="BX28" t="str">
            <v/>
          </cell>
          <cell r="BY28" t="str">
            <v/>
          </cell>
          <cell r="BZ28" t="str">
            <v/>
          </cell>
          <cell r="CA28" t="str">
            <v/>
          </cell>
          <cell r="CB28" t="str">
            <v/>
          </cell>
          <cell r="CC28" t="str">
            <v/>
          </cell>
          <cell r="CD28" t="str">
            <v/>
          </cell>
          <cell r="CE28" t="str">
            <v/>
          </cell>
          <cell r="CF28" t="str">
            <v/>
          </cell>
          <cell r="CG28" t="str">
            <v/>
          </cell>
          <cell r="CH28" t="str">
            <v/>
          </cell>
          <cell r="CI28" t="str">
            <v/>
          </cell>
          <cell r="CJ28" t="str">
            <v/>
          </cell>
          <cell r="CK28">
            <v>5402800</v>
          </cell>
        </row>
        <row r="29">
          <cell r="J29" t="str">
            <v/>
          </cell>
          <cell r="K29" t="str">
            <v/>
          </cell>
          <cell r="L29" t="str">
            <v/>
          </cell>
          <cell r="M29" t="str">
            <v/>
          </cell>
          <cell r="N29" t="str">
            <v/>
          </cell>
          <cell r="O29" t="str">
            <v/>
          </cell>
          <cell r="P29" t="str">
            <v/>
          </cell>
          <cell r="Q29" t="str">
            <v/>
          </cell>
          <cell r="R29" t="str">
            <v/>
          </cell>
          <cell r="S29" t="str">
            <v/>
          </cell>
          <cell r="T29" t="str">
            <v/>
          </cell>
          <cell r="U29" t="str">
            <v/>
          </cell>
          <cell r="V29" t="str">
            <v/>
          </cell>
          <cell r="W29" t="str">
            <v/>
          </cell>
          <cell r="X29" t="str">
            <v/>
          </cell>
          <cell r="Y29" t="str">
            <v/>
          </cell>
          <cell r="Z29" t="str">
            <v/>
          </cell>
          <cell r="AA29" t="str">
            <v/>
          </cell>
          <cell r="AB29" t="str">
            <v/>
          </cell>
          <cell r="AC29" t="str">
            <v/>
          </cell>
          <cell r="AD29" t="str">
            <v/>
          </cell>
          <cell r="AE29" t="str">
            <v/>
          </cell>
          <cell r="AF29" t="str">
            <v/>
          </cell>
          <cell r="AG29" t="str">
            <v/>
          </cell>
          <cell r="AH29" t="str">
            <v/>
          </cell>
          <cell r="AI29" t="str">
            <v/>
          </cell>
          <cell r="AJ29" t="str">
            <v/>
          </cell>
          <cell r="AK29" t="str">
            <v/>
          </cell>
          <cell r="AL29" t="str">
            <v/>
          </cell>
          <cell r="AM29" t="str">
            <v/>
          </cell>
          <cell r="AN29" t="str">
            <v/>
          </cell>
          <cell r="AO29" t="str">
            <v/>
          </cell>
          <cell r="AP29" t="str">
            <v/>
          </cell>
          <cell r="AQ29" t="str">
            <v/>
          </cell>
          <cell r="AR29" t="str">
            <v/>
          </cell>
          <cell r="AS29" t="str">
            <v/>
          </cell>
          <cell r="AT29" t="str">
            <v/>
          </cell>
          <cell r="AU29" t="str">
            <v/>
          </cell>
          <cell r="AV29" t="str">
            <v/>
          </cell>
          <cell r="AW29" t="str">
            <v/>
          </cell>
          <cell r="AX29" t="str">
            <v/>
          </cell>
          <cell r="AY29" t="str">
            <v/>
          </cell>
          <cell r="AZ29" t="str">
            <v/>
          </cell>
          <cell r="BA29" t="str">
            <v/>
          </cell>
          <cell r="BB29" t="str">
            <v/>
          </cell>
          <cell r="BC29" t="str">
            <v/>
          </cell>
          <cell r="BD29" t="str">
            <v/>
          </cell>
          <cell r="BE29" t="str">
            <v/>
          </cell>
          <cell r="BF29" t="str">
            <v/>
          </cell>
          <cell r="BG29" t="str">
            <v/>
          </cell>
          <cell r="BH29" t="str">
            <v/>
          </cell>
          <cell r="BI29" t="str">
            <v/>
          </cell>
          <cell r="BJ29" t="str">
            <v/>
          </cell>
          <cell r="BK29" t="str">
            <v/>
          </cell>
          <cell r="BL29" t="str">
            <v/>
          </cell>
          <cell r="BM29" t="str">
            <v/>
          </cell>
          <cell r="BN29" t="str">
            <v/>
          </cell>
          <cell r="BO29" t="str">
            <v/>
          </cell>
          <cell r="BP29" t="str">
            <v/>
          </cell>
          <cell r="BQ29" t="str">
            <v/>
          </cell>
          <cell r="BR29" t="str">
            <v/>
          </cell>
          <cell r="BS29" t="str">
            <v/>
          </cell>
          <cell r="BT29" t="str">
            <v/>
          </cell>
          <cell r="BU29" t="str">
            <v/>
          </cell>
          <cell r="BV29" t="str">
            <v/>
          </cell>
          <cell r="BW29" t="str">
            <v/>
          </cell>
          <cell r="BX29" t="str">
            <v/>
          </cell>
          <cell r="BY29" t="str">
            <v/>
          </cell>
          <cell r="BZ29" t="str">
            <v/>
          </cell>
          <cell r="CA29" t="str">
            <v/>
          </cell>
          <cell r="CB29" t="str">
            <v/>
          </cell>
          <cell r="CC29">
            <v>6497135.5</v>
          </cell>
          <cell r="CD29">
            <v>6497135.5</v>
          </cell>
          <cell r="CE29">
            <v>6497135.5</v>
          </cell>
          <cell r="CF29">
            <v>6497135.5</v>
          </cell>
          <cell r="CG29" t="str">
            <v/>
          </cell>
          <cell r="CH29" t="str">
            <v/>
          </cell>
          <cell r="CI29" t="str">
            <v/>
          </cell>
          <cell r="CJ29" t="str">
            <v/>
          </cell>
          <cell r="CK29" t="str">
            <v/>
          </cell>
        </row>
        <row r="30">
          <cell r="J30" t="str">
            <v/>
          </cell>
          <cell r="K30" t="str">
            <v/>
          </cell>
          <cell r="L30" t="str">
            <v/>
          </cell>
          <cell r="M30" t="str">
            <v/>
          </cell>
          <cell r="N30" t="str">
            <v/>
          </cell>
          <cell r="O30" t="str">
            <v/>
          </cell>
          <cell r="P30" t="str">
            <v/>
          </cell>
          <cell r="Q30" t="str">
            <v/>
          </cell>
          <cell r="R30" t="str">
            <v/>
          </cell>
          <cell r="S30" t="str">
            <v/>
          </cell>
          <cell r="T30" t="str">
            <v/>
          </cell>
          <cell r="U30" t="str">
            <v/>
          </cell>
          <cell r="V30" t="str">
            <v/>
          </cell>
          <cell r="W30" t="str">
            <v/>
          </cell>
          <cell r="X30" t="str">
            <v/>
          </cell>
          <cell r="Y30" t="str">
            <v/>
          </cell>
          <cell r="Z30" t="str">
            <v/>
          </cell>
          <cell r="AA30" t="str">
            <v/>
          </cell>
          <cell r="AB30" t="str">
            <v/>
          </cell>
          <cell r="AC30" t="str">
            <v/>
          </cell>
          <cell r="AD30" t="str">
            <v/>
          </cell>
          <cell r="AE30" t="str">
            <v/>
          </cell>
          <cell r="AF30" t="str">
            <v/>
          </cell>
          <cell r="AG30" t="str">
            <v/>
          </cell>
          <cell r="AH30" t="str">
            <v/>
          </cell>
          <cell r="AI30" t="str">
            <v/>
          </cell>
          <cell r="AJ30" t="str">
            <v/>
          </cell>
          <cell r="AK30" t="str">
            <v/>
          </cell>
          <cell r="AL30" t="str">
            <v/>
          </cell>
          <cell r="AM30" t="str">
            <v/>
          </cell>
          <cell r="AN30" t="str">
            <v/>
          </cell>
          <cell r="AO30" t="str">
            <v/>
          </cell>
          <cell r="AP30" t="str">
            <v/>
          </cell>
          <cell r="AQ30" t="str">
            <v/>
          </cell>
          <cell r="AR30" t="str">
            <v/>
          </cell>
          <cell r="AS30" t="str">
            <v/>
          </cell>
          <cell r="AT30" t="str">
            <v/>
          </cell>
          <cell r="AU30" t="str">
            <v/>
          </cell>
          <cell r="AV30" t="str">
            <v/>
          </cell>
          <cell r="AW30" t="str">
            <v/>
          </cell>
          <cell r="AX30" t="str">
            <v/>
          </cell>
          <cell r="AY30" t="str">
            <v/>
          </cell>
          <cell r="AZ30" t="str">
            <v/>
          </cell>
          <cell r="BA30" t="str">
            <v/>
          </cell>
          <cell r="BB30" t="str">
            <v/>
          </cell>
          <cell r="BC30" t="str">
            <v/>
          </cell>
          <cell r="BD30" t="str">
            <v/>
          </cell>
          <cell r="BE30" t="str">
            <v/>
          </cell>
          <cell r="BF30" t="str">
            <v/>
          </cell>
          <cell r="BG30">
            <v>548640</v>
          </cell>
          <cell r="BH30">
            <v>548640</v>
          </cell>
          <cell r="BI30">
            <v>548640</v>
          </cell>
          <cell r="BJ30">
            <v>548640</v>
          </cell>
          <cell r="BK30" t="str">
            <v/>
          </cell>
          <cell r="BL30" t="str">
            <v/>
          </cell>
          <cell r="BM30" t="str">
            <v/>
          </cell>
          <cell r="BN30" t="str">
            <v/>
          </cell>
          <cell r="BO30" t="str">
            <v/>
          </cell>
          <cell r="BP30" t="str">
            <v/>
          </cell>
          <cell r="BQ30" t="str">
            <v/>
          </cell>
          <cell r="BR30" t="str">
            <v/>
          </cell>
          <cell r="BS30" t="str">
            <v/>
          </cell>
          <cell r="BT30" t="str">
            <v/>
          </cell>
          <cell r="BU30" t="str">
            <v/>
          </cell>
          <cell r="BV30" t="str">
            <v/>
          </cell>
          <cell r="BW30" t="str">
            <v/>
          </cell>
          <cell r="BX30" t="str">
            <v/>
          </cell>
          <cell r="BY30" t="str">
            <v/>
          </cell>
          <cell r="BZ30" t="str">
            <v/>
          </cell>
          <cell r="CA30" t="str">
            <v/>
          </cell>
          <cell r="CB30" t="str">
            <v/>
          </cell>
          <cell r="CC30" t="str">
            <v/>
          </cell>
          <cell r="CD30" t="str">
            <v/>
          </cell>
          <cell r="CE30" t="str">
            <v/>
          </cell>
          <cell r="CF30" t="str">
            <v/>
          </cell>
          <cell r="CG30" t="str">
            <v/>
          </cell>
          <cell r="CH30" t="str">
            <v/>
          </cell>
          <cell r="CI30" t="str">
            <v/>
          </cell>
          <cell r="CJ30" t="str">
            <v/>
          </cell>
          <cell r="CK30" t="str">
            <v/>
          </cell>
        </row>
        <row r="31">
          <cell r="J31" t="str">
            <v/>
          </cell>
          <cell r="K31" t="str">
            <v/>
          </cell>
          <cell r="L31" t="str">
            <v/>
          </cell>
          <cell r="M31" t="str">
            <v/>
          </cell>
          <cell r="N31" t="str">
            <v/>
          </cell>
          <cell r="O31" t="str">
            <v/>
          </cell>
          <cell r="P31" t="str">
            <v/>
          </cell>
          <cell r="Q31" t="str">
            <v/>
          </cell>
          <cell r="R31" t="str">
            <v/>
          </cell>
          <cell r="S31" t="str">
            <v/>
          </cell>
          <cell r="T31" t="str">
            <v/>
          </cell>
          <cell r="U31" t="str">
            <v/>
          </cell>
          <cell r="V31" t="str">
            <v/>
          </cell>
          <cell r="W31" t="str">
            <v/>
          </cell>
          <cell r="X31" t="str">
            <v/>
          </cell>
          <cell r="Y31" t="str">
            <v/>
          </cell>
          <cell r="Z31" t="str">
            <v/>
          </cell>
          <cell r="AA31" t="str">
            <v/>
          </cell>
          <cell r="AB31" t="str">
            <v/>
          </cell>
          <cell r="AC31" t="str">
            <v/>
          </cell>
          <cell r="AD31" t="str">
            <v/>
          </cell>
          <cell r="AE31" t="str">
            <v/>
          </cell>
          <cell r="AF31" t="str">
            <v/>
          </cell>
          <cell r="AG31" t="str">
            <v/>
          </cell>
          <cell r="AH31" t="str">
            <v/>
          </cell>
          <cell r="AI31" t="str">
            <v/>
          </cell>
          <cell r="AJ31" t="str">
            <v/>
          </cell>
          <cell r="AK31" t="str">
            <v/>
          </cell>
          <cell r="AL31" t="str">
            <v/>
          </cell>
          <cell r="AM31" t="str">
            <v/>
          </cell>
          <cell r="AN31" t="str">
            <v/>
          </cell>
          <cell r="AO31" t="str">
            <v/>
          </cell>
          <cell r="AP31" t="str">
            <v/>
          </cell>
          <cell r="AQ31" t="str">
            <v/>
          </cell>
          <cell r="AR31" t="str">
            <v/>
          </cell>
          <cell r="AS31" t="str">
            <v/>
          </cell>
          <cell r="AT31" t="str">
            <v/>
          </cell>
          <cell r="AU31" t="str">
            <v/>
          </cell>
          <cell r="AV31" t="str">
            <v/>
          </cell>
          <cell r="AW31" t="str">
            <v/>
          </cell>
          <cell r="AX31" t="str">
            <v/>
          </cell>
          <cell r="AY31" t="str">
            <v/>
          </cell>
          <cell r="AZ31" t="str">
            <v/>
          </cell>
          <cell r="BA31" t="str">
            <v/>
          </cell>
          <cell r="BB31" t="str">
            <v/>
          </cell>
          <cell r="BC31" t="str">
            <v/>
          </cell>
          <cell r="BD31" t="str">
            <v/>
          </cell>
          <cell r="BE31" t="str">
            <v/>
          </cell>
          <cell r="BF31" t="str">
            <v/>
          </cell>
          <cell r="BG31" t="str">
            <v/>
          </cell>
          <cell r="BH31" t="str">
            <v/>
          </cell>
          <cell r="BI31" t="str">
            <v/>
          </cell>
          <cell r="BJ31" t="str">
            <v/>
          </cell>
          <cell r="BK31" t="str">
            <v/>
          </cell>
          <cell r="BL31" t="str">
            <v/>
          </cell>
          <cell r="BM31" t="str">
            <v/>
          </cell>
          <cell r="BN31">
            <v>551353.84615384613</v>
          </cell>
          <cell r="BO31">
            <v>551353.84615384613</v>
          </cell>
          <cell r="BP31">
            <v>551353.84615384613</v>
          </cell>
          <cell r="BQ31">
            <v>551353.84615384613</v>
          </cell>
          <cell r="BR31">
            <v>551353.84615384613</v>
          </cell>
          <cell r="BS31">
            <v>551353.84615384613</v>
          </cell>
          <cell r="BT31" t="str">
            <v/>
          </cell>
          <cell r="BU31">
            <v>551353.84615384613</v>
          </cell>
          <cell r="BV31">
            <v>551353.84615384613</v>
          </cell>
          <cell r="BW31">
            <v>551353.84615384613</v>
          </cell>
          <cell r="BX31">
            <v>551353.84615384613</v>
          </cell>
          <cell r="BY31">
            <v>551353.84615384613</v>
          </cell>
          <cell r="BZ31">
            <v>551353.84615384613</v>
          </cell>
          <cell r="CA31" t="str">
            <v/>
          </cell>
          <cell r="CB31">
            <v>551353.84615384613</v>
          </cell>
          <cell r="CC31" t="str">
            <v/>
          </cell>
          <cell r="CD31" t="str">
            <v/>
          </cell>
          <cell r="CE31" t="str">
            <v/>
          </cell>
          <cell r="CF31" t="str">
            <v/>
          </cell>
          <cell r="CG31" t="str">
            <v/>
          </cell>
          <cell r="CH31" t="str">
            <v/>
          </cell>
          <cell r="CI31" t="str">
            <v/>
          </cell>
          <cell r="CJ31" t="str">
            <v/>
          </cell>
          <cell r="CK31" t="str">
            <v/>
          </cell>
        </row>
        <row r="32">
          <cell r="J32" t="str">
            <v/>
          </cell>
          <cell r="K32" t="str">
            <v/>
          </cell>
          <cell r="L32" t="str">
            <v/>
          </cell>
          <cell r="M32" t="str">
            <v/>
          </cell>
          <cell r="N32" t="str">
            <v/>
          </cell>
          <cell r="O32" t="str">
            <v/>
          </cell>
          <cell r="P32" t="str">
            <v/>
          </cell>
          <cell r="Q32" t="str">
            <v/>
          </cell>
          <cell r="R32" t="str">
            <v/>
          </cell>
          <cell r="S32" t="str">
            <v/>
          </cell>
          <cell r="T32" t="str">
            <v/>
          </cell>
          <cell r="U32" t="str">
            <v/>
          </cell>
          <cell r="V32" t="str">
            <v/>
          </cell>
          <cell r="W32" t="str">
            <v/>
          </cell>
          <cell r="X32" t="str">
            <v/>
          </cell>
          <cell r="Y32" t="str">
            <v/>
          </cell>
          <cell r="Z32" t="str">
            <v/>
          </cell>
          <cell r="AA32" t="str">
            <v/>
          </cell>
          <cell r="AB32" t="str">
            <v/>
          </cell>
          <cell r="AC32" t="str">
            <v/>
          </cell>
          <cell r="AD32" t="str">
            <v/>
          </cell>
          <cell r="AE32" t="str">
            <v/>
          </cell>
          <cell r="AF32" t="str">
            <v/>
          </cell>
          <cell r="AG32" t="str">
            <v/>
          </cell>
          <cell r="AH32" t="str">
            <v/>
          </cell>
          <cell r="AI32" t="str">
            <v/>
          </cell>
          <cell r="AJ32" t="str">
            <v/>
          </cell>
          <cell r="AK32" t="str">
            <v/>
          </cell>
          <cell r="AL32" t="str">
            <v/>
          </cell>
          <cell r="AM32" t="str">
            <v/>
          </cell>
          <cell r="AN32" t="str">
            <v/>
          </cell>
          <cell r="AO32" t="str">
            <v/>
          </cell>
          <cell r="AP32" t="str">
            <v/>
          </cell>
          <cell r="AQ32" t="str">
            <v/>
          </cell>
          <cell r="AR32" t="str">
            <v/>
          </cell>
          <cell r="AS32" t="str">
            <v/>
          </cell>
          <cell r="AT32" t="str">
            <v/>
          </cell>
          <cell r="AU32" t="str">
            <v/>
          </cell>
          <cell r="AV32" t="str">
            <v/>
          </cell>
          <cell r="AW32" t="str">
            <v/>
          </cell>
          <cell r="AX32" t="str">
            <v/>
          </cell>
          <cell r="AY32" t="str">
            <v/>
          </cell>
          <cell r="AZ32" t="str">
            <v/>
          </cell>
          <cell r="BA32" t="str">
            <v/>
          </cell>
          <cell r="BB32" t="str">
            <v/>
          </cell>
          <cell r="BC32" t="str">
            <v/>
          </cell>
          <cell r="BD32" t="str">
            <v/>
          </cell>
          <cell r="BE32" t="str">
            <v/>
          </cell>
          <cell r="BF32" t="str">
            <v/>
          </cell>
          <cell r="BG32" t="str">
            <v/>
          </cell>
          <cell r="BH32" t="str">
            <v/>
          </cell>
          <cell r="BI32" t="str">
            <v/>
          </cell>
          <cell r="BJ32" t="str">
            <v/>
          </cell>
          <cell r="BK32" t="str">
            <v/>
          </cell>
          <cell r="BL32" t="str">
            <v/>
          </cell>
          <cell r="BM32" t="str">
            <v/>
          </cell>
          <cell r="BN32" t="str">
            <v/>
          </cell>
          <cell r="BO32" t="str">
            <v/>
          </cell>
          <cell r="BP32" t="str">
            <v/>
          </cell>
          <cell r="BQ32" t="str">
            <v/>
          </cell>
          <cell r="BR32" t="str">
            <v/>
          </cell>
          <cell r="BS32" t="str">
            <v/>
          </cell>
          <cell r="BT32" t="str">
            <v/>
          </cell>
          <cell r="BU32" t="str">
            <v/>
          </cell>
          <cell r="BV32" t="str">
            <v/>
          </cell>
          <cell r="BW32" t="str">
            <v/>
          </cell>
          <cell r="BX32" t="str">
            <v/>
          </cell>
          <cell r="BY32" t="str">
            <v/>
          </cell>
          <cell r="BZ32" t="str">
            <v/>
          </cell>
          <cell r="CA32" t="str">
            <v/>
          </cell>
          <cell r="CB32" t="str">
            <v/>
          </cell>
          <cell r="CC32" t="str">
            <v/>
          </cell>
          <cell r="CD32" t="str">
            <v/>
          </cell>
          <cell r="CE32" t="str">
            <v/>
          </cell>
          <cell r="CF32" t="str">
            <v/>
          </cell>
          <cell r="CG32" t="str">
            <v/>
          </cell>
          <cell r="CH32" t="str">
            <v/>
          </cell>
          <cell r="CI32" t="str">
            <v/>
          </cell>
          <cell r="CJ32" t="str">
            <v/>
          </cell>
          <cell r="CK32">
            <v>28710000</v>
          </cell>
        </row>
        <row r="33">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Z33" t="str">
            <v/>
          </cell>
          <cell r="AA33" t="str">
            <v/>
          </cell>
          <cell r="AB33" t="str">
            <v/>
          </cell>
          <cell r="AC33" t="str">
            <v/>
          </cell>
          <cell r="AD33" t="str">
            <v/>
          </cell>
          <cell r="AE33" t="str">
            <v/>
          </cell>
          <cell r="AF33" t="str">
            <v/>
          </cell>
          <cell r="AG33" t="str">
            <v/>
          </cell>
          <cell r="AH33" t="str">
            <v/>
          </cell>
          <cell r="AI33" t="str">
            <v/>
          </cell>
          <cell r="AJ33" t="str">
            <v/>
          </cell>
          <cell r="AK33" t="str">
            <v/>
          </cell>
          <cell r="AL33" t="str">
            <v/>
          </cell>
          <cell r="AM33" t="str">
            <v/>
          </cell>
          <cell r="AN33" t="str">
            <v/>
          </cell>
          <cell r="AO33" t="str">
            <v/>
          </cell>
          <cell r="AP33" t="str">
            <v/>
          </cell>
          <cell r="AQ33" t="str">
            <v/>
          </cell>
          <cell r="AR33" t="str">
            <v/>
          </cell>
          <cell r="AS33" t="str">
            <v/>
          </cell>
          <cell r="AT33" t="str">
            <v/>
          </cell>
          <cell r="AU33" t="str">
            <v/>
          </cell>
          <cell r="AV33" t="str">
            <v/>
          </cell>
          <cell r="AW33" t="str">
            <v/>
          </cell>
          <cell r="AX33" t="str">
            <v/>
          </cell>
          <cell r="AY33" t="str">
            <v/>
          </cell>
          <cell r="AZ33" t="str">
            <v/>
          </cell>
          <cell r="BA33" t="str">
            <v/>
          </cell>
          <cell r="BB33" t="str">
            <v/>
          </cell>
          <cell r="BC33" t="str">
            <v/>
          </cell>
          <cell r="BD33" t="str">
            <v/>
          </cell>
          <cell r="BE33" t="str">
            <v/>
          </cell>
          <cell r="BF33" t="str">
            <v/>
          </cell>
          <cell r="BG33" t="str">
            <v/>
          </cell>
          <cell r="BH33" t="str">
            <v/>
          </cell>
          <cell r="BI33" t="str">
            <v/>
          </cell>
          <cell r="BJ33" t="str">
            <v/>
          </cell>
          <cell r="BK33" t="str">
            <v/>
          </cell>
          <cell r="BL33" t="str">
            <v/>
          </cell>
          <cell r="BM33" t="str">
            <v/>
          </cell>
          <cell r="BN33" t="str">
            <v/>
          </cell>
          <cell r="BO33" t="str">
            <v/>
          </cell>
          <cell r="BP33" t="str">
            <v/>
          </cell>
          <cell r="BQ33" t="str">
            <v/>
          </cell>
          <cell r="BR33" t="str">
            <v/>
          </cell>
          <cell r="BS33" t="str">
            <v/>
          </cell>
          <cell r="BT33" t="str">
            <v/>
          </cell>
          <cell r="BU33">
            <v>708566.66666666663</v>
          </cell>
          <cell r="BV33">
            <v>708566.66666666663</v>
          </cell>
          <cell r="BW33">
            <v>708566.66666666663</v>
          </cell>
          <cell r="BX33">
            <v>708566.66666666663</v>
          </cell>
          <cell r="BY33">
            <v>708566.66666666663</v>
          </cell>
          <cell r="BZ33">
            <v>708566.66666666663</v>
          </cell>
          <cell r="CA33" t="str">
            <v/>
          </cell>
          <cell r="CB33" t="str">
            <v/>
          </cell>
          <cell r="CC33" t="str">
            <v/>
          </cell>
          <cell r="CD33" t="str">
            <v/>
          </cell>
          <cell r="CE33" t="str">
            <v/>
          </cell>
          <cell r="CF33" t="str">
            <v/>
          </cell>
          <cell r="CG33" t="str">
            <v/>
          </cell>
          <cell r="CH33" t="str">
            <v/>
          </cell>
          <cell r="CI33" t="str">
            <v/>
          </cell>
          <cell r="CJ33" t="str">
            <v/>
          </cell>
          <cell r="CK33" t="str">
            <v/>
          </cell>
        </row>
        <row r="34">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Z34" t="str">
            <v/>
          </cell>
          <cell r="AA34" t="str">
            <v/>
          </cell>
          <cell r="AB34" t="str">
            <v/>
          </cell>
          <cell r="AC34" t="str">
            <v/>
          </cell>
          <cell r="AD34" t="str">
            <v/>
          </cell>
          <cell r="AE34" t="str">
            <v/>
          </cell>
          <cell r="AF34" t="str">
            <v/>
          </cell>
          <cell r="AG34" t="str">
            <v/>
          </cell>
          <cell r="AH34" t="str">
            <v/>
          </cell>
          <cell r="AI34" t="str">
            <v/>
          </cell>
          <cell r="AJ34" t="str">
            <v/>
          </cell>
          <cell r="AK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t="str">
            <v/>
          </cell>
          <cell r="BP34" t="str">
            <v/>
          </cell>
          <cell r="BQ34" t="str">
            <v/>
          </cell>
          <cell r="BR34" t="str">
            <v/>
          </cell>
          <cell r="BS34" t="str">
            <v/>
          </cell>
          <cell r="BT34" t="str">
            <v/>
          </cell>
          <cell r="BU34" t="str">
            <v/>
          </cell>
          <cell r="BV34" t="str">
            <v/>
          </cell>
          <cell r="BW34" t="str">
            <v/>
          </cell>
          <cell r="BX34" t="str">
            <v/>
          </cell>
          <cell r="BY34" t="str">
            <v/>
          </cell>
          <cell r="BZ34" t="str">
            <v/>
          </cell>
          <cell r="CA34" t="str">
            <v/>
          </cell>
          <cell r="CB34" t="str">
            <v/>
          </cell>
          <cell r="CC34" t="str">
            <v/>
          </cell>
          <cell r="CD34" t="str">
            <v/>
          </cell>
          <cell r="CE34" t="str">
            <v/>
          </cell>
          <cell r="CF34" t="str">
            <v/>
          </cell>
          <cell r="CG34" t="str">
            <v/>
          </cell>
          <cell r="CH34" t="str">
            <v/>
          </cell>
          <cell r="CI34" t="str">
            <v/>
          </cell>
          <cell r="CJ34" t="str">
            <v/>
          </cell>
          <cell r="CK34">
            <v>625400</v>
          </cell>
        </row>
        <row r="35">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Z35" t="str">
            <v/>
          </cell>
          <cell r="AA35" t="str">
            <v/>
          </cell>
          <cell r="AB35" t="str">
            <v/>
          </cell>
          <cell r="AC35" t="str">
            <v/>
          </cell>
          <cell r="AD35" t="str">
            <v/>
          </cell>
          <cell r="AE35" t="str">
            <v/>
          </cell>
          <cell r="AF35" t="str">
            <v/>
          </cell>
          <cell r="AG35" t="str">
            <v/>
          </cell>
          <cell r="AH35" t="str">
            <v/>
          </cell>
          <cell r="AI35" t="str">
            <v/>
          </cell>
          <cell r="AJ35" t="str">
            <v/>
          </cell>
          <cell r="AK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t="str">
            <v/>
          </cell>
          <cell r="BP35" t="str">
            <v/>
          </cell>
          <cell r="BQ35" t="str">
            <v/>
          </cell>
          <cell r="BR35" t="str">
            <v/>
          </cell>
          <cell r="BS35" t="str">
            <v/>
          </cell>
          <cell r="BT35" t="str">
            <v/>
          </cell>
          <cell r="BU35" t="str">
            <v/>
          </cell>
          <cell r="BV35" t="str">
            <v/>
          </cell>
          <cell r="BW35" t="str">
            <v/>
          </cell>
          <cell r="BX35" t="str">
            <v/>
          </cell>
          <cell r="BY35" t="str">
            <v/>
          </cell>
          <cell r="BZ35" t="str">
            <v/>
          </cell>
          <cell r="CA35" t="str">
            <v/>
          </cell>
          <cell r="CB35" t="str">
            <v/>
          </cell>
          <cell r="CC35" t="str">
            <v/>
          </cell>
          <cell r="CD35" t="str">
            <v/>
          </cell>
          <cell r="CE35" t="str">
            <v/>
          </cell>
          <cell r="CF35" t="str">
            <v/>
          </cell>
          <cell r="CG35" t="str">
            <v/>
          </cell>
          <cell r="CH35" t="str">
            <v/>
          </cell>
          <cell r="CI35" t="str">
            <v/>
          </cell>
          <cell r="CJ35" t="str">
            <v/>
          </cell>
          <cell r="CK35">
            <v>398000</v>
          </cell>
        </row>
        <row r="36">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Z36" t="str">
            <v/>
          </cell>
          <cell r="AA36" t="str">
            <v/>
          </cell>
          <cell r="AB36" t="str">
            <v/>
          </cell>
          <cell r="AC36" t="str">
            <v/>
          </cell>
          <cell r="AD36" t="str">
            <v/>
          </cell>
          <cell r="AE36" t="str">
            <v/>
          </cell>
          <cell r="AF36" t="str">
            <v/>
          </cell>
          <cell r="AG36" t="str">
            <v/>
          </cell>
          <cell r="AH36" t="str">
            <v/>
          </cell>
          <cell r="AI36" t="str">
            <v/>
          </cell>
          <cell r="AJ36" t="str">
            <v/>
          </cell>
          <cell r="AK36" t="str">
            <v/>
          </cell>
          <cell r="AL36" t="str">
            <v/>
          </cell>
          <cell r="AM36" t="str">
            <v/>
          </cell>
          <cell r="AN36" t="str">
            <v/>
          </cell>
          <cell r="AO36" t="str">
            <v/>
          </cell>
          <cell r="AP36" t="str">
            <v/>
          </cell>
          <cell r="AQ36" t="str">
            <v/>
          </cell>
          <cell r="AR36" t="str">
            <v/>
          </cell>
          <cell r="AS36" t="str">
            <v/>
          </cell>
          <cell r="AT36" t="str">
            <v/>
          </cell>
          <cell r="AU36" t="str">
            <v/>
          </cell>
          <cell r="AV36" t="str">
            <v/>
          </cell>
          <cell r="AW36" t="str">
            <v/>
          </cell>
          <cell r="AX36" t="str">
            <v/>
          </cell>
          <cell r="AY36" t="str">
            <v/>
          </cell>
          <cell r="AZ36" t="str">
            <v/>
          </cell>
          <cell r="BA36" t="str">
            <v/>
          </cell>
          <cell r="BB36" t="str">
            <v/>
          </cell>
          <cell r="BC36" t="str">
            <v/>
          </cell>
          <cell r="BD36" t="str">
            <v/>
          </cell>
          <cell r="BE36" t="str">
            <v/>
          </cell>
          <cell r="BF36" t="str">
            <v/>
          </cell>
          <cell r="BG36" t="str">
            <v/>
          </cell>
          <cell r="BH36" t="str">
            <v/>
          </cell>
          <cell r="BI36" t="str">
            <v/>
          </cell>
          <cell r="BJ36" t="str">
            <v/>
          </cell>
          <cell r="BK36" t="str">
            <v/>
          </cell>
          <cell r="BL36" t="str">
            <v/>
          </cell>
          <cell r="BM36" t="str">
            <v/>
          </cell>
          <cell r="BN36" t="str">
            <v/>
          </cell>
          <cell r="BO36" t="str">
            <v/>
          </cell>
          <cell r="BP36" t="str">
            <v/>
          </cell>
          <cell r="BQ36" t="str">
            <v/>
          </cell>
          <cell r="BR36" t="str">
            <v/>
          </cell>
          <cell r="BS36" t="str">
            <v/>
          </cell>
          <cell r="BT36" t="str">
            <v/>
          </cell>
          <cell r="BU36" t="str">
            <v/>
          </cell>
          <cell r="BV36" t="str">
            <v/>
          </cell>
          <cell r="BW36" t="str">
            <v/>
          </cell>
          <cell r="BX36" t="str">
            <v/>
          </cell>
          <cell r="BY36" t="str">
            <v/>
          </cell>
          <cell r="BZ36" t="str">
            <v/>
          </cell>
          <cell r="CA36" t="str">
            <v/>
          </cell>
          <cell r="CB36" t="str">
            <v/>
          </cell>
          <cell r="CC36" t="str">
            <v/>
          </cell>
          <cell r="CD36" t="str">
            <v/>
          </cell>
          <cell r="CE36" t="str">
            <v/>
          </cell>
          <cell r="CF36" t="str">
            <v/>
          </cell>
          <cell r="CG36" t="str">
            <v/>
          </cell>
          <cell r="CH36" t="str">
            <v/>
          </cell>
          <cell r="CI36" t="str">
            <v/>
          </cell>
          <cell r="CJ36" t="str">
            <v/>
          </cell>
          <cell r="CK36">
            <v>1015400</v>
          </cell>
        </row>
        <row r="37">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t="str">
            <v/>
          </cell>
          <cell r="Z37" t="str">
            <v/>
          </cell>
          <cell r="AA37" t="str">
            <v/>
          </cell>
          <cell r="AB37" t="str">
            <v/>
          </cell>
          <cell r="AC37" t="str">
            <v/>
          </cell>
          <cell r="AD37" t="str">
            <v/>
          </cell>
          <cell r="AE37" t="str">
            <v/>
          </cell>
          <cell r="AF37" t="str">
            <v/>
          </cell>
          <cell r="AG37" t="str">
            <v/>
          </cell>
          <cell r="AH37" t="str">
            <v/>
          </cell>
          <cell r="AI37" t="str">
            <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t="str">
            <v/>
          </cell>
          <cell r="BP37" t="str">
            <v/>
          </cell>
          <cell r="BQ37" t="str">
            <v/>
          </cell>
          <cell r="BR37" t="str">
            <v/>
          </cell>
          <cell r="BS37" t="str">
            <v/>
          </cell>
          <cell r="BT37" t="str">
            <v/>
          </cell>
          <cell r="BU37">
            <v>2200000</v>
          </cell>
          <cell r="BV37">
            <v>2200000</v>
          </cell>
          <cell r="BW37">
            <v>2200000</v>
          </cell>
          <cell r="BX37">
            <v>2200000</v>
          </cell>
          <cell r="BY37">
            <v>2200000</v>
          </cell>
          <cell r="BZ37">
            <v>2200000</v>
          </cell>
          <cell r="CA37" t="str">
            <v/>
          </cell>
          <cell r="CB37">
            <v>2200000</v>
          </cell>
          <cell r="CC37" t="str">
            <v/>
          </cell>
          <cell r="CD37" t="str">
            <v/>
          </cell>
          <cell r="CE37" t="str">
            <v/>
          </cell>
          <cell r="CF37" t="str">
            <v/>
          </cell>
          <cell r="CG37" t="str">
            <v/>
          </cell>
          <cell r="CH37" t="str">
            <v/>
          </cell>
          <cell r="CI37" t="str">
            <v/>
          </cell>
          <cell r="CJ37" t="str">
            <v/>
          </cell>
          <cell r="CK37" t="str">
            <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row r="9">
          <cell r="E9">
            <v>19.379681052981429</v>
          </cell>
        </row>
        <row r="10">
          <cell r="E10">
            <v>13.498384065680245</v>
          </cell>
        </row>
        <row r="11">
          <cell r="E11">
            <v>33.68238332406559</v>
          </cell>
        </row>
        <row r="12">
          <cell r="E12">
            <v>10.172999178285052</v>
          </cell>
        </row>
        <row r="13">
          <cell r="E13">
            <v>22.584431692027266</v>
          </cell>
        </row>
        <row r="14">
          <cell r="E14">
            <v>38.98068679798066</v>
          </cell>
        </row>
        <row r="15">
          <cell r="E15">
            <v>22.494583280467754</v>
          </cell>
        </row>
        <row r="16">
          <cell r="E16">
            <v>30.685240168000647</v>
          </cell>
        </row>
        <row r="17">
          <cell r="E17">
            <v>33.68238332406559</v>
          </cell>
        </row>
        <row r="18">
          <cell r="E18">
            <v>69.417530806105361</v>
          </cell>
        </row>
        <row r="19">
          <cell r="E19">
            <v>58.894950955093961</v>
          </cell>
          <cell r="K19">
            <v>13409.690297578807</v>
          </cell>
          <cell r="L19">
            <v>14260.238663042437</v>
          </cell>
          <cell r="M19">
            <v>18731.477624099582</v>
          </cell>
          <cell r="N19">
            <v>20432.73042430916</v>
          </cell>
          <cell r="O19">
            <v>20578.842818648613</v>
          </cell>
          <cell r="P19">
            <v>20680.496067131768</v>
          </cell>
          <cell r="Q19">
            <v>20780.6150061841</v>
          </cell>
          <cell r="R19">
            <v>20395.906247450639</v>
          </cell>
          <cell r="S19">
            <v>20582.133588812529</v>
          </cell>
          <cell r="T19">
            <v>22094.740231160642</v>
          </cell>
          <cell r="U19">
            <v>22894.554089501486</v>
          </cell>
          <cell r="V19">
            <v>23985.075673832198</v>
          </cell>
          <cell r="W19">
            <v>22402.834070061312</v>
          </cell>
          <cell r="X19">
            <v>23929.337969112083</v>
          </cell>
          <cell r="Y19">
            <v>25248.999606289293</v>
          </cell>
          <cell r="Z19">
            <v>26140.954868398334</v>
          </cell>
          <cell r="AA19">
            <v>27206.694322301268</v>
          </cell>
          <cell r="AB19">
            <v>27803.692572125452</v>
          </cell>
          <cell r="AC19">
            <v>28244.105950763871</v>
          </cell>
          <cell r="AD19">
            <v>28657.367303071336</v>
          </cell>
          <cell r="AE19">
            <v>29273.356967025604</v>
          </cell>
          <cell r="AF19">
            <v>29580.797347153766</v>
          </cell>
          <cell r="AG19">
            <v>29443.306440768571</v>
          </cell>
          <cell r="AH19">
            <v>29759.29548586682</v>
          </cell>
          <cell r="AI19">
            <v>29688.741819519917</v>
          </cell>
          <cell r="AJ19">
            <v>21265.463801493301</v>
          </cell>
          <cell r="AK19">
            <v>15587.226825154628</v>
          </cell>
          <cell r="AL19">
            <v>11365.121751016048</v>
          </cell>
          <cell r="AM19">
            <v>8340.6975712939311</v>
          </cell>
          <cell r="AN19">
            <v>6086.3382767329176</v>
          </cell>
          <cell r="AO19">
            <v>4004.4347561364061</v>
          </cell>
          <cell r="AP19">
            <v>2792.5115816506504</v>
          </cell>
          <cell r="AQ19">
            <v>1867.9205283117092</v>
          </cell>
          <cell r="AR19">
            <v>1370.0206086910414</v>
          </cell>
          <cell r="AS19">
            <v>1004.8374780290305</v>
          </cell>
        </row>
        <row r="20">
          <cell r="E20">
            <v>24.124518030173238</v>
          </cell>
        </row>
        <row r="21">
          <cell r="E21">
            <v>23.475410245539443</v>
          </cell>
        </row>
      </sheetData>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t="str">
            <v/>
          </cell>
        </row>
        <row r="5">
          <cell r="B5" t="str">
            <v>06</v>
          </cell>
          <cell r="C5" t="str">
            <v>Superintendencia Catatumbo</v>
          </cell>
          <cell r="D5" t="str">
            <v>06*</v>
          </cell>
          <cell r="E5" t="str">
            <v>06*</v>
          </cell>
          <cell r="F5" t="str">
            <v/>
          </cell>
        </row>
        <row r="6">
          <cell r="B6" t="str">
            <v>07</v>
          </cell>
          <cell r="C6" t="str">
            <v>Operaciones Asociadas</v>
          </cell>
          <cell r="D6" t="str">
            <v>07*</v>
          </cell>
          <cell r="E6" t="str">
            <v>07*</v>
          </cell>
          <cell r="F6" t="str">
            <v/>
          </cell>
        </row>
        <row r="7">
          <cell r="B7" t="str">
            <v>08</v>
          </cell>
          <cell r="C7" t="str">
            <v>Gerencia Sur</v>
          </cell>
          <cell r="D7" t="str">
            <v>08*</v>
          </cell>
          <cell r="E7" t="str">
            <v>08*</v>
          </cell>
          <cell r="F7" t="str">
            <v/>
          </cell>
        </row>
        <row r="8">
          <cell r="B8" t="str">
            <v>10</v>
          </cell>
          <cell r="C8" t="str">
            <v>Gerencia Llanos</v>
          </cell>
          <cell r="D8" t="str">
            <v>10*</v>
          </cell>
          <cell r="E8" t="str">
            <v>10*</v>
          </cell>
          <cell r="F8" t="str">
            <v/>
          </cell>
        </row>
        <row r="9">
          <cell r="B9" t="str">
            <v>12</v>
          </cell>
          <cell r="C9" t="str">
            <v>Superintendencia Provincia</v>
          </cell>
          <cell r="D9" t="str">
            <v>12*</v>
          </cell>
          <cell r="E9" t="str">
            <v>12*</v>
          </cell>
          <cell r="F9" t="str">
            <v/>
          </cell>
        </row>
        <row r="10">
          <cell r="B10" t="str">
            <v>14</v>
          </cell>
          <cell r="C10" t="str">
            <v>Gerencia Alto Magdalena</v>
          </cell>
          <cell r="D10" t="str">
            <v>14*</v>
          </cell>
          <cell r="E10" t="str">
            <v>14*</v>
          </cell>
          <cell r="F10" t="str">
            <v/>
          </cell>
        </row>
        <row r="11">
          <cell r="B11" t="str">
            <v>15</v>
          </cell>
          <cell r="C11" t="str">
            <v>Operación Riesgo Compartido</v>
          </cell>
          <cell r="D11" t="str">
            <v>15*</v>
          </cell>
          <cell r="E11" t="str">
            <v>15*</v>
          </cell>
          <cell r="F11" t="str">
            <v/>
          </cell>
        </row>
        <row r="12">
          <cell r="B12" t="str">
            <v>16</v>
          </cell>
          <cell r="C12" t="str">
            <v>Administración Exploración y Producción</v>
          </cell>
          <cell r="D12" t="str">
            <v>16*</v>
          </cell>
          <cell r="E12" t="str">
            <v>16*</v>
          </cell>
          <cell r="F12" t="str">
            <v/>
          </cell>
        </row>
        <row r="13">
          <cell r="B13" t="str">
            <v>17</v>
          </cell>
          <cell r="C13" t="str">
            <v>Gerencia Cusiana</v>
          </cell>
          <cell r="D13" t="str">
            <v>17*</v>
          </cell>
          <cell r="E13" t="str">
            <v>17*</v>
          </cell>
          <cell r="F13" t="str">
            <v/>
          </cell>
        </row>
        <row r="14">
          <cell r="B14" t="str">
            <v>21</v>
          </cell>
          <cell r="C14" t="str">
            <v>Gerencia Centro Oriente</v>
          </cell>
          <cell r="D14" t="str">
            <v>&lt;07*</v>
          </cell>
          <cell r="E14" t="str">
            <v>12*</v>
          </cell>
          <cell r="F14" t="str">
            <v/>
          </cell>
        </row>
        <row r="15">
          <cell r="B15" t="str">
            <v>22</v>
          </cell>
          <cell r="C15" t="str">
            <v>Adjunta Asociados Corporativo</v>
          </cell>
          <cell r="D15" t="str">
            <v>16-22*</v>
          </cell>
          <cell r="E15" t="str">
            <v>16-22*</v>
          </cell>
          <cell r="F15" t="str">
            <v/>
          </cell>
        </row>
        <row r="16">
          <cell r="B16" t="str">
            <v>23</v>
          </cell>
          <cell r="C16" t="str">
            <v>Adjunta Producción Corportivo</v>
          </cell>
          <cell r="D16" t="str">
            <v>16-23*</v>
          </cell>
          <cell r="E16" t="str">
            <v>16-23*</v>
          </cell>
          <cell r="F16" t="str">
            <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t="str">
            <v/>
          </cell>
        </row>
        <row r="24">
          <cell r="B24" t="str">
            <v>90</v>
          </cell>
          <cell r="C24" t="str">
            <v>Corporativo VEP</v>
          </cell>
          <cell r="D24" t="str">
            <v>16-20*</v>
          </cell>
          <cell r="E24" t="str">
            <v>16-20*</v>
          </cell>
          <cell r="F24" t="str">
            <v/>
          </cell>
        </row>
        <row r="25">
          <cell r="B25" t="str">
            <v>91</v>
          </cell>
          <cell r="C25" t="str">
            <v>Adjunta de Exploración</v>
          </cell>
          <cell r="D25" t="str">
            <v>16-21*</v>
          </cell>
          <cell r="E25" t="str">
            <v>16-21*</v>
          </cell>
          <cell r="F25" t="str">
            <v/>
          </cell>
        </row>
        <row r="26">
          <cell r="B26" t="str">
            <v>92</v>
          </cell>
          <cell r="C26" t="str">
            <v>Adjunta de Asociados</v>
          </cell>
          <cell r="D26" t="str">
            <v>?7*</v>
          </cell>
          <cell r="E26" t="str">
            <v>16-22*</v>
          </cell>
          <cell r="F26" t="str">
            <v/>
          </cell>
        </row>
        <row r="27">
          <cell r="B27" t="str">
            <v>93</v>
          </cell>
          <cell r="C27" t="str">
            <v>Adjunta de Producción</v>
          </cell>
          <cell r="D27" t="str">
            <v>&lt;15*</v>
          </cell>
          <cell r="E27" t="str">
            <v>16-23*</v>
          </cell>
          <cell r="F27" t="str">
            <v>&lt;&gt;07*</v>
          </cell>
        </row>
        <row r="28">
          <cell r="B28" t="str">
            <v>99</v>
          </cell>
          <cell r="C28" t="str">
            <v>Consolidado Vicepresidencia</v>
          </cell>
          <cell r="D28" t="str">
            <v/>
          </cell>
          <cell r="E28" t="str">
            <v/>
          </cell>
          <cell r="F28" t="str">
            <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IZADAS"/>
      <sheetName val="OBRAS PUNTUALES TRANSVERSAL"/>
      <sheetName val="Acarreos Tramo 2"/>
      <sheetName val="Acarreos Tramo 4"/>
      <sheetName val="Acarreos Tramo 7"/>
      <sheetName val="FACTORES"/>
    </sheetNames>
    <sheetDataSet>
      <sheetData sheetId="0">
        <row r="25">
          <cell r="AF25">
            <v>5510.0519999999997</v>
          </cell>
          <cell r="AQ25">
            <v>4319.46</v>
          </cell>
          <cell r="AU25">
            <v>77154.381331250013</v>
          </cell>
          <cell r="BA25">
            <v>1028.6880000000001</v>
          </cell>
          <cell r="BI25">
            <v>849</v>
          </cell>
          <cell r="BJ25">
            <v>88861.58133125001</v>
          </cell>
        </row>
        <row r="26">
          <cell r="AF26">
            <v>8926.1344499999996</v>
          </cell>
          <cell r="AQ26">
            <v>524.20499999999993</v>
          </cell>
          <cell r="AU26">
            <v>21736.907823000001</v>
          </cell>
          <cell r="BA26">
            <v>492.09585000000004</v>
          </cell>
          <cell r="BI26">
            <v>267.13875000000002</v>
          </cell>
          <cell r="BJ26">
            <v>31946.481873000001</v>
          </cell>
        </row>
        <row r="32">
          <cell r="AF32">
            <v>147362.38575311456</v>
          </cell>
          <cell r="AQ32">
            <v>23310.137812499997</v>
          </cell>
          <cell r="AU32">
            <v>2846723.1073178011</v>
          </cell>
          <cell r="BA32">
            <v>83119.180591677097</v>
          </cell>
          <cell r="BI32">
            <v>75105.209016406254</v>
          </cell>
          <cell r="BJ32">
            <v>3175620.0204914995</v>
          </cell>
        </row>
        <row r="58">
          <cell r="AF58">
            <v>20.573999999999998</v>
          </cell>
          <cell r="AU58">
            <v>162.03</v>
          </cell>
          <cell r="BJ58">
            <v>182.60399999999998</v>
          </cell>
        </row>
        <row r="59">
          <cell r="AF59">
            <v>628.68520000000001</v>
          </cell>
          <cell r="AU59">
            <v>339764.96649999998</v>
          </cell>
          <cell r="BJ59">
            <v>340393.65169999999</v>
          </cell>
        </row>
        <row r="62">
          <cell r="AQ62">
            <v>4394.5796800000016</v>
          </cell>
          <cell r="AU62">
            <v>2.5030640000000002</v>
          </cell>
          <cell r="BA62">
            <v>1.5268000000000002</v>
          </cell>
          <cell r="BI62">
            <v>1925.56288</v>
          </cell>
          <cell r="BJ62">
            <v>8361.8428240000012</v>
          </cell>
        </row>
        <row r="65">
          <cell r="AQ65">
            <v>980.32</v>
          </cell>
          <cell r="BI65">
            <v>301.12</v>
          </cell>
          <cell r="BJ65">
            <v>1331.04</v>
          </cell>
        </row>
        <row r="69">
          <cell r="AQ69">
            <v>124.5825</v>
          </cell>
          <cell r="AU69">
            <v>328.52714999999995</v>
          </cell>
          <cell r="BA69">
            <v>7.4550000000000001</v>
          </cell>
          <cell r="BI69">
            <v>50.400000000000006</v>
          </cell>
          <cell r="BJ69">
            <v>629.56214999999997</v>
          </cell>
        </row>
        <row r="72">
          <cell r="AF72">
            <v>109.72642774442582</v>
          </cell>
          <cell r="AQ72">
            <v>115.26375079128927</v>
          </cell>
          <cell r="AU72">
            <v>303.95337664417167</v>
          </cell>
          <cell r="BA72">
            <v>6.8973673039878118</v>
          </cell>
          <cell r="BI72">
            <v>46.630088815692247</v>
          </cell>
          <cell r="BJ72">
            <v>582.47101129956684</v>
          </cell>
        </row>
        <row r="74">
          <cell r="AF74">
            <v>2259</v>
          </cell>
          <cell r="AQ74">
            <v>2373</v>
          </cell>
          <cell r="AU74">
            <v>6257.66</v>
          </cell>
          <cell r="BA74">
            <v>142</v>
          </cell>
          <cell r="BI74">
            <v>960</v>
          </cell>
          <cell r="BJ74">
            <v>11991.66</v>
          </cell>
        </row>
        <row r="83">
          <cell r="AQ83">
            <v>768.83400000000006</v>
          </cell>
          <cell r="AU83">
            <v>413.71000000000004</v>
          </cell>
          <cell r="BI83">
            <v>311.3</v>
          </cell>
          <cell r="BJ83">
            <v>1493.8440000000001</v>
          </cell>
        </row>
        <row r="84">
          <cell r="AQ84">
            <v>698.94</v>
          </cell>
          <cell r="AU84">
            <v>376.1</v>
          </cell>
          <cell r="BI84">
            <v>283</v>
          </cell>
          <cell r="BJ84">
            <v>1358.04</v>
          </cell>
        </row>
        <row r="85">
          <cell r="AF85">
            <v>8009.5104000000001</v>
          </cell>
          <cell r="AQ85">
            <v>1698.3424</v>
          </cell>
          <cell r="AU85">
            <v>20081.072895999998</v>
          </cell>
          <cell r="BA85">
            <v>485.74720000000002</v>
          </cell>
          <cell r="BI85">
            <v>2978.2080000000001</v>
          </cell>
          <cell r="BJ85">
            <v>33252.880896000002</v>
          </cell>
        </row>
        <row r="87">
          <cell r="AF87">
            <v>354060.40723200003</v>
          </cell>
          <cell r="AQ87">
            <v>75075.225792000012</v>
          </cell>
          <cell r="AU87">
            <v>887683.82736768015</v>
          </cell>
          <cell r="BA87">
            <v>21472.454976000001</v>
          </cell>
          <cell r="BI87">
            <v>131651.68464000002</v>
          </cell>
          <cell r="BJ87">
            <v>1469943.6000076802</v>
          </cell>
        </row>
        <row r="88">
          <cell r="AF88">
            <v>24442.38</v>
          </cell>
          <cell r="AQ88">
            <v>15732.28</v>
          </cell>
          <cell r="AU88">
            <v>61280.801200000002</v>
          </cell>
          <cell r="BA88">
            <v>1536.44</v>
          </cell>
          <cell r="BI88">
            <v>10387.200000000003</v>
          </cell>
          <cell r="BJ88">
            <v>113379.1012</v>
          </cell>
        </row>
        <row r="90">
          <cell r="AF90">
            <v>24442.38</v>
          </cell>
          <cell r="AQ90">
            <v>19226.980000000003</v>
          </cell>
          <cell r="AU90">
            <v>63161.301200000002</v>
          </cell>
          <cell r="BA90">
            <v>3250.92</v>
          </cell>
          <cell r="BI90">
            <v>11802.2</v>
          </cell>
          <cell r="BJ90">
            <v>121883.7812</v>
          </cell>
        </row>
        <row r="93">
          <cell r="AF93">
            <v>2199.8142000000003</v>
          </cell>
          <cell r="AQ93">
            <v>2006.3414</v>
          </cell>
          <cell r="AU93">
            <v>5646.9071080000003</v>
          </cell>
          <cell r="BA93">
            <v>258.29319999999996</v>
          </cell>
          <cell r="BI93">
            <v>1033.8980000000001</v>
          </cell>
          <cell r="BJ93">
            <v>11145.253908000002</v>
          </cell>
        </row>
        <row r="137">
          <cell r="AF137">
            <v>90</v>
          </cell>
          <cell r="AQ137">
            <v>2000</v>
          </cell>
          <cell r="AU137">
            <v>3060</v>
          </cell>
          <cell r="BA137">
            <v>1140</v>
          </cell>
          <cell r="BI137">
            <v>900</v>
          </cell>
          <cell r="BJ137">
            <v>7190</v>
          </cell>
        </row>
        <row r="139">
          <cell r="AF139">
            <v>6777</v>
          </cell>
          <cell r="AQ139">
            <v>30577.17</v>
          </cell>
          <cell r="AU139">
            <v>18730.979999999996</v>
          </cell>
          <cell r="BA139">
            <v>11451</v>
          </cell>
          <cell r="BI139">
            <v>13710</v>
          </cell>
          <cell r="BJ139">
            <v>81246.149999999994</v>
          </cell>
        </row>
        <row r="140">
          <cell r="AF140">
            <v>188</v>
          </cell>
          <cell r="AQ140">
            <v>855</v>
          </cell>
          <cell r="AU140">
            <v>522</v>
          </cell>
          <cell r="BA140">
            <v>318</v>
          </cell>
          <cell r="BI140">
            <v>384</v>
          </cell>
          <cell r="BJ140">
            <v>2267</v>
          </cell>
        </row>
        <row r="142">
          <cell r="AQ142">
            <v>6</v>
          </cell>
          <cell r="AU142">
            <v>7</v>
          </cell>
          <cell r="BA142">
            <v>7</v>
          </cell>
          <cell r="BI142">
            <v>13</v>
          </cell>
          <cell r="BJ142">
            <v>33</v>
          </cell>
        </row>
        <row r="143">
          <cell r="AQ143">
            <v>7</v>
          </cell>
          <cell r="AU143">
            <v>1</v>
          </cell>
          <cell r="BA143">
            <v>1</v>
          </cell>
          <cell r="BJ143">
            <v>9</v>
          </cell>
        </row>
        <row r="145">
          <cell r="AF145">
            <v>2</v>
          </cell>
          <cell r="AQ145">
            <v>40</v>
          </cell>
          <cell r="AU145">
            <v>7</v>
          </cell>
          <cell r="BA145">
            <v>4</v>
          </cell>
          <cell r="BI145">
            <v>17</v>
          </cell>
          <cell r="BJ145">
            <v>70</v>
          </cell>
        </row>
        <row r="146">
          <cell r="AF146">
            <v>2</v>
          </cell>
          <cell r="AQ146">
            <v>2</v>
          </cell>
          <cell r="AU146">
            <v>6</v>
          </cell>
          <cell r="BI146">
            <v>5</v>
          </cell>
          <cell r="BJ146">
            <v>15</v>
          </cell>
        </row>
        <row r="147">
          <cell r="AF147">
            <v>2</v>
          </cell>
          <cell r="AQ147">
            <v>16</v>
          </cell>
          <cell r="AU147">
            <v>8</v>
          </cell>
          <cell r="BA147">
            <v>3</v>
          </cell>
          <cell r="BI147">
            <v>10</v>
          </cell>
          <cell r="BJ147">
            <v>39</v>
          </cell>
        </row>
        <row r="148">
          <cell r="AF148">
            <v>25</v>
          </cell>
          <cell r="AQ148">
            <v>536</v>
          </cell>
          <cell r="AU148">
            <v>806</v>
          </cell>
          <cell r="BA148">
            <v>302</v>
          </cell>
          <cell r="BI148">
            <v>241</v>
          </cell>
          <cell r="BJ148">
            <v>1910</v>
          </cell>
        </row>
      </sheetData>
      <sheetData sheetId="1"/>
      <sheetData sheetId="2"/>
      <sheetData sheetId="3"/>
      <sheetData sheetId="4"/>
      <sheetData sheetId="5"/>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IZADAS"/>
      <sheetName val="OBRAS PUNTUALES TRANSVERSAL"/>
      <sheetName val="Acarreos Tramo 2"/>
      <sheetName val="Acarreos Tramo 4"/>
      <sheetName val="Acarreos Tramo 7"/>
      <sheetName val="FACTORES"/>
    </sheetNames>
    <sheetDataSet>
      <sheetData sheetId="0" refreshError="1">
        <row r="25">
          <cell r="AD25">
            <v>4365.7919999999995</v>
          </cell>
        </row>
        <row r="62">
          <cell r="AF62">
            <v>2037.6704000000002</v>
          </cell>
        </row>
        <row r="65">
          <cell r="AF65">
            <v>49.6</v>
          </cell>
        </row>
        <row r="69">
          <cell r="AF69">
            <v>118.5975</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image" Target="../media/image4.emf"/><Relationship Id="rId5" Type="http://schemas.openxmlformats.org/officeDocument/2006/relationships/oleObject" Target="../embeddings/oleObject2.bin"/><Relationship Id="rId4" Type="http://schemas.openxmlformats.org/officeDocument/2006/relationships/image" Target="../media/image3.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image" Target="../media/image4.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4.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7.vml"/><Relationship Id="rId1" Type="http://schemas.openxmlformats.org/officeDocument/2006/relationships/drawing" Target="../drawings/drawing7.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4.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4.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9.vml"/><Relationship Id="rId1" Type="http://schemas.openxmlformats.org/officeDocument/2006/relationships/drawing" Target="../drawings/drawing9.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4.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10.vml"/><Relationship Id="rId1" Type="http://schemas.openxmlformats.org/officeDocument/2006/relationships/drawing" Target="../drawings/drawing10.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4.emf"/></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11.vml"/><Relationship Id="rId1" Type="http://schemas.openxmlformats.org/officeDocument/2006/relationships/drawing" Target="../drawings/drawing11.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4.emf"/></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12.vml"/><Relationship Id="rId1" Type="http://schemas.openxmlformats.org/officeDocument/2006/relationships/drawing" Target="../drawings/drawing12.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4.emf"/></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0.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19.xml"/><Relationship Id="rId5" Type="http://schemas.openxmlformats.org/officeDocument/2006/relationships/image" Target="../media/image4.emf"/><Relationship Id="rId4" Type="http://schemas.openxmlformats.org/officeDocument/2006/relationships/oleObject" Target="../embeddings/oleObject11.bin"/></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4.vml"/><Relationship Id="rId1" Type="http://schemas.openxmlformats.org/officeDocument/2006/relationships/drawing" Target="../drawings/drawing14.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4.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5.vml"/><Relationship Id="rId1" Type="http://schemas.openxmlformats.org/officeDocument/2006/relationships/drawing" Target="../drawings/drawing15.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4.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6.vml"/><Relationship Id="rId1" Type="http://schemas.openxmlformats.org/officeDocument/2006/relationships/drawing" Target="../drawings/drawing16.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4.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7.vml"/><Relationship Id="rId1" Type="http://schemas.openxmlformats.org/officeDocument/2006/relationships/drawing" Target="../drawings/drawing17.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4.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8.vml"/><Relationship Id="rId1" Type="http://schemas.openxmlformats.org/officeDocument/2006/relationships/drawing" Target="../drawings/drawing18.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4.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9.vml"/><Relationship Id="rId1" Type="http://schemas.openxmlformats.org/officeDocument/2006/relationships/drawing" Target="../drawings/drawing19.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4.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20.vml"/><Relationship Id="rId1" Type="http://schemas.openxmlformats.org/officeDocument/2006/relationships/drawing" Target="../drawings/drawing20.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4.emf"/></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36.xml"/><Relationship Id="rId2" Type="http://schemas.openxmlformats.org/officeDocument/2006/relationships/drawing" Target="../drawings/drawing21.xml"/><Relationship Id="rId1" Type="http://schemas.openxmlformats.org/officeDocument/2006/relationships/printerSettings" Target="../printerSettings/printerSettings14.bin"/><Relationship Id="rId6" Type="http://schemas.openxmlformats.org/officeDocument/2006/relationships/ctrlProp" Target="../ctrlProps/ctrlProp35.xml"/><Relationship Id="rId5" Type="http://schemas.openxmlformats.org/officeDocument/2006/relationships/image" Target="../media/image4.emf"/><Relationship Id="rId4" Type="http://schemas.openxmlformats.org/officeDocument/2006/relationships/oleObject" Target="../embeddings/oleObject19.bin"/></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22.vml"/><Relationship Id="rId1" Type="http://schemas.openxmlformats.org/officeDocument/2006/relationships/drawing" Target="../drawings/drawing22.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4.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23.vml"/><Relationship Id="rId1" Type="http://schemas.openxmlformats.org/officeDocument/2006/relationships/drawing" Target="../drawings/drawing23.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4.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22.bin"/><Relationship Id="rId2" Type="http://schemas.openxmlformats.org/officeDocument/2006/relationships/vmlDrawing" Target="../drawings/vmlDrawing24.vml"/><Relationship Id="rId1" Type="http://schemas.openxmlformats.org/officeDocument/2006/relationships/drawing" Target="../drawings/drawing24.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4.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5.vml"/><Relationship Id="rId1" Type="http://schemas.openxmlformats.org/officeDocument/2006/relationships/drawing" Target="../drawings/drawing25.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4.emf"/></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46.xml"/><Relationship Id="rId2" Type="http://schemas.openxmlformats.org/officeDocument/2006/relationships/drawing" Target="../drawings/drawing26.xml"/><Relationship Id="rId1" Type="http://schemas.openxmlformats.org/officeDocument/2006/relationships/printerSettings" Target="../printerSettings/printerSettings15.bin"/><Relationship Id="rId6" Type="http://schemas.openxmlformats.org/officeDocument/2006/relationships/ctrlProp" Target="../ctrlProps/ctrlProp45.xml"/><Relationship Id="rId5" Type="http://schemas.openxmlformats.org/officeDocument/2006/relationships/image" Target="../media/image4.emf"/><Relationship Id="rId4" Type="http://schemas.openxmlformats.org/officeDocument/2006/relationships/oleObject" Target="../embeddings/oleObject24.bin"/></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7.vml"/><Relationship Id="rId1" Type="http://schemas.openxmlformats.org/officeDocument/2006/relationships/drawing" Target="../drawings/drawing27.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4.emf"/></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8.vml"/><Relationship Id="rId1" Type="http://schemas.openxmlformats.org/officeDocument/2006/relationships/drawing" Target="../drawings/drawing28.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4.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9.vml"/><Relationship Id="rId1" Type="http://schemas.openxmlformats.org/officeDocument/2006/relationships/drawing" Target="../drawings/drawing29.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4.emf"/></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30.vml"/><Relationship Id="rId1" Type="http://schemas.openxmlformats.org/officeDocument/2006/relationships/drawing" Target="../drawings/drawing32.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4.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31.vml"/><Relationship Id="rId1" Type="http://schemas.openxmlformats.org/officeDocument/2006/relationships/drawing" Target="../drawings/drawing33.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4.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32.vml"/><Relationship Id="rId1" Type="http://schemas.openxmlformats.org/officeDocument/2006/relationships/drawing" Target="../drawings/drawing34.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4.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33.vml"/><Relationship Id="rId1" Type="http://schemas.openxmlformats.org/officeDocument/2006/relationships/drawing" Target="../drawings/drawing35.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4.emf"/></Relationships>
</file>

<file path=xl/worksheets/_rels/sheet47.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4.vml"/><Relationship Id="rId1" Type="http://schemas.openxmlformats.org/officeDocument/2006/relationships/drawing" Target="../drawings/drawing36.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4.emf"/></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4.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6.vml"/><Relationship Id="rId1" Type="http://schemas.openxmlformats.org/officeDocument/2006/relationships/drawing" Target="../drawings/drawing38.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4.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4.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4.emf"/></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9.vml"/><Relationship Id="rId1" Type="http://schemas.openxmlformats.org/officeDocument/2006/relationships/drawing" Target="../drawings/drawing41.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4.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40.vml"/><Relationship Id="rId1" Type="http://schemas.openxmlformats.org/officeDocument/2006/relationships/drawing" Target="../drawings/drawing42.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4.emf"/></Relationships>
</file>

<file path=xl/worksheets/_rels/sheet54.xml.rels><?xml version="1.0" encoding="UTF-8" standalone="yes"?>
<Relationships xmlns="http://schemas.openxmlformats.org/package/2006/relationships"><Relationship Id="rId3" Type="http://schemas.openxmlformats.org/officeDocument/2006/relationships/oleObject" Target="../embeddings/oleObject39.bin"/><Relationship Id="rId2" Type="http://schemas.openxmlformats.org/officeDocument/2006/relationships/vmlDrawing" Target="../drawings/vmlDrawing41.vml"/><Relationship Id="rId1" Type="http://schemas.openxmlformats.org/officeDocument/2006/relationships/drawing" Target="../drawings/drawing43.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4.emf"/></Relationships>
</file>

<file path=xl/worksheets/_rels/sheet55.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42.vml"/><Relationship Id="rId1" Type="http://schemas.openxmlformats.org/officeDocument/2006/relationships/drawing" Target="../drawings/drawing44.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4.emf"/></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43.vml"/><Relationship Id="rId1" Type="http://schemas.openxmlformats.org/officeDocument/2006/relationships/drawing" Target="../drawings/drawing45.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4.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44.vml"/><Relationship Id="rId1" Type="http://schemas.openxmlformats.org/officeDocument/2006/relationships/drawing" Target="../drawings/drawing46.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4.emf"/></Relationships>
</file>

<file path=xl/worksheets/_rels/sheet58.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5.vml"/><Relationship Id="rId1" Type="http://schemas.openxmlformats.org/officeDocument/2006/relationships/drawing" Target="../drawings/drawing47.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4.emf"/></Relationships>
</file>

<file path=xl/worksheets/_rels/sheet59.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6.vml"/><Relationship Id="rId1" Type="http://schemas.openxmlformats.org/officeDocument/2006/relationships/drawing" Target="../drawings/drawing48.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4.emf"/></Relationships>
</file>

<file path=xl/worksheets/_rels/sheet60.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7.vml"/><Relationship Id="rId1" Type="http://schemas.openxmlformats.org/officeDocument/2006/relationships/drawing" Target="../drawings/drawing49.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4.emf"/></Relationships>
</file>

<file path=xl/worksheets/_rels/sheet61.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8.vml"/><Relationship Id="rId1" Type="http://schemas.openxmlformats.org/officeDocument/2006/relationships/drawing" Target="../drawings/drawing50.xml"/><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image" Target="../media/image4.emf"/></Relationships>
</file>

<file path=xl/worksheets/_rels/sheet62.xml.rels><?xml version="1.0" encoding="UTF-8" standalone="yes"?>
<Relationships xmlns="http://schemas.openxmlformats.org/package/2006/relationships"><Relationship Id="rId3" Type="http://schemas.openxmlformats.org/officeDocument/2006/relationships/oleObject" Target="../embeddings/oleObject47.bin"/><Relationship Id="rId2" Type="http://schemas.openxmlformats.org/officeDocument/2006/relationships/vmlDrawing" Target="../drawings/vmlDrawing49.vml"/><Relationship Id="rId1" Type="http://schemas.openxmlformats.org/officeDocument/2006/relationships/drawing" Target="../drawings/drawing51.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4.emf"/></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50.vml"/><Relationship Id="rId7" Type="http://schemas.openxmlformats.org/officeDocument/2006/relationships/ctrlProp" Target="../ctrlProps/ctrlProp94.xml"/><Relationship Id="rId2" Type="http://schemas.openxmlformats.org/officeDocument/2006/relationships/drawing" Target="../drawings/drawing52.xml"/><Relationship Id="rId1" Type="http://schemas.openxmlformats.org/officeDocument/2006/relationships/printerSettings" Target="../printerSettings/printerSettings16.bin"/><Relationship Id="rId6" Type="http://schemas.openxmlformats.org/officeDocument/2006/relationships/ctrlProp" Target="../ctrlProps/ctrlProp93.xml"/><Relationship Id="rId5" Type="http://schemas.openxmlformats.org/officeDocument/2006/relationships/image" Target="../media/image4.emf"/><Relationship Id="rId4" Type="http://schemas.openxmlformats.org/officeDocument/2006/relationships/oleObject" Target="../embeddings/oleObject48.bin"/></Relationships>
</file>

<file path=xl/worksheets/_rels/sheet64.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51.vml"/><Relationship Id="rId1" Type="http://schemas.openxmlformats.org/officeDocument/2006/relationships/drawing" Target="../drawings/drawing53.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4.emf"/></Relationships>
</file>

<file path=xl/worksheets/_rels/sheet65.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52.vml"/><Relationship Id="rId1" Type="http://schemas.openxmlformats.org/officeDocument/2006/relationships/drawing" Target="../drawings/drawing54.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4.emf"/></Relationships>
</file>

<file path=xl/worksheets/_rels/sheet66.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53.vml"/><Relationship Id="rId1" Type="http://schemas.openxmlformats.org/officeDocument/2006/relationships/drawing" Target="../drawings/drawing55.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4.emf"/></Relationships>
</file>

<file path=xl/worksheets/_rels/sheet67.xml.rels><?xml version="1.0" encoding="UTF-8" standalone="yes"?>
<Relationships xmlns="http://schemas.openxmlformats.org/package/2006/relationships"><Relationship Id="rId3" Type="http://schemas.openxmlformats.org/officeDocument/2006/relationships/oleObject" Target="../embeddings/oleObject52.bin"/><Relationship Id="rId2" Type="http://schemas.openxmlformats.org/officeDocument/2006/relationships/vmlDrawing" Target="../drawings/vmlDrawing54.vml"/><Relationship Id="rId1" Type="http://schemas.openxmlformats.org/officeDocument/2006/relationships/drawing" Target="../drawings/drawing56.xml"/><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101"/>
  <sheetViews>
    <sheetView showGridLines="0" tabSelected="1" view="pageBreakPreview" zoomScale="70" zoomScaleNormal="70" zoomScaleSheetLayoutView="70" workbookViewId="0">
      <selection activeCell="C6" sqref="C6:K7"/>
    </sheetView>
  </sheetViews>
  <sheetFormatPr baseColWidth="10" defaultColWidth="11.42578125" defaultRowHeight="16.5"/>
  <cols>
    <col min="1" max="2" width="3.42578125" style="5" customWidth="1"/>
    <col min="3" max="3" width="5.140625" style="5" customWidth="1"/>
    <col min="4" max="4" width="11.28515625" style="5" customWidth="1"/>
    <col min="5" max="5" width="17.140625" style="6" customWidth="1"/>
    <col min="6" max="6" width="17.5703125" style="5" customWidth="1"/>
    <col min="7" max="7" width="85.42578125" style="5" customWidth="1"/>
    <col min="8" max="8" width="8.7109375" style="5" customWidth="1"/>
    <col min="9" max="9" width="17.42578125" style="5" customWidth="1"/>
    <col min="10" max="10" width="20.85546875" style="5" customWidth="1"/>
    <col min="11" max="11" width="33.5703125" style="5" customWidth="1"/>
    <col min="12" max="12" width="3.28515625" style="5" customWidth="1"/>
    <col min="13" max="17" width="11.42578125" style="5"/>
    <col min="18" max="18" width="28.5703125" style="5" customWidth="1"/>
    <col min="19" max="16384" width="11.42578125" style="5"/>
  </cols>
  <sheetData>
    <row r="1" spans="2:12" ht="17.25" thickBot="1"/>
    <row r="2" spans="2:12" ht="18" thickTop="1" thickBot="1">
      <c r="B2" s="7"/>
      <c r="C2" s="8"/>
      <c r="D2" s="8"/>
      <c r="E2" s="9"/>
      <c r="F2" s="8"/>
      <c r="G2" s="8"/>
      <c r="H2" s="8"/>
      <c r="I2" s="8"/>
      <c r="J2" s="8"/>
      <c r="K2" s="8"/>
      <c r="L2" s="10"/>
    </row>
    <row r="3" spans="2:12">
      <c r="B3" s="11"/>
      <c r="C3" s="1519" t="s">
        <v>69</v>
      </c>
      <c r="D3" s="1520"/>
      <c r="E3" s="1520"/>
      <c r="F3" s="1520"/>
      <c r="G3" s="1520"/>
      <c r="H3" s="1520"/>
      <c r="I3" s="1520"/>
      <c r="J3" s="1520"/>
      <c r="K3" s="1521"/>
      <c r="L3" s="12"/>
    </row>
    <row r="4" spans="2:12">
      <c r="B4" s="11"/>
      <c r="C4" s="1522" t="s">
        <v>303</v>
      </c>
      <c r="D4" s="1523"/>
      <c r="E4" s="1523"/>
      <c r="F4" s="1523"/>
      <c r="G4" s="1523"/>
      <c r="H4" s="1523"/>
      <c r="I4" s="1523"/>
      <c r="J4" s="1523"/>
      <c r="K4" s="1524"/>
      <c r="L4" s="12"/>
    </row>
    <row r="5" spans="2:12">
      <c r="B5" s="11"/>
      <c r="C5" s="1522" t="s">
        <v>306</v>
      </c>
      <c r="D5" s="1523"/>
      <c r="E5" s="1523"/>
      <c r="F5" s="1523"/>
      <c r="G5" s="1523"/>
      <c r="H5" s="1523"/>
      <c r="I5" s="1523"/>
      <c r="J5" s="1523"/>
      <c r="K5" s="1524"/>
      <c r="L5" s="12"/>
    </row>
    <row r="6" spans="2:12" ht="15" customHeight="1">
      <c r="B6" s="11"/>
      <c r="C6" s="1525" t="s">
        <v>1509</v>
      </c>
      <c r="D6" s="1526"/>
      <c r="E6" s="1526"/>
      <c r="F6" s="1526"/>
      <c r="G6" s="1526"/>
      <c r="H6" s="1526"/>
      <c r="I6" s="1526"/>
      <c r="J6" s="1526"/>
      <c r="K6" s="1527"/>
      <c r="L6" s="12"/>
    </row>
    <row r="7" spans="2:12" ht="31.5" customHeight="1">
      <c r="B7" s="11"/>
      <c r="C7" s="1525"/>
      <c r="D7" s="1526"/>
      <c r="E7" s="1526"/>
      <c r="F7" s="1526"/>
      <c r="G7" s="1526"/>
      <c r="H7" s="1526"/>
      <c r="I7" s="1526"/>
      <c r="J7" s="1526"/>
      <c r="K7" s="1527"/>
      <c r="L7" s="12"/>
    </row>
    <row r="8" spans="2:12">
      <c r="B8" s="11"/>
      <c r="C8" s="1528" t="s">
        <v>112</v>
      </c>
      <c r="D8" s="1529"/>
      <c r="E8" s="1529"/>
      <c r="F8" s="1529"/>
      <c r="G8" s="1529"/>
      <c r="H8" s="1529"/>
      <c r="I8" s="1529"/>
      <c r="J8" s="1529"/>
      <c r="K8" s="1530"/>
      <c r="L8" s="12"/>
    </row>
    <row r="9" spans="2:12">
      <c r="B9" s="11"/>
      <c r="C9" s="1528" t="s">
        <v>113</v>
      </c>
      <c r="D9" s="1529"/>
      <c r="E9" s="1529"/>
      <c r="F9" s="1529"/>
      <c r="G9" s="1529"/>
      <c r="H9" s="1529"/>
      <c r="I9" s="1529"/>
      <c r="J9" s="1529"/>
      <c r="K9" s="1530"/>
      <c r="L9" s="12"/>
    </row>
    <row r="10" spans="2:12" ht="17.25" thickBot="1">
      <c r="B10" s="11"/>
      <c r="C10" s="200"/>
      <c r="D10" s="201"/>
      <c r="E10" s="201"/>
      <c r="F10" s="201"/>
      <c r="G10" s="201"/>
      <c r="H10" s="201"/>
      <c r="I10" s="201"/>
      <c r="J10" s="201"/>
      <c r="K10" s="202"/>
      <c r="L10" s="12"/>
    </row>
    <row r="11" spans="2:12" ht="27" customHeight="1" thickBot="1">
      <c r="B11" s="11"/>
      <c r="C11" s="1491"/>
      <c r="D11" s="1492"/>
      <c r="E11" s="1492"/>
      <c r="F11" s="1492"/>
      <c r="G11" s="1492"/>
      <c r="H11" s="1492"/>
      <c r="I11" s="1492"/>
      <c r="J11" s="1492"/>
      <c r="K11" s="1493"/>
      <c r="L11" s="12"/>
    </row>
    <row r="12" spans="2:12" ht="30" customHeight="1">
      <c r="B12" s="11"/>
      <c r="C12" s="1535" t="s">
        <v>114</v>
      </c>
      <c r="D12" s="1500" t="s">
        <v>122</v>
      </c>
      <c r="E12" s="1537" t="s">
        <v>475</v>
      </c>
      <c r="F12" s="1537"/>
      <c r="G12" s="1535" t="s">
        <v>30</v>
      </c>
      <c r="H12" s="1500" t="s">
        <v>123</v>
      </c>
      <c r="I12" s="1500" t="s">
        <v>115</v>
      </c>
      <c r="J12" s="1531" t="s">
        <v>0</v>
      </c>
      <c r="K12" s="1533" t="s">
        <v>124</v>
      </c>
      <c r="L12" s="12"/>
    </row>
    <row r="13" spans="2:12" ht="30" customHeight="1" thickBot="1">
      <c r="B13" s="11"/>
      <c r="C13" s="1536"/>
      <c r="D13" s="1501"/>
      <c r="E13" s="280" t="s">
        <v>307</v>
      </c>
      <c r="F13" s="280" t="s">
        <v>308</v>
      </c>
      <c r="G13" s="1536"/>
      <c r="H13" s="1501"/>
      <c r="I13" s="1501"/>
      <c r="J13" s="1532"/>
      <c r="K13" s="1534"/>
      <c r="L13" s="12"/>
    </row>
    <row r="14" spans="2:12" ht="30" customHeight="1" thickBot="1">
      <c r="B14" s="11"/>
      <c r="C14" s="281" t="s">
        <v>125</v>
      </c>
      <c r="D14" s="282"/>
      <c r="E14" s="282"/>
      <c r="F14" s="282"/>
      <c r="G14" s="282"/>
      <c r="H14" s="282"/>
      <c r="I14" s="282"/>
      <c r="J14" s="282"/>
      <c r="K14" s="283"/>
      <c r="L14" s="12"/>
    </row>
    <row r="15" spans="2:12" s="345" customFormat="1" ht="30" customHeight="1">
      <c r="B15" s="346"/>
      <c r="C15" s="284">
        <v>1</v>
      </c>
      <c r="D15" s="285" t="s">
        <v>35</v>
      </c>
      <c r="E15" s="286" t="s">
        <v>430</v>
      </c>
      <c r="F15" s="291"/>
      <c r="G15" s="287" t="s">
        <v>126</v>
      </c>
      <c r="H15" s="292" t="s">
        <v>103</v>
      </c>
      <c r="I15" s="288">
        <v>11</v>
      </c>
      <c r="J15" s="289">
        <v>878062</v>
      </c>
      <c r="K15" s="290">
        <v>9658682</v>
      </c>
      <c r="L15" s="349"/>
    </row>
    <row r="16" spans="2:12" s="345" customFormat="1" ht="30" customHeight="1">
      <c r="B16" s="346"/>
      <c r="C16" s="284">
        <v>2</v>
      </c>
      <c r="D16" s="285" t="s">
        <v>86</v>
      </c>
      <c r="E16" s="286" t="s">
        <v>436</v>
      </c>
      <c r="F16" s="291"/>
      <c r="G16" s="287" t="s">
        <v>224</v>
      </c>
      <c r="H16" s="292" t="s">
        <v>111</v>
      </c>
      <c r="I16" s="288">
        <v>920</v>
      </c>
      <c r="J16" s="289">
        <v>31955</v>
      </c>
      <c r="K16" s="290">
        <v>29398600</v>
      </c>
      <c r="L16" s="349"/>
    </row>
    <row r="17" spans="2:12" s="345" customFormat="1" ht="30" customHeight="1">
      <c r="B17" s="346"/>
      <c r="C17" s="284">
        <v>3</v>
      </c>
      <c r="D17" s="285" t="s">
        <v>87</v>
      </c>
      <c r="E17" s="286" t="s">
        <v>436</v>
      </c>
      <c r="F17" s="291"/>
      <c r="G17" s="287" t="s">
        <v>172</v>
      </c>
      <c r="H17" s="292" t="s">
        <v>111</v>
      </c>
      <c r="I17" s="288">
        <v>18402</v>
      </c>
      <c r="J17" s="289">
        <v>7355</v>
      </c>
      <c r="K17" s="290">
        <v>135346710</v>
      </c>
      <c r="L17" s="349"/>
    </row>
    <row r="18" spans="2:12" s="345" customFormat="1" ht="30" customHeight="1">
      <c r="B18" s="346"/>
      <c r="C18" s="284">
        <v>4</v>
      </c>
      <c r="D18" s="285" t="s">
        <v>89</v>
      </c>
      <c r="E18" s="286" t="s">
        <v>438</v>
      </c>
      <c r="F18" s="291"/>
      <c r="G18" s="287" t="s">
        <v>129</v>
      </c>
      <c r="H18" s="292" t="s">
        <v>111</v>
      </c>
      <c r="I18" s="288">
        <v>362276</v>
      </c>
      <c r="J18" s="289">
        <v>7819</v>
      </c>
      <c r="K18" s="290">
        <v>2832636044</v>
      </c>
      <c r="L18" s="349"/>
    </row>
    <row r="19" spans="2:12" s="345" customFormat="1" ht="30" customHeight="1">
      <c r="B19" s="346"/>
      <c r="C19" s="284">
        <v>5</v>
      </c>
      <c r="D19" s="285" t="s">
        <v>839</v>
      </c>
      <c r="E19" s="286"/>
      <c r="F19" s="285" t="s">
        <v>839</v>
      </c>
      <c r="G19" s="287" t="s">
        <v>1492</v>
      </c>
      <c r="H19" s="292" t="s">
        <v>111</v>
      </c>
      <c r="I19" s="288">
        <v>470959</v>
      </c>
      <c r="J19" s="289">
        <v>9240</v>
      </c>
      <c r="K19" s="290">
        <v>4351661160</v>
      </c>
      <c r="L19" s="349"/>
    </row>
    <row r="20" spans="2:12" s="345" customFormat="1" ht="30" customHeight="1">
      <c r="B20" s="346"/>
      <c r="C20" s="284">
        <v>6</v>
      </c>
      <c r="D20" s="285" t="s">
        <v>539</v>
      </c>
      <c r="E20" s="286"/>
      <c r="F20" s="285" t="s">
        <v>539</v>
      </c>
      <c r="G20" s="287" t="s">
        <v>1504</v>
      </c>
      <c r="H20" s="292" t="s">
        <v>111</v>
      </c>
      <c r="I20" s="288">
        <v>35831</v>
      </c>
      <c r="J20" s="289">
        <v>39475</v>
      </c>
      <c r="K20" s="290">
        <v>1414428725</v>
      </c>
      <c r="L20" s="349"/>
    </row>
    <row r="21" spans="2:12" s="345" customFormat="1" ht="30" customHeight="1">
      <c r="B21" s="346"/>
      <c r="C21" s="1448">
        <v>7</v>
      </c>
      <c r="D21" s="1449" t="s">
        <v>1481</v>
      </c>
      <c r="E21" s="1450"/>
      <c r="F21" s="1449" t="s">
        <v>1481</v>
      </c>
      <c r="G21" s="1451" t="s">
        <v>139</v>
      </c>
      <c r="H21" s="1452" t="s">
        <v>111</v>
      </c>
      <c r="I21" s="288">
        <v>19980</v>
      </c>
      <c r="J21" s="1453">
        <v>2449</v>
      </c>
      <c r="K21" s="1454">
        <v>48931020</v>
      </c>
      <c r="L21" s="349"/>
    </row>
    <row r="22" spans="2:12" s="345" customFormat="1" ht="30" customHeight="1" thickBot="1">
      <c r="B22" s="346"/>
      <c r="C22" s="295" t="s">
        <v>170</v>
      </c>
      <c r="D22" s="296"/>
      <c r="E22" s="297"/>
      <c r="F22" s="297"/>
      <c r="G22" s="298"/>
      <c r="H22" s="299"/>
      <c r="I22" s="288"/>
      <c r="J22" s="300"/>
      <c r="K22" s="301">
        <v>8822060941</v>
      </c>
      <c r="L22" s="349"/>
    </row>
    <row r="23" spans="2:12" s="345" customFormat="1" ht="30" customHeight="1" thickBot="1">
      <c r="B23" s="346"/>
      <c r="C23" s="281" t="s">
        <v>161</v>
      </c>
      <c r="D23" s="282"/>
      <c r="E23" s="282"/>
      <c r="F23" s="282"/>
      <c r="G23" s="282"/>
      <c r="H23" s="282"/>
      <c r="I23" s="282"/>
      <c r="J23" s="282"/>
      <c r="K23" s="283"/>
      <c r="L23" s="349"/>
    </row>
    <row r="24" spans="2:12" s="345" customFormat="1" ht="30" customHeight="1">
      <c r="B24" s="346"/>
      <c r="C24" s="284">
        <v>8</v>
      </c>
      <c r="D24" s="293" t="s">
        <v>1340</v>
      </c>
      <c r="E24" s="293" t="s">
        <v>725</v>
      </c>
      <c r="F24" s="293"/>
      <c r="G24" s="315" t="s">
        <v>1339</v>
      </c>
      <c r="H24" s="293" t="s">
        <v>111</v>
      </c>
      <c r="I24" s="288">
        <v>51894</v>
      </c>
      <c r="J24" s="289">
        <v>148138</v>
      </c>
      <c r="K24" s="311">
        <v>7687473372</v>
      </c>
      <c r="L24" s="349"/>
    </row>
    <row r="25" spans="2:12" s="345" customFormat="1" ht="30" customHeight="1">
      <c r="B25" s="346"/>
      <c r="C25" s="284">
        <v>9</v>
      </c>
      <c r="D25" s="329">
        <v>351.12</v>
      </c>
      <c r="E25" s="329" t="s">
        <v>725</v>
      </c>
      <c r="F25" s="329"/>
      <c r="G25" s="343" t="s">
        <v>1341</v>
      </c>
      <c r="H25" s="329" t="s">
        <v>79</v>
      </c>
      <c r="I25" s="288">
        <v>2156754</v>
      </c>
      <c r="J25" s="289">
        <v>691</v>
      </c>
      <c r="K25" s="290">
        <v>1490317014</v>
      </c>
      <c r="L25" s="349"/>
    </row>
    <row r="26" spans="2:12" s="345" customFormat="1" ht="30" customHeight="1" thickBot="1">
      <c r="B26" s="346"/>
      <c r="C26" s="295" t="s">
        <v>170</v>
      </c>
      <c r="D26" s="316"/>
      <c r="E26" s="316"/>
      <c r="F26" s="316"/>
      <c r="G26" s="317"/>
      <c r="H26" s="316"/>
      <c r="I26" s="288"/>
      <c r="J26" s="300"/>
      <c r="K26" s="301">
        <v>9177790386</v>
      </c>
      <c r="L26" s="349"/>
    </row>
    <row r="27" spans="2:12" s="345" customFormat="1" ht="30" customHeight="1" thickBot="1">
      <c r="B27" s="346"/>
      <c r="C27" s="281" t="s">
        <v>297</v>
      </c>
      <c r="D27" s="282"/>
      <c r="E27" s="282"/>
      <c r="F27" s="282"/>
      <c r="G27" s="282"/>
      <c r="H27" s="282"/>
      <c r="I27" s="282"/>
      <c r="J27" s="282"/>
      <c r="K27" s="283"/>
      <c r="L27" s="349"/>
    </row>
    <row r="28" spans="2:12" s="345" customFormat="1" ht="30" customHeight="1">
      <c r="B28" s="346"/>
      <c r="C28" s="284">
        <v>10</v>
      </c>
      <c r="D28" s="293" t="s">
        <v>411</v>
      </c>
      <c r="E28" s="293" t="s">
        <v>447</v>
      </c>
      <c r="F28" s="293"/>
      <c r="G28" s="318" t="s">
        <v>410</v>
      </c>
      <c r="H28" s="293" t="s">
        <v>28</v>
      </c>
      <c r="I28" s="288">
        <v>621355</v>
      </c>
      <c r="J28" s="289">
        <v>2946</v>
      </c>
      <c r="K28" s="290">
        <v>1830511830</v>
      </c>
      <c r="L28" s="349"/>
    </row>
    <row r="29" spans="2:12" s="345" customFormat="1" ht="30" customHeight="1">
      <c r="B29" s="346"/>
      <c r="C29" s="309">
        <v>11</v>
      </c>
      <c r="D29" s="329" t="s">
        <v>325</v>
      </c>
      <c r="E29" s="329" t="s">
        <v>448</v>
      </c>
      <c r="F29" s="329"/>
      <c r="G29" s="343" t="s">
        <v>326</v>
      </c>
      <c r="H29" s="329" t="s">
        <v>28</v>
      </c>
      <c r="I29" s="288">
        <v>618388</v>
      </c>
      <c r="J29" s="289">
        <v>1819</v>
      </c>
      <c r="K29" s="290">
        <v>1124847772</v>
      </c>
      <c r="L29" s="349"/>
    </row>
    <row r="30" spans="2:12" s="345" customFormat="1" ht="30" customHeight="1">
      <c r="B30" s="346"/>
      <c r="C30" s="284">
        <v>12</v>
      </c>
      <c r="D30" s="329" t="s">
        <v>298</v>
      </c>
      <c r="E30" s="329"/>
      <c r="F30" s="329" t="s">
        <v>605</v>
      </c>
      <c r="G30" s="343" t="s">
        <v>1491</v>
      </c>
      <c r="H30" s="329" t="s">
        <v>111</v>
      </c>
      <c r="I30" s="288">
        <v>36333</v>
      </c>
      <c r="J30" s="289">
        <v>698453</v>
      </c>
      <c r="K30" s="290">
        <v>25376892849</v>
      </c>
      <c r="L30" s="349"/>
    </row>
    <row r="31" spans="2:12" s="345" customFormat="1" ht="36.75" customHeight="1">
      <c r="B31" s="346"/>
      <c r="C31" s="309">
        <v>13</v>
      </c>
      <c r="D31" s="293" t="s">
        <v>728</v>
      </c>
      <c r="E31" s="293"/>
      <c r="F31" s="293" t="s">
        <v>728</v>
      </c>
      <c r="G31" s="315" t="s">
        <v>1342</v>
      </c>
      <c r="H31" s="293" t="s">
        <v>111</v>
      </c>
      <c r="I31" s="288">
        <v>15528</v>
      </c>
      <c r="J31" s="289">
        <v>808073</v>
      </c>
      <c r="K31" s="290">
        <v>12547757544</v>
      </c>
      <c r="L31" s="349"/>
    </row>
    <row r="32" spans="2:12" s="345" customFormat="1" ht="30" customHeight="1">
      <c r="B32" s="346"/>
      <c r="C32" s="284">
        <v>14</v>
      </c>
      <c r="D32" s="293" t="s">
        <v>487</v>
      </c>
      <c r="E32" s="293"/>
      <c r="F32" s="293" t="s">
        <v>487</v>
      </c>
      <c r="G32" s="318" t="s">
        <v>486</v>
      </c>
      <c r="H32" s="293" t="s">
        <v>111</v>
      </c>
      <c r="I32" s="288">
        <v>14533</v>
      </c>
      <c r="J32" s="289">
        <v>746617</v>
      </c>
      <c r="K32" s="290">
        <v>10850584861</v>
      </c>
      <c r="L32" s="349"/>
    </row>
    <row r="33" spans="2:12" s="345" customFormat="1" ht="30" customHeight="1">
      <c r="B33" s="346"/>
      <c r="C33" s="309">
        <v>15</v>
      </c>
      <c r="D33" s="329" t="s">
        <v>330</v>
      </c>
      <c r="E33" s="329"/>
      <c r="F33" s="329" t="s">
        <v>330</v>
      </c>
      <c r="G33" s="343" t="s">
        <v>331</v>
      </c>
      <c r="H33" s="329" t="s">
        <v>111</v>
      </c>
      <c r="I33" s="288">
        <v>40938</v>
      </c>
      <c r="J33" s="289">
        <v>48963</v>
      </c>
      <c r="K33" s="290">
        <v>2004447294</v>
      </c>
      <c r="L33" s="349"/>
    </row>
    <row r="34" spans="2:12" s="345" customFormat="1" ht="30" customHeight="1">
      <c r="B34" s="346"/>
      <c r="C34" s="284">
        <v>16</v>
      </c>
      <c r="D34" s="329" t="s">
        <v>613</v>
      </c>
      <c r="E34" s="329" t="s">
        <v>614</v>
      </c>
      <c r="F34" s="329"/>
      <c r="G34" s="348" t="s">
        <v>615</v>
      </c>
      <c r="H34" s="329" t="s">
        <v>81</v>
      </c>
      <c r="I34" s="288">
        <v>105150</v>
      </c>
      <c r="J34" s="289">
        <v>3806</v>
      </c>
      <c r="K34" s="290">
        <v>400200900</v>
      </c>
      <c r="L34" s="349"/>
    </row>
    <row r="35" spans="2:12" s="345" customFormat="1" ht="30" customHeight="1" thickBot="1">
      <c r="B35" s="346"/>
      <c r="C35" s="295" t="s">
        <v>170</v>
      </c>
      <c r="D35" s="319"/>
      <c r="E35" s="320"/>
      <c r="F35" s="319"/>
      <c r="G35" s="319"/>
      <c r="H35" s="319"/>
      <c r="I35" s="288"/>
      <c r="J35" s="319"/>
      <c r="K35" s="301">
        <v>54135243050</v>
      </c>
      <c r="L35" s="349"/>
    </row>
    <row r="36" spans="2:12" s="345" customFormat="1" ht="30" customHeight="1" thickBot="1">
      <c r="B36" s="346"/>
      <c r="C36" s="281" t="s">
        <v>164</v>
      </c>
      <c r="D36" s="282"/>
      <c r="E36" s="282"/>
      <c r="F36" s="282"/>
      <c r="G36" s="282"/>
      <c r="H36" s="282"/>
      <c r="I36" s="282"/>
      <c r="J36" s="282"/>
      <c r="K36" s="283"/>
      <c r="L36" s="349"/>
    </row>
    <row r="37" spans="2:12" s="345" customFormat="1" ht="30" customHeight="1">
      <c r="B37" s="346"/>
      <c r="C37" s="309">
        <v>17</v>
      </c>
      <c r="D37" s="285" t="s">
        <v>415</v>
      </c>
      <c r="E37" s="285" t="s">
        <v>451</v>
      </c>
      <c r="F37" s="285"/>
      <c r="G37" s="287" t="s">
        <v>130</v>
      </c>
      <c r="H37" s="285" t="s">
        <v>111</v>
      </c>
      <c r="I37" s="288">
        <v>8085</v>
      </c>
      <c r="J37" s="289">
        <v>14489</v>
      </c>
      <c r="K37" s="290">
        <v>117143565</v>
      </c>
      <c r="L37" s="349"/>
    </row>
    <row r="38" spans="2:12" s="345" customFormat="1" ht="30" customHeight="1">
      <c r="B38" s="346"/>
      <c r="C38" s="309">
        <v>18</v>
      </c>
      <c r="D38" s="285" t="s">
        <v>416</v>
      </c>
      <c r="E38" s="285" t="s">
        <v>451</v>
      </c>
      <c r="F38" s="285"/>
      <c r="G38" s="287" t="s">
        <v>153</v>
      </c>
      <c r="H38" s="285" t="s">
        <v>111</v>
      </c>
      <c r="I38" s="288">
        <v>809</v>
      </c>
      <c r="J38" s="289">
        <v>53717</v>
      </c>
      <c r="K38" s="290">
        <v>43457053</v>
      </c>
      <c r="L38" s="349"/>
    </row>
    <row r="39" spans="2:12" s="345" customFormat="1" ht="30" customHeight="1">
      <c r="B39" s="346"/>
      <c r="C39" s="309">
        <v>19</v>
      </c>
      <c r="D39" s="285" t="s">
        <v>417</v>
      </c>
      <c r="E39" s="285" t="s">
        <v>451</v>
      </c>
      <c r="F39" s="285"/>
      <c r="G39" s="287" t="s">
        <v>165</v>
      </c>
      <c r="H39" s="285" t="s">
        <v>111</v>
      </c>
      <c r="I39" s="288">
        <v>5189</v>
      </c>
      <c r="J39" s="289">
        <v>13139</v>
      </c>
      <c r="K39" s="290">
        <v>68178271</v>
      </c>
      <c r="L39" s="349"/>
    </row>
    <row r="40" spans="2:12" s="345" customFormat="1" ht="30" customHeight="1">
      <c r="B40" s="346"/>
      <c r="C40" s="309">
        <v>20</v>
      </c>
      <c r="D40" s="285" t="s">
        <v>92</v>
      </c>
      <c r="E40" s="285" t="s">
        <v>452</v>
      </c>
      <c r="F40" s="286"/>
      <c r="G40" s="287" t="s">
        <v>1473</v>
      </c>
      <c r="H40" s="292" t="s">
        <v>111</v>
      </c>
      <c r="I40" s="288">
        <v>6522</v>
      </c>
      <c r="J40" s="289">
        <v>31198</v>
      </c>
      <c r="K40" s="290">
        <v>203473356</v>
      </c>
      <c r="L40" s="349"/>
    </row>
    <row r="41" spans="2:12" s="345" customFormat="1" ht="30" customHeight="1">
      <c r="B41" s="346"/>
      <c r="C41" s="309">
        <v>21</v>
      </c>
      <c r="D41" s="347" t="s">
        <v>621</v>
      </c>
      <c r="E41" s="347" t="s">
        <v>452</v>
      </c>
      <c r="F41" s="286"/>
      <c r="G41" s="344" t="s">
        <v>622</v>
      </c>
      <c r="H41" s="350" t="s">
        <v>111</v>
      </c>
      <c r="I41" s="288">
        <v>1260</v>
      </c>
      <c r="J41" s="289">
        <v>158985</v>
      </c>
      <c r="K41" s="290">
        <v>200321100</v>
      </c>
      <c r="L41" s="349"/>
    </row>
    <row r="42" spans="2:12" s="345" customFormat="1" ht="30" customHeight="1">
      <c r="B42" s="346"/>
      <c r="C42" s="309">
        <v>22</v>
      </c>
      <c r="D42" s="329" t="s">
        <v>401</v>
      </c>
      <c r="E42" s="329"/>
      <c r="F42" s="329" t="s">
        <v>401</v>
      </c>
      <c r="G42" s="343" t="s">
        <v>641</v>
      </c>
      <c r="H42" s="329" t="s">
        <v>111</v>
      </c>
      <c r="I42" s="288">
        <v>51</v>
      </c>
      <c r="J42" s="289">
        <v>1012343</v>
      </c>
      <c r="K42" s="290">
        <v>51629493</v>
      </c>
      <c r="L42" s="349"/>
    </row>
    <row r="43" spans="2:12" s="345" customFormat="1" ht="30" customHeight="1">
      <c r="B43" s="346"/>
      <c r="C43" s="309">
        <v>23</v>
      </c>
      <c r="D43" s="329" t="s">
        <v>424</v>
      </c>
      <c r="E43" s="329"/>
      <c r="F43" s="329" t="s">
        <v>424</v>
      </c>
      <c r="G43" s="343" t="s">
        <v>646</v>
      </c>
      <c r="H43" s="386" t="s">
        <v>111</v>
      </c>
      <c r="I43" s="288">
        <v>242</v>
      </c>
      <c r="J43" s="289">
        <v>815418</v>
      </c>
      <c r="K43" s="290">
        <v>197331156</v>
      </c>
      <c r="L43" s="349"/>
    </row>
    <row r="44" spans="2:12" s="345" customFormat="1" ht="30" customHeight="1">
      <c r="B44" s="346"/>
      <c r="C44" s="309">
        <v>24</v>
      </c>
      <c r="D44" s="329" t="s">
        <v>16</v>
      </c>
      <c r="E44" s="329" t="s">
        <v>453</v>
      </c>
      <c r="F44" s="329"/>
      <c r="G44" s="287" t="s">
        <v>639</v>
      </c>
      <c r="H44" s="285" t="s">
        <v>111</v>
      </c>
      <c r="I44" s="288">
        <v>7728</v>
      </c>
      <c r="J44" s="289">
        <v>564214</v>
      </c>
      <c r="K44" s="290">
        <v>4360245792</v>
      </c>
      <c r="L44" s="349"/>
    </row>
    <row r="45" spans="2:12" s="345" customFormat="1" ht="30" customHeight="1">
      <c r="B45" s="346"/>
      <c r="C45" s="309">
        <v>25</v>
      </c>
      <c r="D45" s="285" t="s">
        <v>110</v>
      </c>
      <c r="E45" s="285" t="s">
        <v>455</v>
      </c>
      <c r="F45" s="285"/>
      <c r="G45" s="287" t="s">
        <v>144</v>
      </c>
      <c r="H45" s="285" t="s">
        <v>79</v>
      </c>
      <c r="I45" s="288">
        <v>475612</v>
      </c>
      <c r="J45" s="289">
        <v>4487</v>
      </c>
      <c r="K45" s="290">
        <v>2134071044</v>
      </c>
      <c r="L45" s="349"/>
    </row>
    <row r="46" spans="2:12" s="345" customFormat="1" ht="30" customHeight="1">
      <c r="B46" s="346"/>
      <c r="C46" s="309">
        <v>26</v>
      </c>
      <c r="D46" s="285" t="s">
        <v>94</v>
      </c>
      <c r="E46" s="285" t="s">
        <v>459</v>
      </c>
      <c r="F46" s="285"/>
      <c r="G46" s="287" t="s">
        <v>696</v>
      </c>
      <c r="H46" s="285" t="s">
        <v>81</v>
      </c>
      <c r="I46" s="288">
        <v>1702</v>
      </c>
      <c r="J46" s="321">
        <v>605897</v>
      </c>
      <c r="K46" s="290">
        <v>1031236694</v>
      </c>
      <c r="L46" s="349"/>
    </row>
    <row r="47" spans="2:12" s="345" customFormat="1" ht="42" customHeight="1">
      <c r="B47" s="346"/>
      <c r="C47" s="309">
        <v>27</v>
      </c>
      <c r="D47" s="285" t="s">
        <v>300</v>
      </c>
      <c r="E47" s="285" t="s">
        <v>457</v>
      </c>
      <c r="F47" s="285"/>
      <c r="G47" s="287" t="s">
        <v>650</v>
      </c>
      <c r="H47" s="285" t="s">
        <v>111</v>
      </c>
      <c r="I47" s="288">
        <v>6046</v>
      </c>
      <c r="J47" s="321">
        <v>450699</v>
      </c>
      <c r="K47" s="290">
        <v>2724926154</v>
      </c>
      <c r="L47" s="349"/>
    </row>
    <row r="48" spans="2:12" s="345" customFormat="1" ht="30" customHeight="1">
      <c r="B48" s="346"/>
      <c r="C48" s="309">
        <v>28</v>
      </c>
      <c r="D48" s="285" t="s">
        <v>95</v>
      </c>
      <c r="E48" s="293" t="s">
        <v>460</v>
      </c>
      <c r="F48" s="285"/>
      <c r="G48" s="344" t="s">
        <v>651</v>
      </c>
      <c r="H48" s="285" t="s">
        <v>28</v>
      </c>
      <c r="I48" s="288">
        <v>19520</v>
      </c>
      <c r="J48" s="289">
        <v>8890</v>
      </c>
      <c r="K48" s="290">
        <v>173532800</v>
      </c>
      <c r="L48" s="349"/>
    </row>
    <row r="49" spans="2:12" s="345" customFormat="1" ht="30" customHeight="1">
      <c r="B49" s="346"/>
      <c r="C49" s="309">
        <v>29</v>
      </c>
      <c r="D49" s="285" t="s">
        <v>96</v>
      </c>
      <c r="E49" s="285" t="s">
        <v>460</v>
      </c>
      <c r="F49" s="285"/>
      <c r="G49" s="287" t="s">
        <v>544</v>
      </c>
      <c r="H49" s="292" t="s">
        <v>111</v>
      </c>
      <c r="I49" s="288">
        <v>6242</v>
      </c>
      <c r="J49" s="289">
        <v>123908</v>
      </c>
      <c r="K49" s="290">
        <v>773433736</v>
      </c>
      <c r="L49" s="349"/>
    </row>
    <row r="50" spans="2:12" s="345" customFormat="1" ht="30" customHeight="1">
      <c r="B50" s="346"/>
      <c r="C50" s="309">
        <v>30</v>
      </c>
      <c r="D50" s="285" t="s">
        <v>97</v>
      </c>
      <c r="E50" s="285" t="s">
        <v>460</v>
      </c>
      <c r="F50" s="285"/>
      <c r="G50" s="344" t="s">
        <v>600</v>
      </c>
      <c r="H50" s="285" t="s">
        <v>111</v>
      </c>
      <c r="I50" s="288">
        <v>1260</v>
      </c>
      <c r="J50" s="289">
        <v>155966</v>
      </c>
      <c r="K50" s="290">
        <v>196517160</v>
      </c>
      <c r="L50" s="349"/>
    </row>
    <row r="51" spans="2:12" s="345" customFormat="1" ht="30" customHeight="1">
      <c r="B51" s="346"/>
      <c r="C51" s="309">
        <v>31</v>
      </c>
      <c r="D51" s="329" t="s">
        <v>371</v>
      </c>
      <c r="E51" s="293" t="s">
        <v>460</v>
      </c>
      <c r="F51" s="329" t="s">
        <v>371</v>
      </c>
      <c r="G51" s="343" t="s">
        <v>372</v>
      </c>
      <c r="H51" s="329" t="s">
        <v>81</v>
      </c>
      <c r="I51" s="288">
        <v>10563</v>
      </c>
      <c r="J51" s="289">
        <v>145403</v>
      </c>
      <c r="K51" s="290">
        <v>1535891889</v>
      </c>
      <c r="L51" s="349"/>
    </row>
    <row r="52" spans="2:12" s="345" customFormat="1" ht="30" customHeight="1" thickBot="1">
      <c r="B52" s="346"/>
      <c r="C52" s="322" t="s">
        <v>170</v>
      </c>
      <c r="D52" s="323"/>
      <c r="E52" s="323"/>
      <c r="F52" s="323"/>
      <c r="G52" s="324"/>
      <c r="H52" s="323"/>
      <c r="I52" s="288"/>
      <c r="J52" s="325"/>
      <c r="K52" s="326">
        <v>13811389263</v>
      </c>
      <c r="L52" s="349"/>
    </row>
    <row r="53" spans="2:12" s="345" customFormat="1" ht="30" customHeight="1" thickBot="1">
      <c r="B53" s="346"/>
      <c r="C53" s="281" t="s">
        <v>166</v>
      </c>
      <c r="D53" s="282"/>
      <c r="E53" s="282"/>
      <c r="F53" s="282"/>
      <c r="G53" s="282"/>
      <c r="H53" s="282"/>
      <c r="I53" s="282"/>
      <c r="J53" s="282"/>
      <c r="K53" s="283"/>
      <c r="L53" s="349"/>
    </row>
    <row r="54" spans="2:12" s="345" customFormat="1" ht="30" customHeight="1">
      <c r="B54" s="346"/>
      <c r="C54" s="309">
        <v>32</v>
      </c>
      <c r="D54" s="347" t="s">
        <v>140</v>
      </c>
      <c r="E54" s="1502" t="s">
        <v>652</v>
      </c>
      <c r="F54" s="1503"/>
      <c r="G54" s="344" t="s">
        <v>653</v>
      </c>
      <c r="H54" s="285" t="s">
        <v>81</v>
      </c>
      <c r="I54" s="288">
        <v>1141764</v>
      </c>
      <c r="J54" s="289">
        <v>1626</v>
      </c>
      <c r="K54" s="290">
        <v>1856508264</v>
      </c>
      <c r="L54" s="349"/>
    </row>
    <row r="55" spans="2:12" s="345" customFormat="1" ht="30" customHeight="1">
      <c r="B55" s="346"/>
      <c r="C55" s="309">
        <v>33</v>
      </c>
      <c r="D55" s="347" t="s">
        <v>148</v>
      </c>
      <c r="E55" s="1504" t="s">
        <v>652</v>
      </c>
      <c r="F55" s="1505"/>
      <c r="G55" s="344" t="s">
        <v>654</v>
      </c>
      <c r="H55" s="285" t="s">
        <v>28</v>
      </c>
      <c r="I55" s="288">
        <v>10515</v>
      </c>
      <c r="J55" s="289">
        <v>21350</v>
      </c>
      <c r="K55" s="290">
        <v>224495250</v>
      </c>
      <c r="L55" s="349"/>
    </row>
    <row r="56" spans="2:12" s="345" customFormat="1" ht="30" customHeight="1">
      <c r="B56" s="346"/>
      <c r="C56" s="309">
        <v>34</v>
      </c>
      <c r="D56" s="347" t="s">
        <v>387</v>
      </c>
      <c r="E56" s="1504" t="s">
        <v>652</v>
      </c>
      <c r="F56" s="1505"/>
      <c r="G56" s="344" t="s">
        <v>655</v>
      </c>
      <c r="H56" s="285" t="s">
        <v>82</v>
      </c>
      <c r="I56" s="288">
        <v>120728</v>
      </c>
      <c r="J56" s="289">
        <v>6870</v>
      </c>
      <c r="K56" s="290">
        <v>829401360</v>
      </c>
      <c r="L56" s="349"/>
    </row>
    <row r="57" spans="2:12" s="345" customFormat="1" ht="30" customHeight="1">
      <c r="B57" s="346"/>
      <c r="C57" s="309">
        <v>35</v>
      </c>
      <c r="D57" s="347" t="s">
        <v>388</v>
      </c>
      <c r="E57" s="1506" t="s">
        <v>652</v>
      </c>
      <c r="F57" s="1507"/>
      <c r="G57" s="344" t="s">
        <v>656</v>
      </c>
      <c r="H57" s="285" t="s">
        <v>82</v>
      </c>
      <c r="I57" s="288">
        <v>215</v>
      </c>
      <c r="J57" s="289">
        <v>309131</v>
      </c>
      <c r="K57" s="290">
        <v>66463165</v>
      </c>
      <c r="L57" s="349"/>
    </row>
    <row r="58" spans="2:12" s="345" customFormat="1" ht="30" customHeight="1">
      <c r="B58" s="346"/>
      <c r="C58" s="309">
        <v>36</v>
      </c>
      <c r="D58" s="327" t="s">
        <v>711</v>
      </c>
      <c r="E58" s="1504" t="s">
        <v>652</v>
      </c>
      <c r="F58" s="1505"/>
      <c r="G58" s="344" t="s">
        <v>710</v>
      </c>
      <c r="H58" s="329" t="s">
        <v>82</v>
      </c>
      <c r="I58" s="288">
        <v>63</v>
      </c>
      <c r="J58" s="289">
        <v>393317</v>
      </c>
      <c r="K58" s="290">
        <v>24778971</v>
      </c>
      <c r="L58" s="349"/>
    </row>
    <row r="59" spans="2:12" s="345" customFormat="1" ht="30" customHeight="1">
      <c r="B59" s="346"/>
      <c r="C59" s="309">
        <v>37</v>
      </c>
      <c r="D59" s="327" t="s">
        <v>671</v>
      </c>
      <c r="E59" s="1504" t="s">
        <v>652</v>
      </c>
      <c r="F59" s="1505"/>
      <c r="G59" s="328" t="s">
        <v>545</v>
      </c>
      <c r="H59" s="329" t="s">
        <v>28</v>
      </c>
      <c r="I59" s="288">
        <v>18</v>
      </c>
      <c r="J59" s="289">
        <v>434267</v>
      </c>
      <c r="K59" s="290">
        <v>7816806</v>
      </c>
      <c r="L59" s="349"/>
    </row>
    <row r="60" spans="2:12" s="345" customFormat="1" ht="30" customHeight="1">
      <c r="B60" s="346"/>
      <c r="C60" s="309">
        <v>38</v>
      </c>
      <c r="D60" s="330" t="s">
        <v>99</v>
      </c>
      <c r="E60" s="330" t="s">
        <v>465</v>
      </c>
      <c r="F60" s="330"/>
      <c r="G60" s="331" t="s">
        <v>167</v>
      </c>
      <c r="H60" s="285" t="s">
        <v>82</v>
      </c>
      <c r="I60" s="288">
        <v>39</v>
      </c>
      <c r="J60" s="289">
        <v>210784</v>
      </c>
      <c r="K60" s="290">
        <v>8220576</v>
      </c>
      <c r="L60" s="349"/>
    </row>
    <row r="61" spans="2:12" s="345" customFormat="1" ht="30" customHeight="1">
      <c r="B61" s="346"/>
      <c r="C61" s="309">
        <v>39</v>
      </c>
      <c r="D61" s="330" t="s">
        <v>100</v>
      </c>
      <c r="E61" s="330" t="s">
        <v>466</v>
      </c>
      <c r="F61" s="330"/>
      <c r="G61" s="331" t="s">
        <v>151</v>
      </c>
      <c r="H61" s="285" t="s">
        <v>81</v>
      </c>
      <c r="I61" s="288">
        <v>11365</v>
      </c>
      <c r="J61" s="289">
        <v>189659</v>
      </c>
      <c r="K61" s="290">
        <v>2155474535</v>
      </c>
      <c r="L61" s="349"/>
    </row>
    <row r="62" spans="2:12" s="345" customFormat="1" ht="30" customHeight="1">
      <c r="B62" s="346"/>
      <c r="C62" s="309">
        <v>40</v>
      </c>
      <c r="D62" s="329" t="s">
        <v>301</v>
      </c>
      <c r="E62" s="329" t="s">
        <v>466</v>
      </c>
      <c r="F62" s="329"/>
      <c r="G62" s="328" t="s">
        <v>302</v>
      </c>
      <c r="H62" s="329" t="s">
        <v>82</v>
      </c>
      <c r="I62" s="288">
        <v>210</v>
      </c>
      <c r="J62" s="289">
        <v>87174</v>
      </c>
      <c r="K62" s="290">
        <v>18306540</v>
      </c>
      <c r="L62" s="349"/>
    </row>
    <row r="63" spans="2:12" s="345" customFormat="1" ht="30" customHeight="1">
      <c r="B63" s="346"/>
      <c r="C63" s="309">
        <v>41</v>
      </c>
      <c r="D63" s="330" t="s">
        <v>101</v>
      </c>
      <c r="E63" s="330" t="s">
        <v>467</v>
      </c>
      <c r="F63" s="330"/>
      <c r="G63" s="331" t="s">
        <v>131</v>
      </c>
      <c r="H63" s="285" t="s">
        <v>82</v>
      </c>
      <c r="I63" s="288">
        <v>10554</v>
      </c>
      <c r="J63" s="289">
        <v>15972</v>
      </c>
      <c r="K63" s="290">
        <v>168568488</v>
      </c>
      <c r="L63" s="349"/>
    </row>
    <row r="64" spans="2:12" s="345" customFormat="1" ht="30" customHeight="1" thickBot="1">
      <c r="B64" s="346"/>
      <c r="C64" s="295" t="s">
        <v>170</v>
      </c>
      <c r="D64" s="332"/>
      <c r="E64" s="332"/>
      <c r="F64" s="332"/>
      <c r="G64" s="333"/>
      <c r="H64" s="296"/>
      <c r="I64" s="288"/>
      <c r="J64" s="300"/>
      <c r="K64" s="301">
        <v>5360033955</v>
      </c>
      <c r="L64" s="349"/>
    </row>
    <row r="65" spans="2:12" s="345" customFormat="1" ht="30" customHeight="1" thickBot="1">
      <c r="B65" s="346"/>
      <c r="C65" s="281" t="s">
        <v>132</v>
      </c>
      <c r="D65" s="282"/>
      <c r="E65" s="282"/>
      <c r="F65" s="282"/>
      <c r="G65" s="282"/>
      <c r="H65" s="282"/>
      <c r="I65" s="282"/>
      <c r="J65" s="282"/>
      <c r="K65" s="283"/>
      <c r="L65" s="349"/>
    </row>
    <row r="66" spans="2:12" s="345" customFormat="1" ht="30" customHeight="1">
      <c r="B66" s="346"/>
      <c r="C66" s="309">
        <v>42</v>
      </c>
      <c r="D66" s="285" t="s">
        <v>102</v>
      </c>
      <c r="E66" s="285" t="s">
        <v>468</v>
      </c>
      <c r="F66" s="285"/>
      <c r="G66" s="287" t="s">
        <v>134</v>
      </c>
      <c r="H66" s="285" t="s">
        <v>81</v>
      </c>
      <c r="I66" s="288">
        <v>14000</v>
      </c>
      <c r="J66" s="289">
        <v>28012</v>
      </c>
      <c r="K66" s="290">
        <v>392168000</v>
      </c>
      <c r="L66" s="349"/>
    </row>
    <row r="67" spans="2:12" s="345" customFormat="1" ht="30" customHeight="1">
      <c r="B67" s="346"/>
      <c r="C67" s="309">
        <v>43</v>
      </c>
      <c r="D67" s="330" t="s">
        <v>225</v>
      </c>
      <c r="E67" s="330" t="s">
        <v>469</v>
      </c>
      <c r="F67" s="330"/>
      <c r="G67" s="287" t="s">
        <v>169</v>
      </c>
      <c r="H67" s="285" t="s">
        <v>28</v>
      </c>
      <c r="I67" s="288">
        <v>5800</v>
      </c>
      <c r="J67" s="289">
        <v>14524</v>
      </c>
      <c r="K67" s="290">
        <v>84239200</v>
      </c>
      <c r="L67" s="349"/>
    </row>
    <row r="68" spans="2:12" s="345" customFormat="1" ht="30" customHeight="1">
      <c r="B68" s="346"/>
      <c r="C68" s="309">
        <v>44</v>
      </c>
      <c r="D68" s="329" t="s">
        <v>377</v>
      </c>
      <c r="E68" s="286" t="s">
        <v>469</v>
      </c>
      <c r="F68" s="286"/>
      <c r="G68" s="343" t="s">
        <v>601</v>
      </c>
      <c r="H68" s="386" t="s">
        <v>28</v>
      </c>
      <c r="I68" s="288">
        <v>23200</v>
      </c>
      <c r="J68" s="289">
        <v>24581</v>
      </c>
      <c r="K68" s="290">
        <v>570279200</v>
      </c>
      <c r="L68" s="349"/>
    </row>
    <row r="69" spans="2:12" s="345" customFormat="1" ht="30" customHeight="1">
      <c r="B69" s="346"/>
      <c r="C69" s="309">
        <v>45</v>
      </c>
      <c r="D69" s="329" t="s">
        <v>535</v>
      </c>
      <c r="E69" s="286"/>
      <c r="F69" s="329"/>
      <c r="G69" s="343" t="s">
        <v>572</v>
      </c>
      <c r="H69" s="386" t="s">
        <v>82</v>
      </c>
      <c r="I69" s="288">
        <v>46879</v>
      </c>
      <c r="J69" s="289">
        <v>52234</v>
      </c>
      <c r="K69" s="290">
        <v>2448677686</v>
      </c>
      <c r="L69" s="349"/>
    </row>
    <row r="70" spans="2:12" s="345" customFormat="1" ht="30" customHeight="1" thickBot="1">
      <c r="B70" s="346"/>
      <c r="C70" s="295" t="s">
        <v>170</v>
      </c>
      <c r="D70" s="332"/>
      <c r="E70" s="332"/>
      <c r="F70" s="332"/>
      <c r="G70" s="298"/>
      <c r="H70" s="296"/>
      <c r="I70" s="288"/>
      <c r="J70" s="300"/>
      <c r="K70" s="301">
        <v>3495364086</v>
      </c>
      <c r="L70" s="349"/>
    </row>
    <row r="71" spans="2:12" s="345" customFormat="1" ht="30" customHeight="1" thickBot="1">
      <c r="B71" s="346"/>
      <c r="C71" s="281" t="s">
        <v>133</v>
      </c>
      <c r="D71" s="282"/>
      <c r="E71" s="282"/>
      <c r="F71" s="282"/>
      <c r="G71" s="282"/>
      <c r="H71" s="282"/>
      <c r="I71" s="282"/>
      <c r="J71" s="282"/>
      <c r="K71" s="283"/>
      <c r="L71" s="349"/>
    </row>
    <row r="72" spans="2:12" s="345" customFormat="1" ht="57" customHeight="1">
      <c r="B72" s="346"/>
      <c r="C72" s="309">
        <v>46</v>
      </c>
      <c r="D72" s="285">
        <v>900.1</v>
      </c>
      <c r="E72" s="285" t="s">
        <v>471</v>
      </c>
      <c r="F72" s="285"/>
      <c r="G72" s="287" t="s">
        <v>226</v>
      </c>
      <c r="H72" s="285" t="s">
        <v>221</v>
      </c>
      <c r="I72" s="288">
        <v>770812</v>
      </c>
      <c r="J72" s="289">
        <v>995</v>
      </c>
      <c r="K72" s="290">
        <v>766957940</v>
      </c>
      <c r="L72" s="349"/>
    </row>
    <row r="73" spans="2:12" s="345" customFormat="1" ht="55.5" customHeight="1">
      <c r="B73" s="346"/>
      <c r="C73" s="309">
        <v>47</v>
      </c>
      <c r="D73" s="285" t="s">
        <v>104</v>
      </c>
      <c r="E73" s="285" t="s">
        <v>471</v>
      </c>
      <c r="F73" s="285"/>
      <c r="G73" s="344" t="s">
        <v>602</v>
      </c>
      <c r="H73" s="285" t="s">
        <v>156</v>
      </c>
      <c r="I73" s="288">
        <v>5380459</v>
      </c>
      <c r="J73" s="289">
        <v>1125</v>
      </c>
      <c r="K73" s="290">
        <v>6053016375</v>
      </c>
      <c r="L73" s="349"/>
    </row>
    <row r="74" spans="2:12" s="345" customFormat="1" ht="30" customHeight="1" thickBot="1">
      <c r="B74" s="346"/>
      <c r="C74" s="295" t="s">
        <v>170</v>
      </c>
      <c r="D74" s="332"/>
      <c r="E74" s="332"/>
      <c r="F74" s="332"/>
      <c r="G74" s="333"/>
      <c r="H74" s="296"/>
      <c r="I74" s="288"/>
      <c r="J74" s="300"/>
      <c r="K74" s="301">
        <v>6819974315</v>
      </c>
      <c r="L74" s="349"/>
    </row>
    <row r="75" spans="2:12" s="13" customFormat="1" ht="30" customHeight="1" thickBot="1">
      <c r="B75" s="14"/>
      <c r="C75" s="1494" t="s">
        <v>477</v>
      </c>
      <c r="D75" s="1495"/>
      <c r="E75" s="1495"/>
      <c r="F75" s="1495"/>
      <c r="G75" s="1495"/>
      <c r="H75" s="1495"/>
      <c r="I75" s="1495"/>
      <c r="J75" s="1496"/>
      <c r="K75" s="334">
        <v>101621855996</v>
      </c>
      <c r="L75" s="15"/>
    </row>
    <row r="76" spans="2:12" s="13" customFormat="1" ht="30" customHeight="1" thickBot="1">
      <c r="B76" s="14"/>
      <c r="C76" s="335"/>
      <c r="D76" s="335"/>
      <c r="E76" s="335"/>
      <c r="F76" s="335"/>
      <c r="G76" s="335"/>
      <c r="H76" s="335"/>
      <c r="I76" s="335"/>
      <c r="J76" s="335"/>
      <c r="K76" s="336"/>
      <c r="L76" s="15"/>
    </row>
    <row r="77" spans="2:12" s="13" customFormat="1" ht="30" customHeight="1">
      <c r="B77" s="14"/>
      <c r="C77" s="337"/>
      <c r="D77" s="338"/>
      <c r="E77" s="337"/>
      <c r="F77" s="352"/>
      <c r="G77" s="353" t="s">
        <v>623</v>
      </c>
      <c r="H77" s="354"/>
      <c r="I77" s="355"/>
      <c r="J77" s="356" t="s">
        <v>175</v>
      </c>
      <c r="K77" s="1485">
        <v>5907887121.0000029</v>
      </c>
      <c r="L77" s="15"/>
    </row>
    <row r="78" spans="2:12" s="13" customFormat="1" ht="30" customHeight="1">
      <c r="B78" s="14"/>
      <c r="C78" s="337"/>
      <c r="D78" s="338"/>
      <c r="E78" s="337"/>
      <c r="F78" s="352"/>
      <c r="G78" s="357" t="s">
        <v>624</v>
      </c>
      <c r="H78" s="358"/>
      <c r="I78" s="359"/>
      <c r="J78" s="360" t="s">
        <v>175</v>
      </c>
      <c r="K78" s="1486">
        <v>500000000</v>
      </c>
      <c r="L78" s="15"/>
    </row>
    <row r="79" spans="2:12" s="13" customFormat="1" ht="30" customHeight="1">
      <c r="B79" s="14"/>
      <c r="C79" s="337"/>
      <c r="D79" s="338"/>
      <c r="E79" s="337"/>
      <c r="F79" s="352"/>
      <c r="G79" s="361" t="s">
        <v>174</v>
      </c>
      <c r="H79" s="362"/>
      <c r="I79" s="363"/>
      <c r="J79" s="364"/>
      <c r="K79" s="1487">
        <v>108029743117</v>
      </c>
      <c r="L79" s="15"/>
    </row>
    <row r="80" spans="2:12" s="13" customFormat="1" ht="30" customHeight="1">
      <c r="B80" s="14"/>
      <c r="C80" s="337"/>
      <c r="D80" s="341"/>
      <c r="E80" s="341"/>
      <c r="F80" s="341"/>
      <c r="G80" s="361" t="s">
        <v>732</v>
      </c>
      <c r="H80" s="365"/>
      <c r="I80" s="366"/>
      <c r="J80" s="367"/>
      <c r="K80" s="1487">
        <v>777486788</v>
      </c>
      <c r="L80" s="15"/>
    </row>
    <row r="81" spans="2:12" s="13" customFormat="1" ht="30" customHeight="1">
      <c r="B81" s="14"/>
      <c r="C81" s="337"/>
      <c r="D81" s="341"/>
      <c r="E81" s="341"/>
      <c r="F81" s="341"/>
      <c r="G81" s="368" t="s">
        <v>476</v>
      </c>
      <c r="H81" s="365"/>
      <c r="I81" s="366"/>
      <c r="J81" s="367"/>
      <c r="K81" s="1488">
        <v>108807229905</v>
      </c>
      <c r="L81" s="15"/>
    </row>
    <row r="82" spans="2:12" s="13" customFormat="1" ht="30" customHeight="1">
      <c r="B82" s="14"/>
      <c r="C82" s="337"/>
      <c r="D82" s="338"/>
      <c r="E82" s="337"/>
      <c r="F82" s="352"/>
      <c r="G82" s="369" t="s">
        <v>1475</v>
      </c>
      <c r="H82" s="365"/>
      <c r="I82" s="366"/>
      <c r="J82" s="370"/>
      <c r="K82" s="1487">
        <v>589665000</v>
      </c>
      <c r="L82" s="15"/>
    </row>
    <row r="83" spans="2:12" s="13" customFormat="1" ht="30" customHeight="1">
      <c r="B83" s="14"/>
      <c r="C83" s="337"/>
      <c r="D83" s="338"/>
      <c r="E83" s="337"/>
      <c r="F83" s="352"/>
      <c r="G83" s="369" t="s">
        <v>1476</v>
      </c>
      <c r="H83" s="365">
        <v>0.19</v>
      </c>
      <c r="I83" s="366"/>
      <c r="J83" s="370"/>
      <c r="K83" s="1487">
        <v>112036350</v>
      </c>
      <c r="L83" s="15"/>
    </row>
    <row r="84" spans="2:12" s="13" customFormat="1" ht="30" customHeight="1">
      <c r="B84" s="14"/>
      <c r="C84" s="337"/>
      <c r="D84" s="338"/>
      <c r="E84" s="337"/>
      <c r="F84" s="371" t="s">
        <v>627</v>
      </c>
      <c r="G84" s="372" t="s">
        <v>1477</v>
      </c>
      <c r="H84" s="365"/>
      <c r="I84" s="366"/>
      <c r="J84" s="370"/>
      <c r="K84" s="1488">
        <v>701701350</v>
      </c>
      <c r="L84" s="15"/>
    </row>
    <row r="85" spans="2:12" s="13" customFormat="1" ht="30" customHeight="1" thickBot="1">
      <c r="B85" s="14"/>
      <c r="C85" s="337"/>
      <c r="D85" s="338"/>
      <c r="E85" s="337"/>
      <c r="F85" s="352"/>
      <c r="G85" s="368" t="s">
        <v>1507</v>
      </c>
      <c r="H85" s="365"/>
      <c r="I85" s="366"/>
      <c r="J85" s="360" t="s">
        <v>175</v>
      </c>
      <c r="K85" s="1488">
        <v>3226068745</v>
      </c>
      <c r="L85" s="15"/>
    </row>
    <row r="86" spans="2:12" s="13" customFormat="1" ht="30" customHeight="1" thickBot="1">
      <c r="B86" s="14"/>
      <c r="C86" s="337"/>
      <c r="D86" s="338"/>
      <c r="E86" s="337"/>
      <c r="F86" s="352"/>
      <c r="G86" s="376" t="s">
        <v>160</v>
      </c>
      <c r="H86" s="377"/>
      <c r="I86" s="378"/>
      <c r="J86" s="379"/>
      <c r="K86" s="334">
        <v>112735000000</v>
      </c>
      <c r="L86" s="15"/>
    </row>
    <row r="87" spans="2:12" s="13" customFormat="1" ht="30" customHeight="1" thickBot="1">
      <c r="B87" s="14"/>
      <c r="C87" s="337"/>
      <c r="D87" s="338"/>
      <c r="E87" s="337"/>
      <c r="F87" s="352"/>
      <c r="G87" s="1474"/>
      <c r="H87" s="1475"/>
      <c r="I87" s="1476"/>
      <c r="J87" s="352"/>
      <c r="K87" s="1483"/>
      <c r="L87" s="15"/>
    </row>
    <row r="88" spans="2:12" s="13" customFormat="1" ht="17.25" customHeight="1">
      <c r="B88" s="14"/>
      <c r="C88" s="1484" t="s">
        <v>1508</v>
      </c>
      <c r="D88" s="1477"/>
      <c r="E88" s="1478"/>
      <c r="F88" s="1478"/>
      <c r="G88" s="1479"/>
      <c r="H88" s="1479"/>
      <c r="I88" s="1480"/>
      <c r="J88" s="1481"/>
      <c r="K88" s="1482"/>
      <c r="L88" s="15"/>
    </row>
    <row r="89" spans="2:12" s="13" customFormat="1" ht="79.5" customHeight="1">
      <c r="B89" s="14"/>
      <c r="C89" s="1489" t="s">
        <v>684</v>
      </c>
      <c r="D89" s="1497"/>
      <c r="E89" s="1497"/>
      <c r="F89" s="1497"/>
      <c r="G89" s="1497"/>
      <c r="H89" s="1498" t="s">
        <v>30</v>
      </c>
      <c r="I89" s="1498"/>
      <c r="J89" s="1498"/>
      <c r="K89" s="383" t="s">
        <v>116</v>
      </c>
      <c r="L89" s="18"/>
    </row>
    <row r="90" spans="2:12" s="13" customFormat="1" ht="45.75" customHeight="1">
      <c r="B90" s="14"/>
      <c r="C90" s="1489" t="s">
        <v>685</v>
      </c>
      <c r="D90" s="1490"/>
      <c r="E90" s="1490"/>
      <c r="F90" s="1490"/>
      <c r="G90" s="1490"/>
      <c r="H90" s="1499" t="s">
        <v>44</v>
      </c>
      <c r="I90" s="1499"/>
      <c r="J90" s="384" t="s">
        <v>117</v>
      </c>
      <c r="K90" s="385">
        <v>0.22</v>
      </c>
      <c r="L90" s="18"/>
    </row>
    <row r="91" spans="2:12" s="13" customFormat="1" ht="46.5" customHeight="1">
      <c r="B91" s="14"/>
      <c r="C91" s="1489" t="s">
        <v>631</v>
      </c>
      <c r="D91" s="1490"/>
      <c r="E91" s="1490"/>
      <c r="F91" s="1490"/>
      <c r="G91" s="1490"/>
      <c r="H91" s="1514" t="s">
        <v>632</v>
      </c>
      <c r="I91" s="1515"/>
      <c r="J91" s="384" t="s">
        <v>118</v>
      </c>
      <c r="K91" s="385">
        <v>0.05</v>
      </c>
      <c r="L91" s="18"/>
    </row>
    <row r="92" spans="2:12" s="19" customFormat="1" ht="70.5" customHeight="1">
      <c r="B92" s="20"/>
      <c r="C92" s="1516" t="s">
        <v>633</v>
      </c>
      <c r="D92" s="1517"/>
      <c r="E92" s="1517"/>
      <c r="F92" s="1517"/>
      <c r="G92" s="1517"/>
      <c r="H92" s="1518" t="s">
        <v>634</v>
      </c>
      <c r="I92" s="1499"/>
      <c r="J92" s="384" t="s">
        <v>119</v>
      </c>
      <c r="K92" s="385">
        <v>0.05</v>
      </c>
      <c r="L92" s="21"/>
    </row>
    <row r="93" spans="2:12" ht="57.75" customHeight="1">
      <c r="B93" s="11"/>
      <c r="C93" s="1489" t="s">
        <v>635</v>
      </c>
      <c r="D93" s="1490"/>
      <c r="E93" s="1490"/>
      <c r="F93" s="1490"/>
      <c r="G93" s="1490"/>
      <c r="H93" s="1499" t="s">
        <v>120</v>
      </c>
      <c r="I93" s="1499"/>
      <c r="J93" s="384" t="s">
        <v>121</v>
      </c>
      <c r="K93" s="385">
        <v>0.32</v>
      </c>
      <c r="L93" s="12"/>
    </row>
    <row r="94" spans="2:12" ht="40.5" customHeight="1">
      <c r="B94" s="11"/>
      <c r="C94" s="1489" t="s">
        <v>636</v>
      </c>
      <c r="D94" s="1490"/>
      <c r="E94" s="1490"/>
      <c r="F94" s="1490"/>
      <c r="G94" s="1490"/>
      <c r="H94" s="1508" t="s">
        <v>637</v>
      </c>
      <c r="I94" s="1508"/>
      <c r="J94" s="1508"/>
      <c r="K94" s="1509"/>
      <c r="L94" s="12"/>
    </row>
    <row r="95" spans="2:12" ht="78.75" customHeight="1" thickBot="1">
      <c r="B95" s="11"/>
      <c r="C95" s="1512" t="s">
        <v>638</v>
      </c>
      <c r="D95" s="1513"/>
      <c r="E95" s="1513"/>
      <c r="F95" s="1513"/>
      <c r="G95" s="1513"/>
      <c r="H95" s="1510"/>
      <c r="I95" s="1510"/>
      <c r="J95" s="1510"/>
      <c r="K95" s="1511"/>
      <c r="L95" s="12"/>
    </row>
    <row r="96" spans="2:12" ht="17.25" thickBot="1">
      <c r="B96" s="27"/>
      <c r="C96" s="28"/>
      <c r="D96" s="28"/>
      <c r="E96" s="29"/>
      <c r="F96" s="28"/>
      <c r="G96" s="30"/>
      <c r="H96" s="28"/>
      <c r="I96" s="28"/>
      <c r="J96" s="28"/>
      <c r="K96" s="28"/>
      <c r="L96" s="31"/>
    </row>
    <row r="97" spans="11:11" ht="17.25" thickTop="1"/>
    <row r="101" spans="11:11">
      <c r="K101" s="5" t="s">
        <v>253</v>
      </c>
    </row>
  </sheetData>
  <mergeCells count="35">
    <mergeCell ref="C9:K9"/>
    <mergeCell ref="J12:J13"/>
    <mergeCell ref="K12:K13"/>
    <mergeCell ref="C12:C13"/>
    <mergeCell ref="D12:D13"/>
    <mergeCell ref="G12:G13"/>
    <mergeCell ref="H12:H13"/>
    <mergeCell ref="E12:F12"/>
    <mergeCell ref="C3:K3"/>
    <mergeCell ref="C4:K4"/>
    <mergeCell ref="C5:K5"/>
    <mergeCell ref="C6:K7"/>
    <mergeCell ref="C8:K8"/>
    <mergeCell ref="C94:G94"/>
    <mergeCell ref="H94:K95"/>
    <mergeCell ref="C95:G95"/>
    <mergeCell ref="C91:G91"/>
    <mergeCell ref="H91:I91"/>
    <mergeCell ref="C92:G92"/>
    <mergeCell ref="H92:I92"/>
    <mergeCell ref="C93:G93"/>
    <mergeCell ref="H93:I93"/>
    <mergeCell ref="C90:G90"/>
    <mergeCell ref="C11:K11"/>
    <mergeCell ref="C75:J75"/>
    <mergeCell ref="C89:G89"/>
    <mergeCell ref="H89:J89"/>
    <mergeCell ref="H90:I90"/>
    <mergeCell ref="I12:I13"/>
    <mergeCell ref="E54:F54"/>
    <mergeCell ref="E55:F55"/>
    <mergeCell ref="E56:F56"/>
    <mergeCell ref="E57:F57"/>
    <mergeCell ref="E59:F59"/>
    <mergeCell ref="E58:F58"/>
  </mergeCells>
  <pageMargins left="0.11811023622047245" right="0.11811023622047245" top="0.15748031496062992" bottom="0.15748031496062992" header="0.31496062992125984" footer="0.31496062992125984"/>
  <pageSetup scale="25"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112"/>
  <sheetViews>
    <sheetView topLeftCell="A8" zoomScale="70" zoomScaleNormal="70" workbookViewId="0">
      <selection activeCell="G26" sqref="G26"/>
    </sheetView>
  </sheetViews>
  <sheetFormatPr baseColWidth="10" defaultColWidth="11.42578125" defaultRowHeight="16.5"/>
  <cols>
    <col min="1" max="2" width="3.42578125" style="5" customWidth="1"/>
    <col min="3" max="3" width="5.140625" style="5" customWidth="1"/>
    <col min="4" max="4" width="11.28515625" style="5" customWidth="1"/>
    <col min="5" max="5" width="17.140625" style="6" customWidth="1"/>
    <col min="6" max="6" width="17.5703125" style="5" customWidth="1"/>
    <col min="7" max="7" width="85.42578125" style="5" customWidth="1"/>
    <col min="8" max="8" width="8.7109375" style="5" customWidth="1"/>
    <col min="9" max="9" width="21.85546875" style="5" customWidth="1"/>
    <col min="10" max="10" width="20.85546875" style="5" customWidth="1"/>
    <col min="11" max="11" width="33.5703125" style="5" customWidth="1"/>
    <col min="12" max="12" width="3.28515625" style="5" customWidth="1"/>
    <col min="13" max="14" width="35.28515625" style="5" customWidth="1"/>
    <col min="15" max="15" width="25" style="5" customWidth="1"/>
    <col min="16" max="16" width="33.5703125" style="5" customWidth="1"/>
    <col min="17" max="17" width="18.140625" style="5" customWidth="1"/>
    <col min="18" max="18" width="23.28515625" style="5" customWidth="1"/>
    <col min="19" max="19" width="18.5703125" style="5" customWidth="1"/>
    <col min="20" max="27" width="11.42578125" style="5"/>
    <col min="28" max="28" width="28.5703125" style="5" customWidth="1"/>
    <col min="29" max="16384" width="11.42578125" style="5"/>
  </cols>
  <sheetData>
    <row r="1" spans="2:16" ht="18" thickTop="1" thickBot="1">
      <c r="B1" s="7"/>
      <c r="C1" s="8"/>
      <c r="D1" s="8"/>
      <c r="E1" s="9"/>
      <c r="F1" s="8"/>
      <c r="G1" s="8"/>
      <c r="H1" s="8"/>
      <c r="I1" s="8"/>
      <c r="J1" s="8"/>
      <c r="K1" s="8"/>
      <c r="L1" s="10"/>
      <c r="P1" s="8"/>
    </row>
    <row r="2" spans="2:16">
      <c r="B2" s="11"/>
      <c r="C2" s="1519" t="s">
        <v>69</v>
      </c>
      <c r="D2" s="1520"/>
      <c r="E2" s="1520"/>
      <c r="F2" s="1520"/>
      <c r="G2" s="1520"/>
      <c r="H2" s="1520"/>
      <c r="I2" s="1520"/>
      <c r="J2" s="1520"/>
      <c r="K2" s="1521"/>
      <c r="L2" s="12"/>
    </row>
    <row r="3" spans="2:16">
      <c r="B3" s="11"/>
      <c r="C3" s="1522" t="s">
        <v>303</v>
      </c>
      <c r="D3" s="1523"/>
      <c r="E3" s="1523"/>
      <c r="F3" s="1523"/>
      <c r="G3" s="1523"/>
      <c r="H3" s="1523"/>
      <c r="I3" s="1523"/>
      <c r="J3" s="1523"/>
      <c r="K3" s="1524"/>
      <c r="L3" s="12"/>
    </row>
    <row r="4" spans="2:16">
      <c r="B4" s="11"/>
      <c r="C4" s="1522" t="s">
        <v>306</v>
      </c>
      <c r="D4" s="1523"/>
      <c r="E4" s="1523"/>
      <c r="F4" s="1523"/>
      <c r="G4" s="1523"/>
      <c r="H4" s="1523"/>
      <c r="I4" s="1523"/>
      <c r="J4" s="1523"/>
      <c r="K4" s="1524"/>
      <c r="L4" s="12"/>
    </row>
    <row r="5" spans="2:16">
      <c r="B5" s="11"/>
      <c r="C5" s="1525" t="e">
        <f>+#REF!</f>
        <v>#REF!</v>
      </c>
      <c r="D5" s="1526"/>
      <c r="E5" s="1526"/>
      <c r="F5" s="1526"/>
      <c r="G5" s="1526"/>
      <c r="H5" s="1526"/>
      <c r="I5" s="1526"/>
      <c r="J5" s="1526"/>
      <c r="K5" s="1527"/>
      <c r="L5" s="12"/>
    </row>
    <row r="6" spans="2:16">
      <c r="B6" s="11"/>
      <c r="C6" s="1525"/>
      <c r="D6" s="1526"/>
      <c r="E6" s="1526"/>
      <c r="F6" s="1526"/>
      <c r="G6" s="1526"/>
      <c r="H6" s="1526"/>
      <c r="I6" s="1526"/>
      <c r="J6" s="1526"/>
      <c r="K6" s="1527"/>
      <c r="L6" s="12"/>
    </row>
    <row r="7" spans="2:16">
      <c r="B7" s="11"/>
      <c r="C7" s="1528" t="s">
        <v>112</v>
      </c>
      <c r="D7" s="1529"/>
      <c r="E7" s="1529"/>
      <c r="F7" s="1529"/>
      <c r="G7" s="1529"/>
      <c r="H7" s="1529"/>
      <c r="I7" s="1529"/>
      <c r="J7" s="1529"/>
      <c r="K7" s="1530"/>
      <c r="L7" s="12"/>
    </row>
    <row r="8" spans="2:16">
      <c r="B8" s="11"/>
      <c r="C8" s="1528" t="s">
        <v>113</v>
      </c>
      <c r="D8" s="1529"/>
      <c r="E8" s="1529"/>
      <c r="F8" s="1529"/>
      <c r="G8" s="1529"/>
      <c r="H8" s="1529"/>
      <c r="I8" s="1529"/>
      <c r="J8" s="1529"/>
      <c r="K8" s="1530"/>
      <c r="L8" s="12"/>
    </row>
    <row r="9" spans="2:16" ht="17.25" thickBot="1">
      <c r="B9" s="11"/>
      <c r="C9" s="200"/>
      <c r="D9" s="201"/>
      <c r="E9" s="201"/>
      <c r="F9" s="201"/>
      <c r="G9" s="201"/>
      <c r="H9" s="201"/>
      <c r="I9" s="201"/>
      <c r="J9" s="201"/>
      <c r="K9" s="202"/>
      <c r="L9" s="12"/>
      <c r="P9" s="202"/>
    </row>
    <row r="10" spans="2:16" ht="17.25" thickBot="1">
      <c r="B10" s="11"/>
      <c r="C10" s="1491"/>
      <c r="D10" s="1492"/>
      <c r="E10" s="1492"/>
      <c r="F10" s="1492"/>
      <c r="G10" s="1492"/>
      <c r="H10" s="1492"/>
      <c r="I10" s="1492"/>
      <c r="J10" s="1492"/>
      <c r="K10" s="1493"/>
      <c r="L10" s="12"/>
    </row>
    <row r="11" spans="2:16">
      <c r="B11" s="11"/>
      <c r="C11" s="1535" t="s">
        <v>114</v>
      </c>
      <c r="D11" s="1500" t="s">
        <v>122</v>
      </c>
      <c r="E11" s="1537" t="s">
        <v>475</v>
      </c>
      <c r="F11" s="1537"/>
      <c r="G11" s="1535" t="s">
        <v>30</v>
      </c>
      <c r="H11" s="1500" t="s">
        <v>123</v>
      </c>
      <c r="I11" s="1500" t="s">
        <v>115</v>
      </c>
      <c r="J11" s="1531" t="s">
        <v>0</v>
      </c>
      <c r="K11" s="1533" t="s">
        <v>124</v>
      </c>
      <c r="L11" s="12"/>
      <c r="P11" s="1533" t="s">
        <v>124</v>
      </c>
    </row>
    <row r="12" spans="2:16" ht="17.25" thickBot="1">
      <c r="B12" s="11"/>
      <c r="C12" s="1536"/>
      <c r="D12" s="1501"/>
      <c r="E12" s="280" t="s">
        <v>307</v>
      </c>
      <c r="F12" s="280" t="s">
        <v>308</v>
      </c>
      <c r="G12" s="1536"/>
      <c r="H12" s="1501"/>
      <c r="I12" s="1501"/>
      <c r="J12" s="1532"/>
      <c r="K12" s="1534"/>
      <c r="L12" s="12"/>
      <c r="P12" s="1534"/>
    </row>
    <row r="13" spans="2:16" ht="17.25" thickBot="1">
      <c r="B13" s="11"/>
      <c r="C13" s="281" t="s">
        <v>125</v>
      </c>
      <c r="D13" s="282"/>
      <c r="E13" s="282"/>
      <c r="F13" s="282"/>
      <c r="G13" s="282"/>
      <c r="H13" s="282"/>
      <c r="I13" s="282"/>
      <c r="J13" s="282"/>
      <c r="K13" s="283"/>
      <c r="L13" s="12"/>
      <c r="P13" s="283"/>
    </row>
    <row r="14" spans="2:16" s="345" customFormat="1" ht="15.75">
      <c r="B14" s="346"/>
      <c r="C14" s="284">
        <v>1</v>
      </c>
      <c r="D14" s="285" t="s">
        <v>35</v>
      </c>
      <c r="E14" s="286" t="s">
        <v>430</v>
      </c>
      <c r="F14" s="291"/>
      <c r="G14" s="287" t="s">
        <v>126</v>
      </c>
      <c r="H14" s="292" t="s">
        <v>103</v>
      </c>
      <c r="I14" s="288" t="e">
        <f>ROUND(#REF!+#REF!*20/10000,0)</f>
        <v>#REF!</v>
      </c>
      <c r="J14" s="289">
        <f>+'200.2'!N78</f>
        <v>878062</v>
      </c>
      <c r="K14" s="290" t="e">
        <f t="shared" ref="K14:K20" si="0">I14*J14</f>
        <v>#REF!</v>
      </c>
      <c r="L14" s="349"/>
      <c r="O14" s="1416" t="e">
        <f>K14/$K$85</f>
        <v>#REF!</v>
      </c>
      <c r="P14" s="290">
        <v>8009838</v>
      </c>
    </row>
    <row r="15" spans="2:16" s="345" customFormat="1" ht="15.75">
      <c r="B15" s="346"/>
      <c r="C15" s="284" t="e">
        <f>#REF!+1</f>
        <v>#REF!</v>
      </c>
      <c r="D15" s="285" t="s">
        <v>86</v>
      </c>
      <c r="E15" s="286" t="s">
        <v>436</v>
      </c>
      <c r="F15" s="291"/>
      <c r="G15" s="287" t="s">
        <v>224</v>
      </c>
      <c r="H15" s="292" t="s">
        <v>111</v>
      </c>
      <c r="I15" s="288">
        <v>22284</v>
      </c>
      <c r="J15" s="289">
        <f>+'210.2.1'!N81</f>
        <v>31955</v>
      </c>
      <c r="K15" s="290">
        <f t="shared" si="0"/>
        <v>712085220</v>
      </c>
      <c r="L15" s="349"/>
      <c r="O15" s="1416" t="e">
        <f>K15/$K$85</f>
        <v>#REF!</v>
      </c>
      <c r="P15" s="290">
        <v>987353655.77815151</v>
      </c>
    </row>
    <row r="16" spans="2:16" s="345" customFormat="1" ht="15.75">
      <c r="B16" s="346"/>
      <c r="C16" s="284" t="e">
        <f t="shared" ref="C16" si="1">C15+1</f>
        <v>#REF!</v>
      </c>
      <c r="D16" s="285" t="s">
        <v>87</v>
      </c>
      <c r="E16" s="286" t="s">
        <v>436</v>
      </c>
      <c r="F16" s="291"/>
      <c r="G16" s="287" t="s">
        <v>172</v>
      </c>
      <c r="H16" s="292" t="s">
        <v>111</v>
      </c>
      <c r="I16" s="288" t="e">
        <f>#REF!-22284</f>
        <v>#REF!</v>
      </c>
      <c r="J16" s="289">
        <f>+'210.2.2'!N81</f>
        <v>7355</v>
      </c>
      <c r="K16" s="290" t="e">
        <f t="shared" si="0"/>
        <v>#REF!</v>
      </c>
      <c r="L16" s="349"/>
      <c r="M16" s="1415"/>
      <c r="N16" s="1415"/>
      <c r="O16" s="1416" t="e">
        <f>K16/$K$85</f>
        <v>#REF!</v>
      </c>
      <c r="P16" s="290">
        <v>1944170959.1038313</v>
      </c>
    </row>
    <row r="17" spans="2:16" s="345" customFormat="1" ht="15.75">
      <c r="B17" s="346"/>
      <c r="C17" s="284" t="e">
        <f>#REF!+1</f>
        <v>#REF!</v>
      </c>
      <c r="D17" s="285" t="s">
        <v>89</v>
      </c>
      <c r="E17" s="286" t="s">
        <v>438</v>
      </c>
      <c r="F17" s="291"/>
      <c r="G17" s="287" t="s">
        <v>129</v>
      </c>
      <c r="H17" s="292" t="s">
        <v>111</v>
      </c>
      <c r="I17" s="288" t="e">
        <f>ROUND(#REF!,0)</f>
        <v>#REF!</v>
      </c>
      <c r="J17" s="289">
        <f>'220.1'!N81</f>
        <v>7819</v>
      </c>
      <c r="K17" s="290" t="e">
        <f t="shared" si="0"/>
        <v>#REF!</v>
      </c>
      <c r="L17" s="349"/>
      <c r="M17" s="345" t="e">
        <f>#REF!+#REF!+#REF!+#REF!*1.3</f>
        <v>#REF!</v>
      </c>
      <c r="O17" s="1416" t="e">
        <f>K17/$K$85</f>
        <v>#REF!</v>
      </c>
      <c r="P17" s="290">
        <v>1719102383.1622639</v>
      </c>
    </row>
    <row r="18" spans="2:16" s="345" customFormat="1" ht="30" customHeight="1">
      <c r="B18" s="346"/>
      <c r="C18" s="284" t="e">
        <f>#REF!+1</f>
        <v>#REF!</v>
      </c>
      <c r="D18" s="285" t="s">
        <v>839</v>
      </c>
      <c r="E18" s="286"/>
      <c r="F18" s="285" t="s">
        <v>839</v>
      </c>
      <c r="G18" s="287" t="s">
        <v>1486</v>
      </c>
      <c r="H18" s="292" t="s">
        <v>111</v>
      </c>
      <c r="I18" s="288" t="e">
        <f>ROUND(I17*1.3,0)</f>
        <v>#REF!</v>
      </c>
      <c r="J18" s="289">
        <f>'220.1 P'!$N$81</f>
        <v>9240</v>
      </c>
      <c r="K18" s="290" t="e">
        <f t="shared" si="0"/>
        <v>#REF!</v>
      </c>
      <c r="L18" s="349"/>
      <c r="M18" s="1415"/>
    </row>
    <row r="19" spans="2:16" s="345" customFormat="1" ht="30" customHeight="1">
      <c r="B19" s="346"/>
      <c r="C19" s="1448" t="e">
        <f t="shared" ref="C19" si="2">C18+1</f>
        <v>#REF!</v>
      </c>
      <c r="D19" s="1455" t="s">
        <v>315</v>
      </c>
      <c r="E19" s="1455"/>
      <c r="F19" s="1455" t="s">
        <v>315</v>
      </c>
      <c r="G19" s="1456" t="s">
        <v>1487</v>
      </c>
      <c r="H19" s="1455" t="s">
        <v>111</v>
      </c>
      <c r="I19" s="1447" t="e">
        <f>I20*1.4</f>
        <v>#REF!</v>
      </c>
      <c r="J19" s="1453" t="e">
        <f>'221.1P'!$N$81</f>
        <v>#REF!</v>
      </c>
      <c r="K19" s="1454" t="e">
        <f t="shared" si="0"/>
        <v>#REF!</v>
      </c>
      <c r="L19" s="349"/>
    </row>
    <row r="20" spans="2:16" s="345" customFormat="1" ht="15.75">
      <c r="B20" s="346"/>
      <c r="C20" s="284" t="e">
        <f>#REF!+1</f>
        <v>#REF!</v>
      </c>
      <c r="D20" s="285" t="s">
        <v>539</v>
      </c>
      <c r="E20" s="286"/>
      <c r="F20" s="285" t="s">
        <v>539</v>
      </c>
      <c r="G20" s="287" t="s">
        <v>402</v>
      </c>
      <c r="H20" s="292" t="s">
        <v>111</v>
      </c>
      <c r="I20" s="288" t="e">
        <f>#REF!</f>
        <v>#REF!</v>
      </c>
      <c r="J20" s="289">
        <f>+'230.1P'!$N$81</f>
        <v>39475</v>
      </c>
      <c r="K20" s="290" t="e">
        <f t="shared" si="0"/>
        <v>#REF!</v>
      </c>
      <c r="L20" s="349"/>
      <c r="M20" s="345" t="e">
        <f>I20/(10000*18)</f>
        <v>#REF!</v>
      </c>
      <c r="P20" s="290">
        <v>37592100</v>
      </c>
    </row>
    <row r="21" spans="2:16" s="345" customFormat="1" thickBot="1">
      <c r="B21" s="346"/>
      <c r="C21" s="295" t="s">
        <v>170</v>
      </c>
      <c r="D21" s="296"/>
      <c r="E21" s="297"/>
      <c r="F21" s="297"/>
      <c r="G21" s="298"/>
      <c r="H21" s="299"/>
      <c r="I21" s="288"/>
      <c r="J21" s="300"/>
      <c r="K21" s="301" t="e">
        <f>ROUND(SUM(K14:K20),0)</f>
        <v>#REF!</v>
      </c>
      <c r="L21" s="349"/>
      <c r="P21" s="301">
        <v>6613600751</v>
      </c>
    </row>
    <row r="22" spans="2:16" s="345" customFormat="1" thickBot="1">
      <c r="B22" s="346"/>
      <c r="C22" s="281" t="s">
        <v>161</v>
      </c>
      <c r="D22" s="282"/>
      <c r="E22" s="282"/>
      <c r="F22" s="282"/>
      <c r="G22" s="282"/>
      <c r="H22" s="282"/>
      <c r="I22" s="282"/>
      <c r="J22" s="282"/>
      <c r="K22" s="283"/>
      <c r="L22" s="349"/>
      <c r="P22" s="283"/>
    </row>
    <row r="23" spans="2:16" s="345" customFormat="1" ht="15.75">
      <c r="B23" s="346"/>
      <c r="C23" s="309" t="e">
        <f>#REF!+1</f>
        <v>#REF!</v>
      </c>
      <c r="D23" s="401" t="s">
        <v>766</v>
      </c>
      <c r="E23" s="312"/>
      <c r="F23" s="401" t="s">
        <v>766</v>
      </c>
      <c r="G23" s="315" t="s">
        <v>1480</v>
      </c>
      <c r="H23" s="314" t="s">
        <v>111</v>
      </c>
      <c r="I23" s="288" t="e">
        <f>ROUND(#REF!,0)</f>
        <v>#REF!</v>
      </c>
      <c r="J23" s="310" t="e">
        <f>+#REF!</f>
        <v>#REF!</v>
      </c>
      <c r="K23" s="311" t="e">
        <f t="shared" ref="K23:K27" si="3">I23*J23</f>
        <v>#REF!</v>
      </c>
      <c r="L23" s="349"/>
      <c r="M23" s="345" t="e">
        <f>I23/(15000*11.85)</f>
        <v>#REF!</v>
      </c>
      <c r="O23" s="1416" t="e">
        <f>K23/$K$85</f>
        <v>#REF!</v>
      </c>
      <c r="P23" s="311">
        <v>9798634406.8979988</v>
      </c>
    </row>
    <row r="24" spans="2:16" s="345" customFormat="1" ht="15.75">
      <c r="B24" s="346"/>
      <c r="C24" s="309" t="e">
        <f>#REF!+1</f>
        <v>#REF!</v>
      </c>
      <c r="D24" s="293" t="s">
        <v>90</v>
      </c>
      <c r="E24" s="293" t="s">
        <v>445</v>
      </c>
      <c r="F24" s="293"/>
      <c r="G24" s="315" t="s">
        <v>408</v>
      </c>
      <c r="H24" s="293" t="s">
        <v>111</v>
      </c>
      <c r="I24" s="288"/>
      <c r="J24" s="289" t="e">
        <f>+#REF!</f>
        <v>#REF!</v>
      </c>
      <c r="K24" s="311" t="e">
        <f t="shared" si="3"/>
        <v>#REF!</v>
      </c>
      <c r="L24" s="349"/>
      <c r="M24" s="345">
        <f>(I24)/(14000*11.8)</f>
        <v>0</v>
      </c>
      <c r="O24" s="1416" t="e">
        <f>K24/$K$85</f>
        <v>#REF!</v>
      </c>
      <c r="P24" s="311">
        <v>7204025409.3199997</v>
      </c>
    </row>
    <row r="25" spans="2:16" s="345" customFormat="1" ht="15.75">
      <c r="B25" s="346"/>
      <c r="C25" s="309" t="e">
        <f t="shared" ref="C25:C27" si="4">C24+1</f>
        <v>#REF!</v>
      </c>
      <c r="D25" s="293" t="s">
        <v>662</v>
      </c>
      <c r="E25" s="293" t="s">
        <v>445</v>
      </c>
      <c r="F25" s="293"/>
      <c r="G25" s="315" t="s">
        <v>661</v>
      </c>
      <c r="H25" s="293" t="s">
        <v>111</v>
      </c>
      <c r="I25" s="288"/>
      <c r="J25" s="289" t="e">
        <f>#REF!</f>
        <v>#REF!</v>
      </c>
      <c r="K25" s="311" t="e">
        <f t="shared" si="3"/>
        <v>#REF!</v>
      </c>
      <c r="L25" s="349"/>
      <c r="O25" s="1416" t="e">
        <f>K25/$K$85</f>
        <v>#REF!</v>
      </c>
      <c r="P25" s="311">
        <v>0</v>
      </c>
    </row>
    <row r="26" spans="2:16" s="345" customFormat="1" ht="15.75">
      <c r="B26" s="346"/>
      <c r="C26" s="309" t="e">
        <f>#REF!+1</f>
        <v>#REF!</v>
      </c>
      <c r="D26" s="293" t="s">
        <v>1340</v>
      </c>
      <c r="E26" s="293" t="s">
        <v>725</v>
      </c>
      <c r="F26" s="293"/>
      <c r="G26" s="315" t="s">
        <v>1339</v>
      </c>
      <c r="H26" s="293" t="s">
        <v>111</v>
      </c>
      <c r="I26" s="288" t="e">
        <f>ROUND(#REF!,0)</f>
        <v>#REF!</v>
      </c>
      <c r="J26" s="289">
        <f>'351.10'!N78</f>
        <v>148138</v>
      </c>
      <c r="K26" s="311" t="e">
        <f t="shared" si="3"/>
        <v>#REF!</v>
      </c>
      <c r="L26" s="349"/>
      <c r="M26" s="345" t="e">
        <f>I26/(15000*11.8)</f>
        <v>#REF!</v>
      </c>
      <c r="O26" s="1416" t="e">
        <f>K26/$K$85</f>
        <v>#REF!</v>
      </c>
      <c r="P26" s="311">
        <v>351828086.39999998</v>
      </c>
    </row>
    <row r="27" spans="2:16" s="345" customFormat="1" ht="15.75">
      <c r="B27" s="346"/>
      <c r="C27" s="309" t="e">
        <f t="shared" si="4"/>
        <v>#REF!</v>
      </c>
      <c r="D27" s="329">
        <v>351.12</v>
      </c>
      <c r="E27" s="329" t="s">
        <v>725</v>
      </c>
      <c r="F27" s="329"/>
      <c r="G27" s="343" t="s">
        <v>1341</v>
      </c>
      <c r="H27" s="329" t="s">
        <v>79</v>
      </c>
      <c r="I27" s="288" t="e">
        <f>ROUND(#REF!,0)</f>
        <v>#REF!</v>
      </c>
      <c r="J27" s="289">
        <f>'351.12'!$N$77</f>
        <v>691</v>
      </c>
      <c r="K27" s="290" t="e">
        <f t="shared" si="3"/>
        <v>#REF!</v>
      </c>
      <c r="L27" s="349"/>
      <c r="O27" s="1416" t="e">
        <f>K27/$K$85</f>
        <v>#REF!</v>
      </c>
      <c r="P27" s="290">
        <v>154297765.72156802</v>
      </c>
    </row>
    <row r="28" spans="2:16" s="345" customFormat="1" thickBot="1">
      <c r="B28" s="346"/>
      <c r="C28" s="295" t="s">
        <v>170</v>
      </c>
      <c r="D28" s="316"/>
      <c r="E28" s="316"/>
      <c r="F28" s="316"/>
      <c r="G28" s="317"/>
      <c r="H28" s="316"/>
      <c r="I28" s="288"/>
      <c r="J28" s="300"/>
      <c r="K28" s="301" t="e">
        <f>ROUND(SUM(K23:K27),0)</f>
        <v>#REF!</v>
      </c>
      <c r="L28" s="349"/>
      <c r="P28" s="301">
        <v>17508785668</v>
      </c>
    </row>
    <row r="29" spans="2:16" s="345" customFormat="1" thickBot="1">
      <c r="B29" s="346"/>
      <c r="C29" s="281" t="s">
        <v>297</v>
      </c>
      <c r="D29" s="282"/>
      <c r="E29" s="282"/>
      <c r="F29" s="282"/>
      <c r="G29" s="282"/>
      <c r="H29" s="282"/>
      <c r="I29" s="282"/>
      <c r="J29" s="282"/>
      <c r="K29" s="283"/>
      <c r="L29" s="349"/>
      <c r="P29" s="283"/>
    </row>
    <row r="30" spans="2:16" s="345" customFormat="1" ht="15.75">
      <c r="B30" s="346"/>
      <c r="C30" s="309" t="e">
        <f>#REF!+1</f>
        <v>#REF!</v>
      </c>
      <c r="D30" s="293" t="s">
        <v>411</v>
      </c>
      <c r="E30" s="293" t="s">
        <v>447</v>
      </c>
      <c r="F30" s="293"/>
      <c r="G30" s="318" t="s">
        <v>410</v>
      </c>
      <c r="H30" s="293" t="s">
        <v>28</v>
      </c>
      <c r="I30" s="288" t="e">
        <f>ROUND((#REF!+#REF!*1000)*11.5,0)</f>
        <v>#REF!</v>
      </c>
      <c r="J30" s="289">
        <f>+'420.2'!N77</f>
        <v>2946</v>
      </c>
      <c r="K30" s="290" t="e">
        <f>I30*J30</f>
        <v>#REF!</v>
      </c>
      <c r="L30" s="349"/>
      <c r="M30" s="345">
        <f>14000*10.8</f>
        <v>151200</v>
      </c>
      <c r="O30" s="1416" t="e">
        <f>K30/$K$85</f>
        <v>#REF!</v>
      </c>
      <c r="P30" s="290">
        <v>458600877.99500006</v>
      </c>
    </row>
    <row r="31" spans="2:16" s="345" customFormat="1" ht="15.75">
      <c r="B31" s="346"/>
      <c r="C31" s="309" t="e">
        <f t="shared" ref="C31:C38" si="5">C30+1</f>
        <v>#REF!</v>
      </c>
      <c r="D31" s="329" t="s">
        <v>325</v>
      </c>
      <c r="E31" s="329" t="s">
        <v>448</v>
      </c>
      <c r="F31" s="329"/>
      <c r="G31" s="343" t="s">
        <v>326</v>
      </c>
      <c r="H31" s="329" t="s">
        <v>28</v>
      </c>
      <c r="I31" s="288"/>
      <c r="J31" s="289">
        <f>'421.1'!N77</f>
        <v>1819</v>
      </c>
      <c r="K31" s="290">
        <f t="shared" ref="K31:K38" si="6">I31*J31</f>
        <v>0</v>
      </c>
      <c r="L31" s="349"/>
      <c r="O31" s="1416" t="e">
        <f>K31/$K$85</f>
        <v>#REF!</v>
      </c>
      <c r="P31" s="290">
        <v>297437132.23680001</v>
      </c>
    </row>
    <row r="32" spans="2:16" s="345" customFormat="1" ht="15.75">
      <c r="B32" s="346"/>
      <c r="C32" s="309" t="e">
        <f>#REF!+1</f>
        <v>#REF!</v>
      </c>
      <c r="D32" s="329" t="s">
        <v>605</v>
      </c>
      <c r="E32" s="329"/>
      <c r="F32" s="329" t="s">
        <v>605</v>
      </c>
      <c r="G32" s="343" t="s">
        <v>412</v>
      </c>
      <c r="H32" s="329" t="s">
        <v>111</v>
      </c>
      <c r="I32" s="288"/>
      <c r="J32" s="289">
        <f>'450.2P'!N78</f>
        <v>698453</v>
      </c>
      <c r="K32" s="290">
        <f t="shared" si="6"/>
        <v>0</v>
      </c>
      <c r="L32" s="349"/>
      <c r="O32" s="1416" t="e">
        <f>K32/$K$85</f>
        <v>#REF!</v>
      </c>
      <c r="P32" s="290">
        <v>83724375.672000006</v>
      </c>
    </row>
    <row r="33" spans="2:16" s="345" customFormat="1" ht="31.5">
      <c r="B33" s="346"/>
      <c r="C33" s="309" t="e">
        <f>#REF!+1</f>
        <v>#REF!</v>
      </c>
      <c r="D33" s="293" t="s">
        <v>728</v>
      </c>
      <c r="E33" s="293"/>
      <c r="F33" s="293" t="s">
        <v>728</v>
      </c>
      <c r="G33" s="315" t="s">
        <v>1342</v>
      </c>
      <c r="H33" s="293" t="s">
        <v>111</v>
      </c>
      <c r="I33" s="288" t="e">
        <f>ROUND(#REF!,0)-1887</f>
        <v>#REF!</v>
      </c>
      <c r="J33" s="289">
        <f>'450.2.1P'!N78</f>
        <v>808073</v>
      </c>
      <c r="K33" s="290" t="e">
        <f t="shared" si="6"/>
        <v>#REF!</v>
      </c>
      <c r="L33" s="349"/>
      <c r="M33" s="345" t="e">
        <f>I33/(15000*11.8)</f>
        <v>#REF!</v>
      </c>
      <c r="O33" s="1416" t="e">
        <f>K33/$K$85</f>
        <v>#REF!</v>
      </c>
      <c r="P33" s="290">
        <v>19644838540.740002</v>
      </c>
    </row>
    <row r="34" spans="2:16" s="345" customFormat="1" ht="15.75">
      <c r="B34" s="346"/>
      <c r="C34" s="309" t="e">
        <f>#REF!+1</f>
        <v>#REF!</v>
      </c>
      <c r="D34" s="293" t="s">
        <v>487</v>
      </c>
      <c r="E34" s="293"/>
      <c r="F34" s="293" t="s">
        <v>487</v>
      </c>
      <c r="G34" s="318" t="s">
        <v>486</v>
      </c>
      <c r="H34" s="293" t="s">
        <v>111</v>
      </c>
      <c r="I34" s="288"/>
      <c r="J34" s="289">
        <f>'450.9 P'!N78</f>
        <v>746617</v>
      </c>
      <c r="K34" s="290">
        <f t="shared" si="6"/>
        <v>0</v>
      </c>
      <c r="L34" s="349"/>
      <c r="P34" s="290">
        <v>0</v>
      </c>
    </row>
    <row r="35" spans="2:16" s="345" customFormat="1" ht="15.75">
      <c r="B35" s="346"/>
      <c r="C35" s="309" t="e">
        <f>#REF!+1</f>
        <v>#REF!</v>
      </c>
      <c r="D35" s="329" t="s">
        <v>330</v>
      </c>
      <c r="E35" s="329"/>
      <c r="F35" s="329" t="s">
        <v>330</v>
      </c>
      <c r="G35" s="343" t="s">
        <v>331</v>
      </c>
      <c r="H35" s="329" t="s">
        <v>111</v>
      </c>
      <c r="I35" s="288"/>
      <c r="J35" s="289">
        <f>'460.1P'!N78</f>
        <v>48963</v>
      </c>
      <c r="K35" s="290">
        <f t="shared" si="6"/>
        <v>0</v>
      </c>
      <c r="L35" s="349"/>
      <c r="P35" s="290">
        <v>0</v>
      </c>
    </row>
    <row r="36" spans="2:16" s="345" customFormat="1" ht="31.5">
      <c r="B36" s="346"/>
      <c r="C36" s="309" t="e">
        <f>#REF!+1</f>
        <v>#REF!</v>
      </c>
      <c r="D36" s="329" t="s">
        <v>414</v>
      </c>
      <c r="E36" s="286" t="s">
        <v>449</v>
      </c>
      <c r="F36" s="286"/>
      <c r="G36" s="343" t="s">
        <v>599</v>
      </c>
      <c r="H36" s="386" t="s">
        <v>111</v>
      </c>
      <c r="I36" s="288"/>
      <c r="J36" s="289" t="e">
        <f>#REF!</f>
        <v>#REF!</v>
      </c>
      <c r="K36" s="290" t="e">
        <f t="shared" si="6"/>
        <v>#REF!</v>
      </c>
      <c r="L36" s="349"/>
      <c r="P36" s="290">
        <v>0</v>
      </c>
    </row>
    <row r="37" spans="2:16" s="345" customFormat="1" ht="15.75">
      <c r="B37" s="346"/>
      <c r="C37" s="309" t="e">
        <f t="shared" si="5"/>
        <v>#REF!</v>
      </c>
      <c r="D37" s="329" t="s">
        <v>613</v>
      </c>
      <c r="E37" s="329" t="s">
        <v>614</v>
      </c>
      <c r="F37" s="329"/>
      <c r="G37" s="348" t="s">
        <v>615</v>
      </c>
      <c r="H37" s="329" t="s">
        <v>81</v>
      </c>
      <c r="I37" s="288"/>
      <c r="J37" s="289">
        <f>'466.1P'!N79</f>
        <v>3806</v>
      </c>
      <c r="K37" s="290">
        <f t="shared" si="6"/>
        <v>0</v>
      </c>
      <c r="L37" s="349"/>
      <c r="P37" s="290">
        <v>0</v>
      </c>
    </row>
    <row r="38" spans="2:16" s="345" customFormat="1" ht="31.5">
      <c r="B38" s="346"/>
      <c r="C38" s="309" t="e">
        <f t="shared" si="5"/>
        <v>#REF!</v>
      </c>
      <c r="D38" s="347" t="s">
        <v>616</v>
      </c>
      <c r="E38" s="347"/>
      <c r="F38" s="347" t="s">
        <v>616</v>
      </c>
      <c r="G38" s="344" t="s">
        <v>617</v>
      </c>
      <c r="H38" s="347" t="s">
        <v>111</v>
      </c>
      <c r="I38" s="288">
        <v>1887</v>
      </c>
      <c r="J38" s="289" t="e">
        <f>#REF!</f>
        <v>#REF!</v>
      </c>
      <c r="K38" s="290" t="e">
        <f t="shared" si="6"/>
        <v>#REF!</v>
      </c>
      <c r="L38" s="349"/>
      <c r="P38" s="290">
        <v>1922833068</v>
      </c>
    </row>
    <row r="39" spans="2:16" s="345" customFormat="1" thickBot="1">
      <c r="B39" s="346"/>
      <c r="C39" s="295" t="s">
        <v>170</v>
      </c>
      <c r="D39" s="319"/>
      <c r="E39" s="320"/>
      <c r="F39" s="319"/>
      <c r="G39" s="319"/>
      <c r="H39" s="319"/>
      <c r="I39" s="288"/>
      <c r="J39" s="319"/>
      <c r="K39" s="301" t="e">
        <f>ROUND(SUM(K30:K38),0)</f>
        <v>#REF!</v>
      </c>
      <c r="L39" s="349"/>
      <c r="P39" s="301">
        <v>22407433995</v>
      </c>
    </row>
    <row r="40" spans="2:16" s="345" customFormat="1" thickBot="1">
      <c r="B40" s="346"/>
      <c r="C40" s="281" t="s">
        <v>164</v>
      </c>
      <c r="D40" s="282"/>
      <c r="E40" s="282"/>
      <c r="F40" s="282"/>
      <c r="G40" s="282"/>
      <c r="H40" s="282"/>
      <c r="I40" s="282"/>
      <c r="J40" s="282"/>
      <c r="K40" s="283"/>
      <c r="L40" s="349"/>
      <c r="P40" s="283"/>
    </row>
    <row r="41" spans="2:16" s="345" customFormat="1" ht="15.75">
      <c r="B41" s="346"/>
      <c r="C41" s="302" t="e">
        <f>C37+1</f>
        <v>#REF!</v>
      </c>
      <c r="D41" s="285" t="s">
        <v>415</v>
      </c>
      <c r="E41" s="285" t="s">
        <v>451</v>
      </c>
      <c r="F41" s="285"/>
      <c r="G41" s="287" t="s">
        <v>130</v>
      </c>
      <c r="H41" s="285" t="s">
        <v>111</v>
      </c>
      <c r="I41" s="288" t="e">
        <f>ROUND(#REF!+#REF!+#REF!,0)</f>
        <v>#REF!</v>
      </c>
      <c r="J41" s="289">
        <f>+'600.1.1'!N79</f>
        <v>14489</v>
      </c>
      <c r="K41" s="290" t="e">
        <f t="shared" ref="K41:K59" si="7">I41*J41</f>
        <v>#REF!</v>
      </c>
      <c r="L41" s="349"/>
      <c r="O41" s="1416" t="e">
        <f t="shared" ref="O41:O48" si="8">K41/$K$85</f>
        <v>#REF!</v>
      </c>
      <c r="P41" s="290">
        <v>131804487.06126001</v>
      </c>
    </row>
    <row r="42" spans="2:16" s="345" customFormat="1" ht="15.75">
      <c r="B42" s="346"/>
      <c r="C42" s="309" t="e">
        <f>C41+1</f>
        <v>#REF!</v>
      </c>
      <c r="D42" s="285" t="s">
        <v>416</v>
      </c>
      <c r="E42" s="285" t="s">
        <v>451</v>
      </c>
      <c r="F42" s="285"/>
      <c r="G42" s="287" t="s">
        <v>153</v>
      </c>
      <c r="H42" s="285" t="s">
        <v>111</v>
      </c>
      <c r="I42" s="288" t="e">
        <f>I41*0.1</f>
        <v>#REF!</v>
      </c>
      <c r="J42" s="289">
        <f>+'600.2.1'!N83</f>
        <v>53717</v>
      </c>
      <c r="K42" s="290" t="e">
        <f t="shared" si="7"/>
        <v>#REF!</v>
      </c>
      <c r="L42" s="349"/>
      <c r="O42" s="1416" t="e">
        <f t="shared" si="8"/>
        <v>#REF!</v>
      </c>
      <c r="P42" s="290">
        <v>0</v>
      </c>
    </row>
    <row r="43" spans="2:16" s="345" customFormat="1" ht="15.75">
      <c r="B43" s="346"/>
      <c r="C43" s="309" t="e">
        <f>#REF!+1</f>
        <v>#REF!</v>
      </c>
      <c r="D43" s="285" t="s">
        <v>417</v>
      </c>
      <c r="E43" s="285" t="s">
        <v>451</v>
      </c>
      <c r="F43" s="285"/>
      <c r="G43" s="287" t="s">
        <v>165</v>
      </c>
      <c r="H43" s="285" t="s">
        <v>111</v>
      </c>
      <c r="I43" s="288" t="e">
        <f>ROUND(#REF!,0)</f>
        <v>#REF!</v>
      </c>
      <c r="J43" s="289">
        <f>+'600.2.3'!N82</f>
        <v>13139</v>
      </c>
      <c r="K43" s="290" t="e">
        <f t="shared" si="7"/>
        <v>#REF!</v>
      </c>
      <c r="L43" s="349"/>
      <c r="O43" s="1416" t="e">
        <f t="shared" si="8"/>
        <v>#REF!</v>
      </c>
      <c r="P43" s="290">
        <v>43003516.894630477</v>
      </c>
    </row>
    <row r="44" spans="2:16" s="345" customFormat="1" ht="15.75">
      <c r="B44" s="346"/>
      <c r="C44" s="309" t="e">
        <f>#REF!+1</f>
        <v>#REF!</v>
      </c>
      <c r="D44" s="285" t="s">
        <v>92</v>
      </c>
      <c r="E44" s="285" t="s">
        <v>452</v>
      </c>
      <c r="F44" s="286"/>
      <c r="G44" s="287" t="s">
        <v>1473</v>
      </c>
      <c r="H44" s="292" t="s">
        <v>111</v>
      </c>
      <c r="I44" s="288" t="e">
        <f>#REF!+#REF!+#REF!+#REF!+#REF!+#REF!</f>
        <v>#REF!</v>
      </c>
      <c r="J44" s="289">
        <f>'610.1'!N81</f>
        <v>31198</v>
      </c>
      <c r="K44" s="290" t="e">
        <f t="shared" si="7"/>
        <v>#REF!</v>
      </c>
      <c r="L44" s="349"/>
      <c r="O44" s="1416" t="e">
        <f t="shared" si="8"/>
        <v>#REF!</v>
      </c>
      <c r="P44" s="290">
        <v>140678024.18694428</v>
      </c>
    </row>
    <row r="45" spans="2:16" s="345" customFormat="1" ht="15.75">
      <c r="B45" s="346"/>
      <c r="C45" s="309" t="e">
        <f>#REF!+1</f>
        <v>#REF!</v>
      </c>
      <c r="D45" s="347" t="s">
        <v>621</v>
      </c>
      <c r="E45" s="347" t="s">
        <v>452</v>
      </c>
      <c r="F45" s="286"/>
      <c r="G45" s="344" t="s">
        <v>622</v>
      </c>
      <c r="H45" s="350" t="s">
        <v>111</v>
      </c>
      <c r="I45" s="288">
        <f>(14000/200)*1.5*12*1</f>
        <v>1260</v>
      </c>
      <c r="J45" s="289">
        <f>'610.3'!N82</f>
        <v>158985</v>
      </c>
      <c r="K45" s="290">
        <f t="shared" si="7"/>
        <v>200321100</v>
      </c>
      <c r="L45" s="349"/>
      <c r="M45" s="345">
        <f>(14000/200)</f>
        <v>70</v>
      </c>
      <c r="O45" s="1416" t="e">
        <f t="shared" si="8"/>
        <v>#REF!</v>
      </c>
      <c r="P45" s="290">
        <v>230866020</v>
      </c>
    </row>
    <row r="46" spans="2:16" s="345" customFormat="1" ht="15.75">
      <c r="B46" s="346"/>
      <c r="C46" s="309" t="e">
        <f>#REF!+1</f>
        <v>#REF!</v>
      </c>
      <c r="D46" s="329" t="s">
        <v>346</v>
      </c>
      <c r="E46" s="329" t="s">
        <v>453</v>
      </c>
      <c r="F46" s="286"/>
      <c r="G46" s="343" t="s">
        <v>640</v>
      </c>
      <c r="H46" s="386" t="s">
        <v>111</v>
      </c>
      <c r="I46" s="288"/>
      <c r="J46" s="289" t="e">
        <f>#REF!</f>
        <v>#REF!</v>
      </c>
      <c r="K46" s="290" t="e">
        <f t="shared" si="7"/>
        <v>#REF!</v>
      </c>
      <c r="L46" s="349"/>
      <c r="O46" s="1416" t="e">
        <f t="shared" si="8"/>
        <v>#REF!</v>
      </c>
      <c r="P46" s="290">
        <v>0</v>
      </c>
    </row>
    <row r="47" spans="2:16" s="345" customFormat="1" ht="15.75">
      <c r="B47" s="346"/>
      <c r="C47" s="309" t="e">
        <f t="shared" ref="C47" si="9">C46+1</f>
        <v>#REF!</v>
      </c>
      <c r="D47" s="329" t="s">
        <v>401</v>
      </c>
      <c r="E47" s="329"/>
      <c r="F47" s="329" t="s">
        <v>401</v>
      </c>
      <c r="G47" s="343" t="s">
        <v>641</v>
      </c>
      <c r="H47" s="329" t="s">
        <v>111</v>
      </c>
      <c r="I47" s="288" t="e">
        <f>#REF!</f>
        <v>#REF!</v>
      </c>
      <c r="J47" s="289">
        <f>'630.1.1P'!N81</f>
        <v>1012343</v>
      </c>
      <c r="K47" s="290" t="e">
        <f t="shared" si="7"/>
        <v>#REF!</v>
      </c>
      <c r="L47" s="349"/>
      <c r="O47" s="1416" t="e">
        <f t="shared" si="8"/>
        <v>#REF!</v>
      </c>
      <c r="P47" s="290">
        <v>0</v>
      </c>
    </row>
    <row r="48" spans="2:16" s="345" customFormat="1" ht="15.75">
      <c r="B48" s="346"/>
      <c r="C48" s="309" t="e">
        <f>#REF!+1</f>
        <v>#REF!</v>
      </c>
      <c r="D48" s="329" t="s">
        <v>93</v>
      </c>
      <c r="E48" s="329" t="s">
        <v>453</v>
      </c>
      <c r="F48" s="329"/>
      <c r="G48" s="287" t="s">
        <v>644</v>
      </c>
      <c r="H48" s="285" t="s">
        <v>111</v>
      </c>
      <c r="I48" s="288"/>
      <c r="J48" s="289" t="e">
        <f>+#REF!</f>
        <v>#REF!</v>
      </c>
      <c r="K48" s="290" t="e">
        <f t="shared" si="7"/>
        <v>#REF!</v>
      </c>
      <c r="L48" s="349"/>
      <c r="O48" s="1416" t="e">
        <f t="shared" si="8"/>
        <v>#REF!</v>
      </c>
      <c r="P48" s="290">
        <v>0</v>
      </c>
    </row>
    <row r="49" spans="2:16" s="345" customFormat="1" ht="30" customHeight="1">
      <c r="B49" s="346"/>
      <c r="C49" s="309" t="e">
        <f t="shared" ref="C49" si="10">C48+1</f>
        <v>#REF!</v>
      </c>
      <c r="D49" s="329" t="s">
        <v>421</v>
      </c>
      <c r="E49" s="329"/>
      <c r="F49" s="329" t="s">
        <v>421</v>
      </c>
      <c r="G49" s="343" t="s">
        <v>1479</v>
      </c>
      <c r="H49" s="386" t="s">
        <v>111</v>
      </c>
      <c r="I49" s="288" t="e">
        <f>I51*0.35</f>
        <v>#REF!</v>
      </c>
      <c r="J49" s="289" t="e">
        <f>#REF!</f>
        <v>#REF!</v>
      </c>
      <c r="K49" s="290" t="e">
        <f t="shared" si="7"/>
        <v>#REF!</v>
      </c>
      <c r="L49" s="349"/>
    </row>
    <row r="50" spans="2:16" s="345" customFormat="1" ht="15.75">
      <c r="B50" s="346"/>
      <c r="C50" s="309" t="e">
        <f>#REF!+1</f>
        <v>#REF!</v>
      </c>
      <c r="D50" s="329" t="s">
        <v>424</v>
      </c>
      <c r="E50" s="329"/>
      <c r="F50" s="329" t="s">
        <v>424</v>
      </c>
      <c r="G50" s="343" t="s">
        <v>646</v>
      </c>
      <c r="H50" s="386" t="s">
        <v>111</v>
      </c>
      <c r="I50" s="288" t="e">
        <f>#REF!</f>
        <v>#REF!</v>
      </c>
      <c r="J50" s="289">
        <f>'630.3.4P'!N80</f>
        <v>815418</v>
      </c>
      <c r="K50" s="290" t="e">
        <f t="shared" si="7"/>
        <v>#REF!</v>
      </c>
      <c r="L50" s="349"/>
      <c r="O50" s="1416" t="e">
        <f t="shared" ref="O50:O59" si="11">K50/$K$85</f>
        <v>#REF!</v>
      </c>
      <c r="P50" s="290">
        <v>0</v>
      </c>
    </row>
    <row r="51" spans="2:16" s="345" customFormat="1" ht="15.75">
      <c r="B51" s="346"/>
      <c r="C51" s="309" t="e">
        <f>#REF!+1</f>
        <v>#REF!</v>
      </c>
      <c r="D51" s="329" t="s">
        <v>16</v>
      </c>
      <c r="E51" s="329" t="s">
        <v>453</v>
      </c>
      <c r="F51" s="329"/>
      <c r="G51" s="287" t="s">
        <v>639</v>
      </c>
      <c r="H51" s="285" t="s">
        <v>111</v>
      </c>
      <c r="I51" s="288" t="e">
        <f>(#REF!+#REF!+#REF!+#REF!+#REF!+6500)-1523</f>
        <v>#REF!</v>
      </c>
      <c r="J51" s="289">
        <f>+'630.4'!N81</f>
        <v>564214</v>
      </c>
      <c r="K51" s="290" t="e">
        <f t="shared" si="7"/>
        <v>#REF!</v>
      </c>
      <c r="L51" s="349"/>
      <c r="O51" s="1416" t="e">
        <f t="shared" si="11"/>
        <v>#REF!</v>
      </c>
      <c r="P51" s="290">
        <v>4153264425.8159819</v>
      </c>
    </row>
    <row r="52" spans="2:16" s="345" customFormat="1" ht="15.75">
      <c r="B52" s="346"/>
      <c r="C52" s="309" t="e">
        <f>#REF!+1</f>
        <v>#REF!</v>
      </c>
      <c r="D52" s="285" t="s">
        <v>110</v>
      </c>
      <c r="E52" s="285" t="s">
        <v>455</v>
      </c>
      <c r="F52" s="285"/>
      <c r="G52" s="287" t="s">
        <v>144</v>
      </c>
      <c r="H52" s="285" t="s">
        <v>79</v>
      </c>
      <c r="I52" s="288" t="e">
        <f>(#REF!+#REF!+#REF!+#REF!+#REF!)*1.3</f>
        <v>#REF!</v>
      </c>
      <c r="J52" s="289">
        <f>+'640.1'!N81</f>
        <v>4487</v>
      </c>
      <c r="K52" s="290" t="e">
        <f t="shared" si="7"/>
        <v>#REF!</v>
      </c>
      <c r="L52" s="349"/>
      <c r="M52" s="1417"/>
      <c r="N52" s="1417"/>
      <c r="O52" s="1416" t="e">
        <f t="shared" si="11"/>
        <v>#REF!</v>
      </c>
      <c r="P52" s="290">
        <v>1962409945.1669998</v>
      </c>
    </row>
    <row r="53" spans="2:16" s="345" customFormat="1" ht="15.75">
      <c r="B53" s="346"/>
      <c r="C53" s="309" t="e">
        <f>#REF!+1</f>
        <v>#REF!</v>
      </c>
      <c r="D53" s="329" t="s">
        <v>359</v>
      </c>
      <c r="E53" s="329" t="s">
        <v>458</v>
      </c>
      <c r="F53" s="392"/>
      <c r="G53" s="343" t="s">
        <v>360</v>
      </c>
      <c r="H53" s="329" t="s">
        <v>620</v>
      </c>
      <c r="I53" s="288">
        <v>155000</v>
      </c>
      <c r="J53" s="289" t="e">
        <f>#REF!</f>
        <v>#REF!</v>
      </c>
      <c r="K53" s="290" t="e">
        <f t="shared" si="7"/>
        <v>#REF!</v>
      </c>
      <c r="L53" s="349"/>
      <c r="O53" s="1416" t="e">
        <f t="shared" si="11"/>
        <v>#REF!</v>
      </c>
      <c r="P53" s="290">
        <v>0</v>
      </c>
    </row>
    <row r="54" spans="2:16" s="345" customFormat="1" ht="15.75">
      <c r="B54" s="346"/>
      <c r="C54" s="309" t="e">
        <f>#REF!+1</f>
        <v>#REF!</v>
      </c>
      <c r="D54" s="285" t="s">
        <v>94</v>
      </c>
      <c r="E54" s="285" t="s">
        <v>459</v>
      </c>
      <c r="F54" s="285"/>
      <c r="G54" s="287" t="s">
        <v>696</v>
      </c>
      <c r="H54" s="285" t="s">
        <v>81</v>
      </c>
      <c r="I54" s="288" t="e">
        <f>#REF!+#REF!+745</f>
        <v>#REF!</v>
      </c>
      <c r="J54" s="321">
        <f>+'661.1'!N85</f>
        <v>605897</v>
      </c>
      <c r="K54" s="290" t="e">
        <f t="shared" si="7"/>
        <v>#REF!</v>
      </c>
      <c r="L54" s="349"/>
      <c r="M54" s="345">
        <f>(14000/200)*14</f>
        <v>980</v>
      </c>
      <c r="O54" s="1416" t="e">
        <f t="shared" si="11"/>
        <v>#REF!</v>
      </c>
      <c r="P54" s="290">
        <v>593960829.10000002</v>
      </c>
    </row>
    <row r="55" spans="2:16" s="345" customFormat="1" ht="15.75">
      <c r="B55" s="346"/>
      <c r="C55" s="309" t="e">
        <f>#REF!+1</f>
        <v>#REF!</v>
      </c>
      <c r="D55" s="285" t="s">
        <v>300</v>
      </c>
      <c r="E55" s="285" t="s">
        <v>457</v>
      </c>
      <c r="F55" s="285"/>
      <c r="G55" s="287" t="s">
        <v>650</v>
      </c>
      <c r="H55" s="285" t="s">
        <v>111</v>
      </c>
      <c r="I55" s="288">
        <f>(11600+2400)*1.2*0.2</f>
        <v>3360</v>
      </c>
      <c r="J55" s="321">
        <f>+'671.1'!N80</f>
        <v>450699</v>
      </c>
      <c r="K55" s="290">
        <f t="shared" si="7"/>
        <v>1514348640</v>
      </c>
      <c r="L55" s="349"/>
      <c r="M55" s="1424" t="e">
        <f>#REF!</f>
        <v>#REF!</v>
      </c>
      <c r="N55" s="1424"/>
      <c r="O55" s="1416" t="e">
        <f t="shared" si="11"/>
        <v>#REF!</v>
      </c>
      <c r="P55" s="290">
        <v>958770061.20000017</v>
      </c>
    </row>
    <row r="56" spans="2:16" s="345" customFormat="1" ht="15.75">
      <c r="B56" s="346"/>
      <c r="C56" s="309" t="e">
        <f>#REF!+1</f>
        <v>#REF!</v>
      </c>
      <c r="D56" s="285" t="s">
        <v>95</v>
      </c>
      <c r="E56" s="293" t="s">
        <v>460</v>
      </c>
      <c r="F56" s="285"/>
      <c r="G56" s="344" t="s">
        <v>651</v>
      </c>
      <c r="H56" s="285" t="s">
        <v>28</v>
      </c>
      <c r="I56" s="288" t="e">
        <f>#REF!+17000</f>
        <v>#REF!</v>
      </c>
      <c r="J56" s="289">
        <f>+'673.1'!$N$79</f>
        <v>8890</v>
      </c>
      <c r="K56" s="290" t="e">
        <f t="shared" si="7"/>
        <v>#REF!</v>
      </c>
      <c r="L56" s="349"/>
      <c r="M56" s="1415">
        <f>(7000*2.8)-2520</f>
        <v>17080</v>
      </c>
      <c r="N56" s="1415"/>
      <c r="O56" s="1416" t="e">
        <f t="shared" si="11"/>
        <v>#REF!</v>
      </c>
      <c r="P56" s="290">
        <v>173532800</v>
      </c>
    </row>
    <row r="57" spans="2:16" s="345" customFormat="1" ht="15.75">
      <c r="B57" s="346"/>
      <c r="C57" s="309" t="e">
        <f>#REF!+1</f>
        <v>#REF!</v>
      </c>
      <c r="D57" s="285" t="s">
        <v>96</v>
      </c>
      <c r="E57" s="285" t="s">
        <v>460</v>
      </c>
      <c r="F57" s="285"/>
      <c r="G57" s="287" t="s">
        <v>544</v>
      </c>
      <c r="H57" s="292" t="s">
        <v>111</v>
      </c>
      <c r="I57" s="288" t="e">
        <f>#REF!+#REF!</f>
        <v>#REF!</v>
      </c>
      <c r="J57" s="289">
        <f>+'673.2'!N82</f>
        <v>123908</v>
      </c>
      <c r="K57" s="290" t="e">
        <f t="shared" si="7"/>
        <v>#REF!</v>
      </c>
      <c r="L57" s="349"/>
      <c r="M57" s="345">
        <f>7000*0.6*1</f>
        <v>4200</v>
      </c>
      <c r="O57" s="1416" t="e">
        <f t="shared" si="11"/>
        <v>#REF!</v>
      </c>
      <c r="P57" s="290">
        <v>540614300.02676785</v>
      </c>
    </row>
    <row r="58" spans="2:16" s="345" customFormat="1" ht="15.75">
      <c r="B58" s="346"/>
      <c r="C58" s="309" t="e">
        <f t="shared" ref="C58:C59" si="12">C57+1</f>
        <v>#REF!</v>
      </c>
      <c r="D58" s="285" t="s">
        <v>97</v>
      </c>
      <c r="E58" s="285" t="s">
        <v>460</v>
      </c>
      <c r="F58" s="285"/>
      <c r="G58" s="344" t="s">
        <v>600</v>
      </c>
      <c r="H58" s="285" t="s">
        <v>111</v>
      </c>
      <c r="I58" s="288">
        <f>7000*0.6*0.3</f>
        <v>1260</v>
      </c>
      <c r="J58" s="289">
        <f>+'673.3'!N82</f>
        <v>155966</v>
      </c>
      <c r="K58" s="290">
        <f t="shared" si="7"/>
        <v>196517160</v>
      </c>
      <c r="L58" s="349"/>
      <c r="O58" s="1416" t="e">
        <f t="shared" si="11"/>
        <v>#REF!</v>
      </c>
      <c r="P58" s="290">
        <v>220642380</v>
      </c>
    </row>
    <row r="59" spans="2:16" s="345" customFormat="1" ht="15.75">
      <c r="B59" s="346"/>
      <c r="C59" s="309" t="e">
        <f t="shared" si="12"/>
        <v>#REF!</v>
      </c>
      <c r="D59" s="329" t="s">
        <v>371</v>
      </c>
      <c r="E59" s="293" t="s">
        <v>460</v>
      </c>
      <c r="F59" s="329" t="s">
        <v>371</v>
      </c>
      <c r="G59" s="343" t="s">
        <v>372</v>
      </c>
      <c r="H59" s="329" t="s">
        <v>81</v>
      </c>
      <c r="I59" s="288" t="e">
        <f>#REF!+#REF!</f>
        <v>#REF!</v>
      </c>
      <c r="J59" s="289">
        <f>'673.3P'!N81</f>
        <v>145403</v>
      </c>
      <c r="K59" s="290" t="e">
        <f t="shared" si="7"/>
        <v>#REF!</v>
      </c>
      <c r="L59" s="349"/>
      <c r="O59" s="1416" t="e">
        <f t="shared" si="11"/>
        <v>#REF!</v>
      </c>
      <c r="P59" s="290">
        <v>1461686921.98</v>
      </c>
    </row>
    <row r="60" spans="2:16" s="345" customFormat="1" thickBot="1">
      <c r="B60" s="346"/>
      <c r="C60" s="322" t="s">
        <v>170</v>
      </c>
      <c r="D60" s="323"/>
      <c r="E60" s="323"/>
      <c r="F60" s="323"/>
      <c r="G60" s="324"/>
      <c r="H60" s="323"/>
      <c r="I60" s="288"/>
      <c r="J60" s="325"/>
      <c r="K60" s="326" t="e">
        <f>ROUND(SUM(K41:K59),0)</f>
        <v>#REF!</v>
      </c>
      <c r="L60" s="349"/>
      <c r="P60" s="326">
        <v>10611233711</v>
      </c>
    </row>
    <row r="61" spans="2:16" s="345" customFormat="1" thickBot="1">
      <c r="B61" s="346"/>
      <c r="C61" s="281" t="s">
        <v>166</v>
      </c>
      <c r="D61" s="282"/>
      <c r="E61" s="282"/>
      <c r="F61" s="282"/>
      <c r="G61" s="282"/>
      <c r="H61" s="282"/>
      <c r="I61" s="282"/>
      <c r="J61" s="282"/>
      <c r="K61" s="283"/>
      <c r="L61" s="349"/>
      <c r="P61" s="283"/>
    </row>
    <row r="62" spans="2:16" s="345" customFormat="1" ht="31.5">
      <c r="B62" s="346"/>
      <c r="C62" s="302" t="e">
        <f>#REF!+1</f>
        <v>#REF!</v>
      </c>
      <c r="D62" s="347" t="s">
        <v>140</v>
      </c>
      <c r="E62" s="1502" t="s">
        <v>652</v>
      </c>
      <c r="F62" s="1503"/>
      <c r="G62" s="344" t="s">
        <v>653</v>
      </c>
      <c r="H62" s="285" t="s">
        <v>81</v>
      </c>
      <c r="I62" s="288" t="e">
        <f>(#REF!+#REF!+#REF!)*1000*9</f>
        <v>#REF!</v>
      </c>
      <c r="J62" s="289">
        <f>+'1p.'!N82</f>
        <v>1626</v>
      </c>
      <c r="K62" s="290" t="e">
        <f t="shared" ref="K62:K72" si="13">I62*J62</f>
        <v>#REF!</v>
      </c>
      <c r="L62" s="349"/>
      <c r="O62" s="1416" t="e">
        <f t="shared" ref="O62:O72" si="14">K62/$K$85</f>
        <v>#REF!</v>
      </c>
      <c r="P62" s="290">
        <v>145467081.89999998</v>
      </c>
    </row>
    <row r="63" spans="2:16" s="345" customFormat="1" ht="31.5">
      <c r="B63" s="346"/>
      <c r="C63" s="309" t="e">
        <f>C62+1</f>
        <v>#REF!</v>
      </c>
      <c r="D63" s="347" t="s">
        <v>148</v>
      </c>
      <c r="E63" s="1504" t="s">
        <v>652</v>
      </c>
      <c r="F63" s="1505"/>
      <c r="G63" s="344" t="s">
        <v>654</v>
      </c>
      <c r="H63" s="285" t="s">
        <v>28</v>
      </c>
      <c r="I63" s="288"/>
      <c r="J63" s="289">
        <f>+'2p.'!N82</f>
        <v>21350</v>
      </c>
      <c r="K63" s="290">
        <f t="shared" si="13"/>
        <v>0</v>
      </c>
      <c r="L63" s="349"/>
      <c r="O63" s="1416" t="e">
        <f t="shared" si="14"/>
        <v>#REF!</v>
      </c>
      <c r="P63" s="290">
        <v>0</v>
      </c>
    </row>
    <row r="64" spans="2:16" s="345" customFormat="1" ht="15.75">
      <c r="B64" s="346"/>
      <c r="C64" s="309" t="e">
        <f>#REF!+1</f>
        <v>#REF!</v>
      </c>
      <c r="D64" s="347" t="s">
        <v>387</v>
      </c>
      <c r="E64" s="1504" t="s">
        <v>652</v>
      </c>
      <c r="F64" s="1505"/>
      <c r="G64" s="344" t="s">
        <v>655</v>
      </c>
      <c r="H64" s="285" t="s">
        <v>82</v>
      </c>
      <c r="I64" s="288" t="e">
        <f>(#REF!+#REF!+#REF!)*1000/2*3</f>
        <v>#REF!</v>
      </c>
      <c r="J64" s="289">
        <f>+'4p.'!N82</f>
        <v>6870</v>
      </c>
      <c r="K64" s="290" t="e">
        <f t="shared" si="13"/>
        <v>#REF!</v>
      </c>
      <c r="L64" s="349"/>
      <c r="O64" s="1416" t="e">
        <f t="shared" si="14"/>
        <v>#REF!</v>
      </c>
      <c r="P64" s="290">
        <v>97011270</v>
      </c>
    </row>
    <row r="65" spans="2:16" s="345" customFormat="1" ht="31.5">
      <c r="B65" s="346"/>
      <c r="C65" s="309" t="e">
        <f t="shared" ref="C65:C71" si="15">C64+1</f>
        <v>#REF!</v>
      </c>
      <c r="D65" s="347" t="s">
        <v>388</v>
      </c>
      <c r="E65" s="1506" t="s">
        <v>652</v>
      </c>
      <c r="F65" s="1507"/>
      <c r="G65" s="344" t="s">
        <v>656</v>
      </c>
      <c r="H65" s="285" t="s">
        <v>82</v>
      </c>
      <c r="I65" s="288" t="e">
        <f>(#REF!+#REF!+#REF!)*1000/50*2</f>
        <v>#REF!</v>
      </c>
      <c r="J65" s="289">
        <f>+'5p.'!N82</f>
        <v>309131</v>
      </c>
      <c r="K65" s="290" t="e">
        <f t="shared" si="13"/>
        <v>#REF!</v>
      </c>
      <c r="L65" s="349"/>
      <c r="O65" s="1416" t="e">
        <f t="shared" si="14"/>
        <v>#REF!</v>
      </c>
      <c r="P65" s="290">
        <v>12375200</v>
      </c>
    </row>
    <row r="66" spans="2:16" s="345" customFormat="1" ht="31.5">
      <c r="B66" s="346"/>
      <c r="C66" s="309" t="e">
        <f t="shared" si="15"/>
        <v>#REF!</v>
      </c>
      <c r="D66" s="327" t="s">
        <v>389</v>
      </c>
      <c r="E66" s="1504" t="s">
        <v>652</v>
      </c>
      <c r="F66" s="1505"/>
      <c r="G66" s="344" t="s">
        <v>657</v>
      </c>
      <c r="H66" s="329" t="s">
        <v>82</v>
      </c>
      <c r="I66" s="288"/>
      <c r="J66" s="289" t="e">
        <f>+#REF!</f>
        <v>#REF!</v>
      </c>
      <c r="K66" s="290" t="e">
        <f t="shared" si="13"/>
        <v>#REF!</v>
      </c>
      <c r="L66" s="349"/>
      <c r="O66" s="1416" t="e">
        <f t="shared" si="14"/>
        <v>#REF!</v>
      </c>
      <c r="P66" s="290">
        <v>0</v>
      </c>
    </row>
    <row r="67" spans="2:16" s="345" customFormat="1" ht="31.5">
      <c r="B67" s="346"/>
      <c r="C67" s="309" t="e">
        <f t="shared" si="15"/>
        <v>#REF!</v>
      </c>
      <c r="D67" s="327" t="s">
        <v>711</v>
      </c>
      <c r="E67" s="1504" t="s">
        <v>652</v>
      </c>
      <c r="F67" s="1505"/>
      <c r="G67" s="344" t="s">
        <v>710</v>
      </c>
      <c r="H67" s="329" t="s">
        <v>82</v>
      </c>
      <c r="I67" s="288" t="e">
        <f>(#REF!+#REF!+#REF!)*1000/100*2</f>
        <v>#REF!</v>
      </c>
      <c r="J67" s="289" t="e">
        <f>#REF!</f>
        <v>#REF!</v>
      </c>
      <c r="K67" s="290" t="e">
        <f t="shared" si="13"/>
        <v>#REF!</v>
      </c>
      <c r="L67" s="349"/>
      <c r="O67" s="1416" t="e">
        <f t="shared" si="14"/>
        <v>#REF!</v>
      </c>
      <c r="P67" s="290">
        <v>28730318</v>
      </c>
    </row>
    <row r="68" spans="2:16" s="345" customFormat="1" ht="15.75">
      <c r="B68" s="346"/>
      <c r="C68" s="309" t="e">
        <f>C66+1</f>
        <v>#REF!</v>
      </c>
      <c r="D68" s="327" t="s">
        <v>671</v>
      </c>
      <c r="E68" s="1504" t="s">
        <v>652</v>
      </c>
      <c r="F68" s="1505"/>
      <c r="G68" s="328" t="s">
        <v>545</v>
      </c>
      <c r="H68" s="329" t="s">
        <v>28</v>
      </c>
      <c r="I68" s="288" t="e">
        <f>#REF!+#REF!</f>
        <v>#REF!</v>
      </c>
      <c r="J68" s="289">
        <f>'7p.'!N82</f>
        <v>434267</v>
      </c>
      <c r="K68" s="290" t="e">
        <f t="shared" si="13"/>
        <v>#REF!</v>
      </c>
      <c r="L68" s="349"/>
      <c r="O68" s="1416" t="e">
        <f t="shared" si="14"/>
        <v>#REF!</v>
      </c>
      <c r="P68" s="290">
        <v>6952256</v>
      </c>
    </row>
    <row r="69" spans="2:16" s="345" customFormat="1" ht="15.75">
      <c r="B69" s="346"/>
      <c r="C69" s="309" t="e">
        <f>#REF!+1</f>
        <v>#REF!</v>
      </c>
      <c r="D69" s="330" t="s">
        <v>99</v>
      </c>
      <c r="E69" s="330" t="s">
        <v>465</v>
      </c>
      <c r="F69" s="330"/>
      <c r="G69" s="331" t="s">
        <v>167</v>
      </c>
      <c r="H69" s="285" t="s">
        <v>82</v>
      </c>
      <c r="I69" s="288" t="e">
        <f>#REF!+#REF!</f>
        <v>#REF!</v>
      </c>
      <c r="J69" s="289">
        <f>+'720.1'!N82</f>
        <v>210784</v>
      </c>
      <c r="K69" s="290" t="e">
        <f t="shared" si="13"/>
        <v>#REF!</v>
      </c>
      <c r="L69" s="349"/>
      <c r="O69" s="1416" t="e">
        <f t="shared" si="14"/>
        <v>#REF!</v>
      </c>
      <c r="P69" s="290">
        <v>8233485</v>
      </c>
    </row>
    <row r="70" spans="2:16" s="345" customFormat="1" ht="15.75">
      <c r="B70" s="346"/>
      <c r="C70" s="309" t="e">
        <f t="shared" si="15"/>
        <v>#REF!</v>
      </c>
      <c r="D70" s="330" t="s">
        <v>100</v>
      </c>
      <c r="E70" s="330" t="s">
        <v>466</v>
      </c>
      <c r="F70" s="330"/>
      <c r="G70" s="331" t="s">
        <v>151</v>
      </c>
      <c r="H70" s="285" t="s">
        <v>81</v>
      </c>
      <c r="I70" s="288" t="e">
        <f>#REF!+#REF!</f>
        <v>#REF!</v>
      </c>
      <c r="J70" s="289">
        <f>+'730.1'!N82</f>
        <v>189659</v>
      </c>
      <c r="K70" s="290" t="e">
        <f t="shared" si="13"/>
        <v>#REF!</v>
      </c>
      <c r="L70" s="349"/>
      <c r="O70" s="1416" t="e">
        <f t="shared" si="14"/>
        <v>#REF!</v>
      </c>
      <c r="P70" s="290">
        <v>1391338424</v>
      </c>
    </row>
    <row r="71" spans="2:16" s="345" customFormat="1" ht="15.75">
      <c r="B71" s="346"/>
      <c r="C71" s="309" t="e">
        <f t="shared" si="15"/>
        <v>#REF!</v>
      </c>
      <c r="D71" s="329" t="s">
        <v>301</v>
      </c>
      <c r="E71" s="329" t="s">
        <v>466</v>
      </c>
      <c r="F71" s="329"/>
      <c r="G71" s="328" t="s">
        <v>302</v>
      </c>
      <c r="H71" s="329" t="s">
        <v>82</v>
      </c>
      <c r="I71" s="288" t="e">
        <f>I70/200*2</f>
        <v>#REF!</v>
      </c>
      <c r="J71" s="289">
        <f>+'730.2'!N81</f>
        <v>87174</v>
      </c>
      <c r="K71" s="290" t="e">
        <f t="shared" si="13"/>
        <v>#REF!</v>
      </c>
      <c r="L71" s="349"/>
      <c r="O71" s="1416" t="e">
        <f t="shared" si="14"/>
        <v>#REF!</v>
      </c>
      <c r="P71" s="290">
        <v>0</v>
      </c>
    </row>
    <row r="72" spans="2:16" s="345" customFormat="1" ht="15.75">
      <c r="B72" s="346"/>
      <c r="C72" s="309" t="e">
        <f>#REF!+1</f>
        <v>#REF!</v>
      </c>
      <c r="D72" s="330" t="s">
        <v>101</v>
      </c>
      <c r="E72" s="330" t="s">
        <v>467</v>
      </c>
      <c r="F72" s="330"/>
      <c r="G72" s="331" t="s">
        <v>131</v>
      </c>
      <c r="H72" s="285" t="s">
        <v>82</v>
      </c>
      <c r="I72" s="288" t="e">
        <f>#REF!+#REF!</f>
        <v>#REF!</v>
      </c>
      <c r="J72" s="289">
        <f>+'740.1'!N81</f>
        <v>15972</v>
      </c>
      <c r="K72" s="290" t="e">
        <f t="shared" si="13"/>
        <v>#REF!</v>
      </c>
      <c r="L72" s="349"/>
      <c r="O72" s="1416" t="e">
        <f t="shared" si="14"/>
        <v>#REF!</v>
      </c>
      <c r="P72" s="290">
        <v>622908</v>
      </c>
    </row>
    <row r="73" spans="2:16" s="345" customFormat="1" thickBot="1">
      <c r="B73" s="346"/>
      <c r="C73" s="295" t="s">
        <v>170</v>
      </c>
      <c r="D73" s="332"/>
      <c r="E73" s="332"/>
      <c r="F73" s="332"/>
      <c r="G73" s="333"/>
      <c r="H73" s="296"/>
      <c r="I73" s="288"/>
      <c r="J73" s="300"/>
      <c r="K73" s="301" t="e">
        <f>ROUND(SUM(K62:K72),0)</f>
        <v>#REF!</v>
      </c>
      <c r="L73" s="349"/>
      <c r="P73" s="301">
        <v>1690730943</v>
      </c>
    </row>
    <row r="74" spans="2:16" s="345" customFormat="1" thickBot="1">
      <c r="B74" s="346"/>
      <c r="C74" s="281" t="s">
        <v>132</v>
      </c>
      <c r="D74" s="282"/>
      <c r="E74" s="282"/>
      <c r="F74" s="282"/>
      <c r="G74" s="282"/>
      <c r="H74" s="282"/>
      <c r="I74" s="282"/>
      <c r="J74" s="282"/>
      <c r="K74" s="283"/>
      <c r="L74" s="349"/>
      <c r="P74" s="283"/>
    </row>
    <row r="75" spans="2:16" s="345" customFormat="1" ht="15.75">
      <c r="B75" s="346"/>
      <c r="C75" s="309" t="e">
        <f>#REF!+1</f>
        <v>#REF!</v>
      </c>
      <c r="D75" s="285" t="s">
        <v>102</v>
      </c>
      <c r="E75" s="285" t="s">
        <v>468</v>
      </c>
      <c r="F75" s="285"/>
      <c r="G75" s="287" t="s">
        <v>134</v>
      </c>
      <c r="H75" s="285" t="s">
        <v>81</v>
      </c>
      <c r="I75" s="288" t="e">
        <f>(#REF!+#REF!+#REF!)*1000</f>
        <v>#REF!</v>
      </c>
      <c r="J75" s="289">
        <f>+'800.2'!N80</f>
        <v>28012</v>
      </c>
      <c r="K75" s="290" t="e">
        <f t="shared" ref="K75:K78" si="16">I75*J75</f>
        <v>#REF!</v>
      </c>
      <c r="L75" s="349"/>
      <c r="P75" s="290">
        <v>0</v>
      </c>
    </row>
    <row r="76" spans="2:16" s="345" customFormat="1" ht="15.75">
      <c r="B76" s="346"/>
      <c r="C76" s="309" t="e">
        <f>#REF!+1</f>
        <v>#REF!</v>
      </c>
      <c r="D76" s="330" t="s">
        <v>225</v>
      </c>
      <c r="E76" s="330" t="s">
        <v>469</v>
      </c>
      <c r="F76" s="330"/>
      <c r="G76" s="287" t="s">
        <v>169</v>
      </c>
      <c r="H76" s="285" t="s">
        <v>28</v>
      </c>
      <c r="I76" s="288" t="e">
        <f>#REF!+#REF!*1000</f>
        <v>#REF!</v>
      </c>
      <c r="J76" s="289">
        <f>+'810.1'!N81</f>
        <v>14524</v>
      </c>
      <c r="K76" s="290" t="e">
        <f t="shared" si="16"/>
        <v>#REF!</v>
      </c>
      <c r="L76" s="349"/>
      <c r="P76" s="290">
        <v>0</v>
      </c>
    </row>
    <row r="77" spans="2:16" s="345" customFormat="1" ht="15.75">
      <c r="B77" s="346"/>
      <c r="C77" s="309" t="e">
        <f>#REF!+1</f>
        <v>#REF!</v>
      </c>
      <c r="D77" s="329" t="s">
        <v>377</v>
      </c>
      <c r="E77" s="286" t="s">
        <v>469</v>
      </c>
      <c r="F77" s="286"/>
      <c r="G77" s="343" t="s">
        <v>601</v>
      </c>
      <c r="H77" s="386" t="s">
        <v>28</v>
      </c>
      <c r="I77" s="288" t="e">
        <f>(#REF!+#REF!+#REF!)*1000*2*2</f>
        <v>#REF!</v>
      </c>
      <c r="J77" s="289">
        <f>'810.2'!N84</f>
        <v>24581</v>
      </c>
      <c r="K77" s="290" t="e">
        <f t="shared" si="16"/>
        <v>#REF!</v>
      </c>
      <c r="L77" s="349"/>
      <c r="M77" s="345" t="e">
        <f>#REF!</f>
        <v>#REF!</v>
      </c>
      <c r="P77" s="290">
        <v>0</v>
      </c>
    </row>
    <row r="78" spans="2:16" s="345" customFormat="1" ht="15.75">
      <c r="B78" s="346"/>
      <c r="C78" s="309" t="e">
        <f>#REF!+1</f>
        <v>#REF!</v>
      </c>
      <c r="D78" s="329" t="s">
        <v>535</v>
      </c>
      <c r="E78" s="286"/>
      <c r="F78" s="329"/>
      <c r="G78" s="343" t="s">
        <v>572</v>
      </c>
      <c r="H78" s="386" t="s">
        <v>82</v>
      </c>
      <c r="I78" s="288" t="e">
        <f>#REF!+#REF!</f>
        <v>#REF!</v>
      </c>
      <c r="J78" s="289">
        <f>'820.1'!N84</f>
        <v>52234</v>
      </c>
      <c r="K78" s="290" t="e">
        <f t="shared" si="16"/>
        <v>#REF!</v>
      </c>
      <c r="L78" s="349"/>
      <c r="P78" s="290">
        <v>0</v>
      </c>
    </row>
    <row r="79" spans="2:16" s="345" customFormat="1" thickBot="1">
      <c r="B79" s="346"/>
      <c r="C79" s="295" t="s">
        <v>170</v>
      </c>
      <c r="D79" s="332"/>
      <c r="E79" s="332"/>
      <c r="F79" s="332"/>
      <c r="G79" s="298"/>
      <c r="H79" s="296"/>
      <c r="I79" s="288"/>
      <c r="J79" s="300"/>
      <c r="K79" s="301" t="e">
        <f>ROUND(SUM(K75:K78),0)</f>
        <v>#REF!</v>
      </c>
      <c r="L79" s="349"/>
      <c r="P79" s="301">
        <v>0</v>
      </c>
    </row>
    <row r="80" spans="2:16" s="345" customFormat="1" thickBot="1">
      <c r="B80" s="346"/>
      <c r="C80" s="281" t="s">
        <v>133</v>
      </c>
      <c r="D80" s="282"/>
      <c r="E80" s="282"/>
      <c r="F80" s="282"/>
      <c r="G80" s="282"/>
      <c r="H80" s="282"/>
      <c r="I80" s="282"/>
      <c r="J80" s="282"/>
      <c r="K80" s="283"/>
      <c r="L80" s="349"/>
      <c r="N80" s="345" t="s">
        <v>1488</v>
      </c>
      <c r="P80" s="283"/>
    </row>
    <row r="81" spans="2:17" s="345" customFormat="1" ht="31.5">
      <c r="B81" s="346"/>
      <c r="C81" s="302" t="e">
        <f>#REF!+1</f>
        <v>#REF!</v>
      </c>
      <c r="D81" s="285">
        <v>900.1</v>
      </c>
      <c r="E81" s="285" t="s">
        <v>471</v>
      </c>
      <c r="F81" s="285"/>
      <c r="G81" s="287" t="s">
        <v>226</v>
      </c>
      <c r="H81" s="285" t="s">
        <v>221</v>
      </c>
      <c r="I81" s="288" t="e">
        <f>ROUND(#REF!+'CANTIDADES Fase II todo'!BD31*1.3,0)</f>
        <v>#REF!</v>
      </c>
      <c r="J81" s="289">
        <f>+'900.1'!N81</f>
        <v>995</v>
      </c>
      <c r="K81" s="290" t="e">
        <f>I81*J81</f>
        <v>#REF!</v>
      </c>
      <c r="L81" s="349"/>
      <c r="N81" s="345">
        <f>(10+16.8+4.5+6.3+7.9)/5</f>
        <v>9.1</v>
      </c>
      <c r="P81" s="290">
        <v>0</v>
      </c>
    </row>
    <row r="82" spans="2:17" s="345" customFormat="1" ht="47.25">
      <c r="B82" s="346"/>
      <c r="C82" s="309" t="e">
        <f>C81+1</f>
        <v>#REF!</v>
      </c>
      <c r="D82" s="285">
        <v>900.2</v>
      </c>
      <c r="E82" s="285" t="s">
        <v>471</v>
      </c>
      <c r="F82" s="285"/>
      <c r="G82" s="344" t="s">
        <v>602</v>
      </c>
      <c r="H82" s="285" t="s">
        <v>156</v>
      </c>
      <c r="I82" s="288" t="e">
        <f>+((I15+I16)*1.35*10)</f>
        <v>#REF!</v>
      </c>
      <c r="J82" s="289">
        <f>+'900.2'!N81</f>
        <v>1125</v>
      </c>
      <c r="K82" s="290" t="e">
        <f>I82*J82</f>
        <v>#REF!</v>
      </c>
      <c r="L82" s="349"/>
      <c r="M82" s="1417" t="e">
        <f>(I17)*30*1.3</f>
        <v>#REF!</v>
      </c>
      <c r="N82" s="1417"/>
      <c r="O82" s="1416" t="e">
        <f t="shared" ref="O82" si="17">K82/$K$85</f>
        <v>#REF!</v>
      </c>
      <c r="P82" s="290">
        <v>7636942973.2492599</v>
      </c>
    </row>
    <row r="83" spans="2:17" s="345" customFormat="1" ht="55.5" customHeight="1">
      <c r="B83" s="346"/>
      <c r="C83" s="309" t="e">
        <f>C82+1</f>
        <v>#REF!</v>
      </c>
      <c r="D83" s="285" t="s">
        <v>1489</v>
      </c>
      <c r="E83" s="285"/>
      <c r="F83" s="285" t="s">
        <v>1489</v>
      </c>
      <c r="G83" s="344" t="s">
        <v>1490</v>
      </c>
      <c r="H83" s="285" t="s">
        <v>156</v>
      </c>
      <c r="I83" s="288" t="e">
        <f>(I17*9.1*1.35)+(I19*53)</f>
        <v>#REF!</v>
      </c>
      <c r="J83" s="289" t="e">
        <f>#REF!</f>
        <v>#REF!</v>
      </c>
      <c r="K83" s="290" t="e">
        <f>I83*J83</f>
        <v>#REF!</v>
      </c>
      <c r="L83" s="349"/>
      <c r="M83" s="1415"/>
    </row>
    <row r="84" spans="2:17" s="345" customFormat="1" thickBot="1">
      <c r="B84" s="346"/>
      <c r="C84" s="295" t="s">
        <v>170</v>
      </c>
      <c r="D84" s="332"/>
      <c r="E84" s="332"/>
      <c r="F84" s="332"/>
      <c r="G84" s="333"/>
      <c r="H84" s="296"/>
      <c r="I84" s="288"/>
      <c r="J84" s="300"/>
      <c r="K84" s="301" t="e">
        <f>ROUND(SUM(K81:K83),0)</f>
        <v>#REF!</v>
      </c>
      <c r="L84" s="349"/>
      <c r="N84" s="345" t="s">
        <v>1478</v>
      </c>
      <c r="P84" s="301">
        <v>7636942973</v>
      </c>
    </row>
    <row r="85" spans="2:17" s="13" customFormat="1" thickBot="1">
      <c r="B85" s="14"/>
      <c r="C85" s="1494" t="s">
        <v>477</v>
      </c>
      <c r="D85" s="1495"/>
      <c r="E85" s="1495"/>
      <c r="F85" s="1495"/>
      <c r="G85" s="1495"/>
      <c r="H85" s="1495"/>
      <c r="I85" s="1495"/>
      <c r="J85" s="1496"/>
      <c r="K85" s="334" t="e">
        <f>K21+K28+K39+K60+K73+K79+K84</f>
        <v>#REF!</v>
      </c>
      <c r="L85" s="15"/>
      <c r="M85" s="334">
        <v>105560000000</v>
      </c>
      <c r="N85" s="1425" t="e">
        <f>K85-M85</f>
        <v>#REF!</v>
      </c>
      <c r="O85" s="1414" t="e">
        <f>K85-M85</f>
        <v>#REF!</v>
      </c>
      <c r="P85" s="334">
        <v>66468728041</v>
      </c>
    </row>
    <row r="86" spans="2:17" s="13" customFormat="1" thickBot="1">
      <c r="B86" s="14"/>
      <c r="C86" s="335"/>
      <c r="D86" s="335"/>
      <c r="E86" s="335"/>
      <c r="F86" s="335"/>
      <c r="G86" s="335"/>
      <c r="H86" s="335"/>
      <c r="I86" s="335"/>
      <c r="J86" s="335"/>
      <c r="K86" s="336"/>
      <c r="L86" s="15"/>
      <c r="M86" s="334" t="e">
        <f>K85/M90</f>
        <v>#REF!</v>
      </c>
      <c r="N86" s="1425"/>
      <c r="P86" s="336"/>
    </row>
    <row r="87" spans="2:17" s="13" customFormat="1" thickBot="1">
      <c r="B87" s="14"/>
      <c r="C87" s="337"/>
      <c r="D87" s="338"/>
      <c r="E87" s="337"/>
      <c r="F87" s="352"/>
      <c r="G87" s="353" t="s">
        <v>623</v>
      </c>
      <c r="H87" s="354"/>
      <c r="I87" s="355"/>
      <c r="J87" s="356" t="s">
        <v>175</v>
      </c>
      <c r="K87" s="339" t="e">
        <f>K85*0.15</f>
        <v>#REF!</v>
      </c>
      <c r="L87" s="15"/>
      <c r="M87" s="334"/>
      <c r="N87" s="1425"/>
      <c r="P87" s="339">
        <v>9970309206.1499996</v>
      </c>
    </row>
    <row r="88" spans="2:17" s="13" customFormat="1" ht="15.75">
      <c r="B88" s="14"/>
      <c r="C88" s="337"/>
      <c r="D88" s="338"/>
      <c r="E88" s="337"/>
      <c r="F88" s="352"/>
      <c r="G88" s="357" t="s">
        <v>624</v>
      </c>
      <c r="H88" s="358"/>
      <c r="I88" s="359"/>
      <c r="J88" s="360" t="s">
        <v>175</v>
      </c>
      <c r="K88" s="351">
        <f>250000000*2</f>
        <v>500000000</v>
      </c>
      <c r="L88" s="15"/>
      <c r="P88" s="351">
        <v>700000000</v>
      </c>
    </row>
    <row r="89" spans="2:17" s="13" customFormat="1" ht="15.75">
      <c r="B89" s="14"/>
      <c r="C89" s="337"/>
      <c r="D89" s="338"/>
      <c r="E89" s="337"/>
      <c r="F89" s="352"/>
      <c r="G89" s="361" t="s">
        <v>174</v>
      </c>
      <c r="H89" s="362"/>
      <c r="I89" s="363"/>
      <c r="J89" s="364"/>
      <c r="K89" s="340" t="e">
        <f>K85+K87+K88</f>
        <v>#REF!</v>
      </c>
      <c r="L89" s="15"/>
      <c r="P89" s="340">
        <v>77139037247.149994</v>
      </c>
    </row>
    <row r="90" spans="2:17" s="13" customFormat="1" ht="15.75">
      <c r="B90" s="14"/>
      <c r="C90" s="337"/>
      <c r="D90" s="341"/>
      <c r="E90" s="341"/>
      <c r="F90" s="341"/>
      <c r="G90" s="361" t="s">
        <v>732</v>
      </c>
      <c r="H90" s="365"/>
      <c r="I90" s="366"/>
      <c r="J90" s="367"/>
      <c r="K90" s="340" t="e">
        <f>ROUND((K89/(1+K104))*K103*0.19,0)</f>
        <v>#REF!</v>
      </c>
      <c r="L90" s="15"/>
      <c r="M90" s="13">
        <v>13.9</v>
      </c>
      <c r="P90" s="340">
        <v>555167314</v>
      </c>
    </row>
    <row r="91" spans="2:17" s="13" customFormat="1" ht="15.75">
      <c r="B91" s="14"/>
      <c r="C91" s="337"/>
      <c r="D91" s="341"/>
      <c r="E91" s="341"/>
      <c r="F91" s="341"/>
      <c r="G91" s="368" t="s">
        <v>476</v>
      </c>
      <c r="H91" s="365"/>
      <c r="I91" s="366"/>
      <c r="J91" s="367"/>
      <c r="K91" s="342" t="e">
        <f>K89+K90</f>
        <v>#REF!</v>
      </c>
      <c r="L91" s="15"/>
      <c r="P91" s="342">
        <v>77694204561.149994</v>
      </c>
    </row>
    <row r="92" spans="2:17" s="13" customFormat="1" ht="15.75">
      <c r="B92" s="14"/>
      <c r="C92" s="337"/>
      <c r="D92" s="338"/>
      <c r="E92" s="337"/>
      <c r="F92" s="352"/>
      <c r="G92" s="369" t="s">
        <v>1475</v>
      </c>
      <c r="H92" s="365"/>
      <c r="I92" s="366"/>
      <c r="J92" s="370"/>
      <c r="K92" s="340" t="e">
        <f>(#REF!*60000000)+(#REF!*40000000)</f>
        <v>#REF!</v>
      </c>
      <c r="L92" s="15"/>
      <c r="P92" s="340">
        <v>1120000000</v>
      </c>
    </row>
    <row r="93" spans="2:17" s="13" customFormat="1" ht="15.75">
      <c r="B93" s="14"/>
      <c r="C93" s="337"/>
      <c r="D93" s="338"/>
      <c r="E93" s="337"/>
      <c r="F93" s="352"/>
      <c r="G93" s="369" t="s">
        <v>1476</v>
      </c>
      <c r="H93" s="365">
        <v>0.19</v>
      </c>
      <c r="I93" s="366"/>
      <c r="J93" s="370"/>
      <c r="K93" s="340" t="e">
        <f>ROUND(0.19*K92,0)</f>
        <v>#REF!</v>
      </c>
      <c r="L93" s="15"/>
      <c r="P93" s="340">
        <v>212800000</v>
      </c>
    </row>
    <row r="94" spans="2:17" s="13" customFormat="1" ht="31.5">
      <c r="B94" s="14"/>
      <c r="C94" s="337"/>
      <c r="D94" s="338"/>
      <c r="E94" s="337"/>
      <c r="F94" s="371" t="s">
        <v>627</v>
      </c>
      <c r="G94" s="372" t="s">
        <v>1477</v>
      </c>
      <c r="H94" s="365"/>
      <c r="I94" s="366"/>
      <c r="J94" s="370"/>
      <c r="K94" s="342" t="e">
        <f>K92+K93</f>
        <v>#REF!</v>
      </c>
      <c r="L94" s="15"/>
      <c r="P94" s="342">
        <v>1332800000</v>
      </c>
    </row>
    <row r="95" spans="2:17" s="13" customFormat="1" thickBot="1">
      <c r="B95" s="14"/>
      <c r="C95" s="337"/>
      <c r="D95" s="338"/>
      <c r="E95" s="337"/>
      <c r="F95" s="352"/>
      <c r="G95" s="368" t="s">
        <v>1337</v>
      </c>
      <c r="H95" s="365"/>
      <c r="I95" s="366"/>
      <c r="J95" s="360" t="s">
        <v>175</v>
      </c>
      <c r="K95" s="342">
        <v>1788004352</v>
      </c>
      <c r="L95" s="15"/>
      <c r="P95" s="342">
        <v>1329374560.8199999</v>
      </c>
      <c r="Q95" s="13">
        <v>14</v>
      </c>
    </row>
    <row r="96" spans="2:17" s="13" customFormat="1" thickBot="1">
      <c r="B96" s="14"/>
      <c r="C96" s="337"/>
      <c r="D96" s="338"/>
      <c r="E96" s="337"/>
      <c r="F96" s="352"/>
      <c r="G96" s="373" t="s">
        <v>1338</v>
      </c>
      <c r="H96" s="374"/>
      <c r="I96" s="375"/>
      <c r="J96" s="360" t="s">
        <v>175</v>
      </c>
      <c r="K96" s="342" t="e">
        <f>ROUND(K85*0.02,0)</f>
        <v>#REF!</v>
      </c>
      <c r="L96" s="16"/>
      <c r="M96" s="334" t="e">
        <f>#REF!*1000000</f>
        <v>#REF!</v>
      </c>
      <c r="N96" s="1414"/>
      <c r="P96" s="342">
        <v>2759000000</v>
      </c>
      <c r="Q96" s="1414">
        <v>5936812794.4264288</v>
      </c>
    </row>
    <row r="97" spans="2:19" s="13" customFormat="1" thickBot="1">
      <c r="B97" s="14"/>
      <c r="C97" s="337"/>
      <c r="D97" s="338"/>
      <c r="E97" s="337"/>
      <c r="F97" s="352"/>
      <c r="G97" s="376" t="s">
        <v>160</v>
      </c>
      <c r="H97" s="377"/>
      <c r="I97" s="378"/>
      <c r="J97" s="379"/>
      <c r="K97" s="334" t="e">
        <f>K91+K94+K95+K96</f>
        <v>#REF!</v>
      </c>
      <c r="L97" s="15"/>
      <c r="M97" s="334">
        <v>151744000000</v>
      </c>
      <c r="N97" s="1425"/>
      <c r="P97" s="334">
        <v>83115379121.970001</v>
      </c>
      <c r="Q97" s="13">
        <v>95605478247.600006</v>
      </c>
    </row>
    <row r="98" spans="2:19" s="13" customFormat="1" ht="14.25" thickBot="1">
      <c r="B98" s="14"/>
      <c r="C98" s="22"/>
      <c r="D98" s="23"/>
      <c r="E98" s="23"/>
      <c r="F98" s="23"/>
      <c r="G98" s="22"/>
      <c r="H98" s="22"/>
      <c r="I98" s="24"/>
      <c r="J98" s="25"/>
      <c r="K98" s="26"/>
      <c r="L98" s="15"/>
      <c r="M98" s="1414" t="e">
        <f>M96-K97</f>
        <v>#REF!</v>
      </c>
      <c r="N98" s="1414"/>
      <c r="P98" s="26"/>
      <c r="Q98" s="13" t="b">
        <v>0</v>
      </c>
    </row>
    <row r="99" spans="2:19" s="13" customFormat="1" thickBot="1">
      <c r="B99" s="14"/>
      <c r="C99" s="380" t="s">
        <v>309</v>
      </c>
      <c r="D99" s="381"/>
      <c r="E99" s="382"/>
      <c r="F99" s="1538"/>
      <c r="G99" s="1538"/>
      <c r="H99" s="1538"/>
      <c r="I99" s="1538"/>
      <c r="J99" s="1538"/>
      <c r="K99" s="1539"/>
      <c r="L99" s="17"/>
      <c r="O99" s="334"/>
      <c r="P99" s="1414"/>
      <c r="Q99" s="13" t="s">
        <v>1474</v>
      </c>
      <c r="R99" s="334">
        <v>125400000000</v>
      </c>
      <c r="S99" s="1414">
        <f>P97-R99</f>
        <v>-42284620878.029999</v>
      </c>
    </row>
    <row r="100" spans="2:19" s="13" customFormat="1" ht="15.75">
      <c r="B100" s="14"/>
      <c r="C100" s="1489" t="s">
        <v>684</v>
      </c>
      <c r="D100" s="1490"/>
      <c r="E100" s="1490"/>
      <c r="F100" s="1490"/>
      <c r="G100" s="1490"/>
      <c r="H100" s="1498" t="s">
        <v>30</v>
      </c>
      <c r="I100" s="1498"/>
      <c r="J100" s="1498"/>
      <c r="K100" s="383" t="s">
        <v>116</v>
      </c>
      <c r="L100" s="18"/>
      <c r="M100" s="13">
        <v>13.9</v>
      </c>
      <c r="O100" s="1414"/>
      <c r="P100" s="383" t="s">
        <v>116</v>
      </c>
      <c r="R100" s="1414">
        <f>R99/Q95</f>
        <v>8957142857.1428566</v>
      </c>
    </row>
    <row r="101" spans="2:19" s="13" customFormat="1" ht="15.75">
      <c r="B101" s="14"/>
      <c r="C101" s="1489" t="s">
        <v>685</v>
      </c>
      <c r="D101" s="1490"/>
      <c r="E101" s="1490"/>
      <c r="F101" s="1490"/>
      <c r="G101" s="1490"/>
      <c r="H101" s="1499" t="s">
        <v>44</v>
      </c>
      <c r="I101" s="1499"/>
      <c r="J101" s="384" t="s">
        <v>117</v>
      </c>
      <c r="K101" s="385">
        <v>0.22</v>
      </c>
      <c r="L101" s="18"/>
      <c r="M101" s="1414" t="e">
        <f>K97/M100</f>
        <v>#REF!</v>
      </c>
      <c r="N101" s="1414"/>
      <c r="P101" s="385">
        <v>0.22</v>
      </c>
    </row>
    <row r="102" spans="2:19" s="13" customFormat="1" ht="15.75">
      <c r="B102" s="14"/>
      <c r="C102" s="1489" t="s">
        <v>631</v>
      </c>
      <c r="D102" s="1490"/>
      <c r="E102" s="1490"/>
      <c r="F102" s="1490"/>
      <c r="G102" s="1490"/>
      <c r="H102" s="1514" t="s">
        <v>632</v>
      </c>
      <c r="I102" s="1515"/>
      <c r="J102" s="384" t="s">
        <v>118</v>
      </c>
      <c r="K102" s="385">
        <v>0.05</v>
      </c>
      <c r="L102" s="18"/>
      <c r="P102" s="385">
        <v>0.05</v>
      </c>
    </row>
    <row r="103" spans="2:19" s="19" customFormat="1" ht="15.75">
      <c r="B103" s="20"/>
      <c r="C103" s="1516" t="s">
        <v>633</v>
      </c>
      <c r="D103" s="1517"/>
      <c r="E103" s="1517"/>
      <c r="F103" s="1517"/>
      <c r="G103" s="1517"/>
      <c r="H103" s="1518" t="s">
        <v>634</v>
      </c>
      <c r="I103" s="1499"/>
      <c r="J103" s="384" t="s">
        <v>119</v>
      </c>
      <c r="K103" s="385">
        <v>0.05</v>
      </c>
      <c r="L103" s="21"/>
      <c r="M103" s="1457" t="e">
        <f>K97+#REF!</f>
        <v>#REF!</v>
      </c>
      <c r="P103" s="385">
        <v>0.05</v>
      </c>
    </row>
    <row r="104" spans="2:19">
      <c r="B104" s="11"/>
      <c r="C104" s="1489" t="s">
        <v>635</v>
      </c>
      <c r="D104" s="1490"/>
      <c r="E104" s="1490"/>
      <c r="F104" s="1490"/>
      <c r="G104" s="1490"/>
      <c r="H104" s="1499" t="s">
        <v>120</v>
      </c>
      <c r="I104" s="1499"/>
      <c r="J104" s="384" t="s">
        <v>121</v>
      </c>
      <c r="K104" s="385">
        <v>0.32</v>
      </c>
      <c r="L104" s="12"/>
      <c r="P104" s="385">
        <v>0.32</v>
      </c>
    </row>
    <row r="105" spans="2:19">
      <c r="B105" s="11"/>
      <c r="C105" s="1489" t="s">
        <v>636</v>
      </c>
      <c r="D105" s="1490"/>
      <c r="E105" s="1490"/>
      <c r="F105" s="1490"/>
      <c r="G105" s="1490"/>
      <c r="H105" s="1508" t="s">
        <v>637</v>
      </c>
      <c r="I105" s="1508"/>
      <c r="J105" s="1508"/>
      <c r="K105" s="1509"/>
      <c r="L105" s="12"/>
    </row>
    <row r="106" spans="2:19" ht="17.25" thickBot="1">
      <c r="B106" s="11"/>
      <c r="C106" s="1512" t="s">
        <v>638</v>
      </c>
      <c r="D106" s="1513"/>
      <c r="E106" s="1513"/>
      <c r="F106" s="1513"/>
      <c r="G106" s="1513"/>
      <c r="H106" s="1510"/>
      <c r="I106" s="1510"/>
      <c r="J106" s="1510"/>
      <c r="K106" s="1511"/>
      <c r="L106" s="12"/>
    </row>
    <row r="107" spans="2:19" ht="17.25" thickBot="1">
      <c r="B107" s="27"/>
      <c r="C107" s="28"/>
      <c r="D107" s="28"/>
      <c r="E107" s="29"/>
      <c r="F107" s="28"/>
      <c r="G107" s="30"/>
      <c r="H107" s="28"/>
      <c r="I107" s="28"/>
      <c r="J107" s="28"/>
      <c r="K107" s="28"/>
      <c r="L107" s="31"/>
      <c r="P107" s="28"/>
    </row>
    <row r="108" spans="2:19" ht="17.25" thickTop="1"/>
    <row r="112" spans="2:19">
      <c r="K112" s="5" t="s">
        <v>253</v>
      </c>
      <c r="P112" s="5" t="s">
        <v>253</v>
      </c>
    </row>
  </sheetData>
  <mergeCells count="38">
    <mergeCell ref="C104:G104"/>
    <mergeCell ref="H104:I104"/>
    <mergeCell ref="C105:G105"/>
    <mergeCell ref="H105:K106"/>
    <mergeCell ref="C106:G106"/>
    <mergeCell ref="C101:G101"/>
    <mergeCell ref="H101:I101"/>
    <mergeCell ref="C102:G102"/>
    <mergeCell ref="H102:I102"/>
    <mergeCell ref="C103:G103"/>
    <mergeCell ref="H103:I103"/>
    <mergeCell ref="E67:F67"/>
    <mergeCell ref="E68:F68"/>
    <mergeCell ref="C85:J85"/>
    <mergeCell ref="F99:K99"/>
    <mergeCell ref="C100:G100"/>
    <mergeCell ref="H100:J100"/>
    <mergeCell ref="P11:P12"/>
    <mergeCell ref="E62:F62"/>
    <mergeCell ref="E63:F63"/>
    <mergeCell ref="E64:F64"/>
    <mergeCell ref="E65:F65"/>
    <mergeCell ref="E66:F66"/>
    <mergeCell ref="C10:K10"/>
    <mergeCell ref="C11:C12"/>
    <mergeCell ref="D11:D12"/>
    <mergeCell ref="E11:F11"/>
    <mergeCell ref="G11:G12"/>
    <mergeCell ref="H11:H12"/>
    <mergeCell ref="I11:I12"/>
    <mergeCell ref="J11:J12"/>
    <mergeCell ref="K11:K12"/>
    <mergeCell ref="C8:K8"/>
    <mergeCell ref="C2:K2"/>
    <mergeCell ref="C3:K3"/>
    <mergeCell ref="C4:K4"/>
    <mergeCell ref="C5:K6"/>
    <mergeCell ref="C7:K7"/>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pageSetUpPr fitToPage="1"/>
  </sheetPr>
  <dimension ref="B1:AQ272"/>
  <sheetViews>
    <sheetView showGridLines="0" view="pageBreakPreview" topLeftCell="E166" zoomScale="55" zoomScaleNormal="55" zoomScaleSheetLayoutView="55" workbookViewId="0">
      <selection activeCell="A214" sqref="A1:XFD1048576"/>
    </sheetView>
  </sheetViews>
  <sheetFormatPr baseColWidth="10" defaultColWidth="11.42578125" defaultRowHeight="16.5"/>
  <cols>
    <col min="1" max="2" width="3.42578125" style="5" customWidth="1"/>
    <col min="3" max="3" width="5.140625" style="5" customWidth="1"/>
    <col min="4" max="4" width="11.28515625" style="5" customWidth="1"/>
    <col min="5" max="5" width="17.140625" style="6" customWidth="1"/>
    <col min="6" max="6" width="17.5703125" style="5" customWidth="1"/>
    <col min="7" max="7" width="85.42578125" style="5" customWidth="1"/>
    <col min="8" max="8" width="17" style="5" customWidth="1"/>
    <col min="9" max="9" width="26.5703125" style="5" customWidth="1"/>
    <col min="10" max="10" width="25.28515625" style="5" hidden="1" customWidth="1"/>
    <col min="11" max="11" width="32.5703125" style="5" hidden="1" customWidth="1"/>
    <col min="12" max="12" width="25.85546875" style="5" hidden="1" customWidth="1"/>
    <col min="13" max="13" width="32.28515625" style="5" hidden="1" customWidth="1"/>
    <col min="14" max="14" width="25.85546875" style="5" hidden="1" customWidth="1"/>
    <col min="15" max="15" width="30.85546875" style="5" hidden="1" customWidth="1"/>
    <col min="16" max="16" width="25.85546875" style="5" hidden="1" customWidth="1"/>
    <col min="17" max="17" width="35.7109375" style="5" hidden="1" customWidth="1"/>
    <col min="18" max="18" width="25.85546875" style="5" hidden="1" customWidth="1"/>
    <col min="19" max="19" width="32.28515625" style="5" hidden="1" customWidth="1"/>
    <col min="20" max="21" width="21.85546875" style="5" hidden="1" customWidth="1"/>
    <col min="22" max="22" width="34.5703125" style="5" hidden="1" customWidth="1"/>
    <col min="23" max="23" width="40.28515625" style="5" customWidth="1"/>
    <col min="24" max="24" width="34.42578125" style="5" customWidth="1"/>
    <col min="25" max="25" width="29" style="5" customWidth="1"/>
    <col min="26" max="26" width="37.42578125" style="5" customWidth="1"/>
    <col min="27" max="27" width="23.42578125" style="5" customWidth="1"/>
    <col min="28" max="28" width="40.42578125" style="5" customWidth="1"/>
    <col min="29" max="29" width="23.85546875" style="5" customWidth="1"/>
    <col min="30" max="30" width="38" style="5" customWidth="1"/>
    <col min="31" max="31" width="23.42578125" style="5" customWidth="1"/>
    <col min="32" max="32" width="30.42578125" style="5" customWidth="1"/>
    <col min="33" max="33" width="28" style="5" bestFit="1" customWidth="1"/>
    <col min="34" max="34" width="43.28515625" style="5" bestFit="1" customWidth="1"/>
    <col min="35" max="35" width="28.28515625" style="5" customWidth="1"/>
    <col min="36" max="36" width="32.140625" style="5" customWidth="1"/>
    <col min="37" max="37" width="25" style="5" customWidth="1"/>
    <col min="38" max="38" width="33.5703125" style="5" customWidth="1"/>
    <col min="39" max="39" width="21.85546875" style="5" customWidth="1"/>
    <col min="40" max="40" width="32.28515625" style="5" customWidth="1"/>
    <col min="41" max="41" width="25.5703125" style="5" customWidth="1"/>
    <col min="42" max="42" width="31.140625" style="5" customWidth="1"/>
    <col min="43" max="43" width="32.28515625" style="5" customWidth="1"/>
    <col min="44" max="46" width="11.42578125" style="5"/>
    <col min="47" max="48" width="19.28515625" style="5" customWidth="1"/>
    <col min="49" max="57" width="11.42578125" style="5"/>
    <col min="58" max="58" width="28.5703125" style="5" customWidth="1"/>
    <col min="59" max="16384" width="11.42578125" style="5"/>
  </cols>
  <sheetData>
    <row r="1" spans="2:41" ht="17.25" thickBot="1"/>
    <row r="2" spans="2:41" ht="18" thickTop="1" thickBot="1">
      <c r="B2" s="7"/>
      <c r="C2" s="8"/>
      <c r="D2" s="8"/>
      <c r="E2" s="9"/>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10"/>
    </row>
    <row r="3" spans="2:41">
      <c r="B3" s="11"/>
      <c r="C3" s="1519" t="s">
        <v>69</v>
      </c>
      <c r="D3" s="1520"/>
      <c r="E3" s="1520"/>
      <c r="F3" s="1520"/>
      <c r="G3" s="1520"/>
      <c r="H3" s="1520"/>
      <c r="I3" s="1520"/>
      <c r="J3" s="1520"/>
      <c r="K3" s="1521"/>
      <c r="L3" s="422"/>
      <c r="M3" s="422"/>
      <c r="N3" s="422"/>
      <c r="O3" s="422"/>
      <c r="P3" s="422"/>
      <c r="Q3" s="422"/>
      <c r="R3" s="422"/>
      <c r="S3" s="422"/>
      <c r="T3" s="422"/>
      <c r="U3" s="422"/>
      <c r="V3" s="422"/>
      <c r="W3" s="422"/>
      <c r="X3" s="422"/>
      <c r="Y3" s="422"/>
      <c r="Z3" s="422"/>
      <c r="AA3" s="422"/>
      <c r="AB3" s="422"/>
      <c r="AC3" s="422"/>
      <c r="AD3" s="422"/>
      <c r="AE3" s="422"/>
      <c r="AF3" s="422"/>
      <c r="AG3" s="422"/>
      <c r="AH3" s="422"/>
      <c r="AI3" s="446"/>
      <c r="AJ3" s="446"/>
      <c r="AK3" s="467"/>
      <c r="AL3" s="467"/>
      <c r="AM3" s="450"/>
      <c r="AN3" s="450"/>
      <c r="AO3" s="12"/>
    </row>
    <row r="4" spans="2:41">
      <c r="B4" s="11"/>
      <c r="C4" s="1522" t="s">
        <v>303</v>
      </c>
      <c r="D4" s="1523"/>
      <c r="E4" s="1523"/>
      <c r="F4" s="1523"/>
      <c r="G4" s="1523"/>
      <c r="H4" s="1523"/>
      <c r="I4" s="1523"/>
      <c r="J4" s="1523"/>
      <c r="K4" s="1524"/>
      <c r="L4" s="422"/>
      <c r="M4" s="422"/>
      <c r="N4" s="422"/>
      <c r="O4" s="422"/>
      <c r="P4" s="422"/>
      <c r="Q4" s="422"/>
      <c r="R4" s="422"/>
      <c r="S4" s="422"/>
      <c r="T4" s="422"/>
      <c r="U4" s="422"/>
      <c r="V4" s="422"/>
      <c r="W4" s="422"/>
      <c r="X4" s="422"/>
      <c r="Y4" s="422"/>
      <c r="Z4" s="422"/>
      <c r="AA4" s="422"/>
      <c r="AB4" s="422"/>
      <c r="AC4" s="422"/>
      <c r="AD4" s="422"/>
      <c r="AE4" s="422"/>
      <c r="AF4" s="422"/>
      <c r="AG4" s="422"/>
      <c r="AH4" s="422"/>
      <c r="AI4" s="446"/>
      <c r="AJ4" s="446"/>
      <c r="AK4" s="467"/>
      <c r="AL4" s="467"/>
      <c r="AM4" s="450"/>
      <c r="AN4" s="450"/>
      <c r="AO4" s="12"/>
    </row>
    <row r="5" spans="2:41">
      <c r="B5" s="11"/>
      <c r="C5" s="1522" t="s">
        <v>306</v>
      </c>
      <c r="D5" s="1523"/>
      <c r="E5" s="1523"/>
      <c r="F5" s="1523"/>
      <c r="G5" s="1523"/>
      <c r="H5" s="1523"/>
      <c r="I5" s="1523"/>
      <c r="J5" s="1523"/>
      <c r="K5" s="1524"/>
      <c r="L5" s="422"/>
      <c r="M5" s="422"/>
      <c r="N5" s="422"/>
      <c r="O5" s="422"/>
      <c r="P5" s="422"/>
      <c r="Q5" s="422"/>
      <c r="R5" s="422"/>
      <c r="S5" s="422"/>
      <c r="T5" s="422"/>
      <c r="U5" s="422"/>
      <c r="V5" s="422"/>
      <c r="W5" s="422"/>
      <c r="X5" s="422"/>
      <c r="Y5" s="422"/>
      <c r="Z5" s="422"/>
      <c r="AA5" s="422"/>
      <c r="AB5" s="422"/>
      <c r="AC5" s="422"/>
      <c r="AD5" s="422"/>
      <c r="AE5" s="422"/>
      <c r="AF5" s="422"/>
      <c r="AG5" s="422"/>
      <c r="AH5" s="422"/>
      <c r="AI5" s="446"/>
      <c r="AJ5" s="446"/>
      <c r="AK5" s="467"/>
      <c r="AL5" s="467"/>
      <c r="AM5" s="450"/>
      <c r="AN5" s="450"/>
      <c r="AO5" s="12"/>
    </row>
    <row r="6" spans="2:41" ht="15" customHeight="1">
      <c r="B6" s="11"/>
      <c r="C6" s="1525" t="e">
        <f>+#REF!</f>
        <v>#REF!</v>
      </c>
      <c r="D6" s="1526"/>
      <c r="E6" s="1526"/>
      <c r="F6" s="1526"/>
      <c r="G6" s="1526"/>
      <c r="H6" s="1526"/>
      <c r="I6" s="1526"/>
      <c r="J6" s="1526"/>
      <c r="K6" s="1527"/>
      <c r="L6" s="423"/>
      <c r="M6" s="423"/>
      <c r="N6" s="423">
        <f>900*10.8*0.09</f>
        <v>874.8</v>
      </c>
      <c r="O6" s="423"/>
      <c r="P6" s="423"/>
      <c r="Q6" s="423"/>
      <c r="R6" s="423"/>
      <c r="S6" s="423"/>
      <c r="T6" s="423"/>
      <c r="U6" s="423"/>
      <c r="V6" s="423"/>
      <c r="W6" s="423"/>
      <c r="X6" s="423"/>
      <c r="Y6" s="423"/>
      <c r="Z6" s="423"/>
      <c r="AA6" s="423"/>
      <c r="AB6" s="423"/>
      <c r="AC6" s="423"/>
      <c r="AD6" s="423"/>
      <c r="AE6" s="423"/>
      <c r="AF6" s="423"/>
      <c r="AG6" s="423"/>
      <c r="AH6" s="423"/>
      <c r="AI6" s="447"/>
      <c r="AJ6" s="447"/>
      <c r="AK6" s="468"/>
      <c r="AL6" s="468"/>
      <c r="AM6" s="451"/>
      <c r="AN6" s="451"/>
      <c r="AO6" s="12"/>
    </row>
    <row r="7" spans="2:41" ht="31.5" customHeight="1">
      <c r="B7" s="11"/>
      <c r="C7" s="1525"/>
      <c r="D7" s="1526"/>
      <c r="E7" s="1526"/>
      <c r="F7" s="1526"/>
      <c r="G7" s="1526"/>
      <c r="H7" s="1526"/>
      <c r="I7" s="1526"/>
      <c r="J7" s="1526"/>
      <c r="K7" s="1527"/>
      <c r="L7" s="423"/>
      <c r="M7" s="423"/>
      <c r="N7" s="951">
        <f>N6*I65</f>
        <v>706902260.39999998</v>
      </c>
      <c r="O7" s="423"/>
      <c r="P7" s="423"/>
      <c r="Q7" s="423"/>
      <c r="R7" s="423"/>
      <c r="S7" s="423"/>
      <c r="T7" s="423"/>
      <c r="U7" s="423"/>
      <c r="V7" s="423"/>
      <c r="W7" s="423"/>
      <c r="X7" s="423"/>
      <c r="Y7" s="423"/>
      <c r="Z7" s="423"/>
      <c r="AA7" s="423"/>
      <c r="AB7" s="423"/>
      <c r="AC7" s="423"/>
      <c r="AD7" s="423"/>
      <c r="AE7" s="423"/>
      <c r="AF7" s="423"/>
      <c r="AG7" s="423"/>
      <c r="AH7" s="423"/>
      <c r="AI7" s="447"/>
      <c r="AJ7" s="447"/>
      <c r="AK7" s="468"/>
      <c r="AL7" s="468"/>
      <c r="AM7" s="451"/>
      <c r="AN7" s="451"/>
      <c r="AO7" s="12"/>
    </row>
    <row r="8" spans="2:41">
      <c r="B8" s="11"/>
      <c r="C8" s="1528" t="s">
        <v>112</v>
      </c>
      <c r="D8" s="1529"/>
      <c r="E8" s="1529"/>
      <c r="F8" s="1529"/>
      <c r="G8" s="1529"/>
      <c r="H8" s="1529"/>
      <c r="I8" s="1529"/>
      <c r="J8" s="1529"/>
      <c r="K8" s="1530"/>
      <c r="L8" s="421"/>
      <c r="M8" s="421"/>
      <c r="N8" s="421"/>
      <c r="O8" s="421"/>
      <c r="P8" s="421"/>
      <c r="Q8" s="421"/>
      <c r="R8" s="421"/>
      <c r="S8" s="421"/>
      <c r="T8" s="421"/>
      <c r="U8" s="421"/>
      <c r="V8" s="421"/>
      <c r="W8" s="421"/>
      <c r="X8" s="421"/>
      <c r="Y8" s="421"/>
      <c r="Z8" s="421"/>
      <c r="AA8" s="421"/>
      <c r="AB8" s="421"/>
      <c r="AC8" s="421"/>
      <c r="AD8" s="421"/>
      <c r="AE8" s="421"/>
      <c r="AF8" s="421"/>
      <c r="AG8" s="421"/>
      <c r="AH8" s="421"/>
      <c r="AI8" s="448"/>
      <c r="AJ8" s="448"/>
      <c r="AK8" s="466"/>
      <c r="AL8" s="466"/>
      <c r="AM8" s="449"/>
      <c r="AN8" s="449"/>
      <c r="AO8" s="12"/>
    </row>
    <row r="9" spans="2:41" ht="32.25">
      <c r="B9" s="11"/>
      <c r="C9" s="1528" t="s">
        <v>113</v>
      </c>
      <c r="D9" s="1529"/>
      <c r="E9" s="1529"/>
      <c r="F9" s="1529"/>
      <c r="G9" s="1529"/>
      <c r="H9" s="1529"/>
      <c r="I9" s="1529"/>
      <c r="J9" s="1529"/>
      <c r="K9" s="1530"/>
      <c r="L9" s="421"/>
      <c r="M9" s="421">
        <f>K18+M18+O18+Q18+S18</f>
        <v>11.9</v>
      </c>
      <c r="N9" s="421"/>
      <c r="O9" s="421"/>
      <c r="P9" s="471" t="s">
        <v>769</v>
      </c>
      <c r="Q9" s="421"/>
      <c r="R9" s="421" t="s">
        <v>768</v>
      </c>
      <c r="S9" s="421"/>
      <c r="T9" s="421"/>
      <c r="U9" s="421"/>
      <c r="V9" s="421"/>
      <c r="W9" s="421"/>
      <c r="X9" s="421"/>
      <c r="Y9" s="421"/>
      <c r="Z9" s="421"/>
      <c r="AA9" s="421"/>
      <c r="AB9" s="421"/>
      <c r="AC9" s="421" t="s">
        <v>768</v>
      </c>
      <c r="AD9" s="421"/>
      <c r="AE9" s="421"/>
      <c r="AF9" s="421"/>
      <c r="AG9" s="421"/>
      <c r="AH9" s="421"/>
      <c r="AI9" s="448"/>
      <c r="AJ9" s="448"/>
      <c r="AK9" s="466"/>
      <c r="AL9" s="466"/>
      <c r="AM9" s="449"/>
      <c r="AN9" s="449"/>
      <c r="AO9" s="12"/>
    </row>
    <row r="10" spans="2:41" ht="17.25" thickBot="1">
      <c r="B10" s="11"/>
      <c r="C10" s="200"/>
      <c r="D10" s="201"/>
      <c r="E10" s="201"/>
      <c r="F10" s="201"/>
      <c r="G10" s="201"/>
      <c r="H10" s="201"/>
      <c r="I10" s="201"/>
      <c r="J10" s="201"/>
      <c r="K10" s="202" t="s">
        <v>768</v>
      </c>
      <c r="L10" s="201"/>
      <c r="M10" s="202"/>
      <c r="N10" s="201"/>
      <c r="O10" s="202"/>
      <c r="P10" s="470">
        <v>76800</v>
      </c>
      <c r="Q10" s="470">
        <v>77700</v>
      </c>
      <c r="R10" s="201"/>
      <c r="S10" s="202"/>
      <c r="T10" s="201"/>
      <c r="U10" s="201"/>
      <c r="V10" s="202"/>
      <c r="W10" s="201"/>
      <c r="X10" s="202"/>
      <c r="Y10" s="201"/>
      <c r="Z10" s="202"/>
      <c r="AA10" s="201"/>
      <c r="AB10" s="202"/>
      <c r="AC10" s="201"/>
      <c r="AD10" s="202"/>
      <c r="AE10" s="201"/>
      <c r="AF10" s="202"/>
      <c r="AG10" s="201"/>
      <c r="AH10" s="202"/>
      <c r="AI10" s="201"/>
      <c r="AJ10" s="202"/>
      <c r="AK10" s="201"/>
      <c r="AL10" s="202"/>
      <c r="AM10" s="201"/>
      <c r="AN10" s="202"/>
      <c r="AO10" s="12"/>
    </row>
    <row r="11" spans="2:41" ht="27" customHeight="1" thickBot="1">
      <c r="B11" s="11"/>
      <c r="C11" s="1491"/>
      <c r="D11" s="1492"/>
      <c r="E11" s="1492"/>
      <c r="F11" s="1492"/>
      <c r="G11" s="1492"/>
      <c r="H11" s="1492"/>
      <c r="I11" s="1492"/>
      <c r="J11" s="1492"/>
      <c r="K11" s="1493"/>
      <c r="L11" s="432"/>
      <c r="M11" s="432"/>
      <c r="N11" s="432"/>
      <c r="O11" s="432"/>
      <c r="P11" s="432"/>
      <c r="Q11" s="432"/>
      <c r="R11" s="432"/>
      <c r="S11" s="432"/>
      <c r="T11" s="432"/>
      <c r="U11" s="432"/>
      <c r="V11" s="432"/>
      <c r="W11" s="432"/>
      <c r="X11" s="432"/>
      <c r="Y11" s="432"/>
      <c r="Z11" s="432"/>
      <c r="AA11" s="432"/>
      <c r="AB11" s="432"/>
      <c r="AC11" s="432"/>
      <c r="AD11" s="432"/>
      <c r="AE11" s="432"/>
      <c r="AF11" s="432"/>
      <c r="AG11" s="432"/>
      <c r="AH11" s="432"/>
      <c r="AI11" s="432"/>
      <c r="AJ11" s="432"/>
      <c r="AK11" s="432"/>
      <c r="AL11" s="432"/>
      <c r="AM11" s="432"/>
      <c r="AN11" s="432"/>
      <c r="AO11" s="12"/>
    </row>
    <row r="12" spans="2:41" ht="30" customHeight="1">
      <c r="B12" s="11"/>
      <c r="C12" s="1535" t="s">
        <v>114</v>
      </c>
      <c r="D12" s="1500" t="s">
        <v>122</v>
      </c>
      <c r="E12" s="1537" t="s">
        <v>475</v>
      </c>
      <c r="F12" s="1537"/>
      <c r="G12" s="1535" t="s">
        <v>30</v>
      </c>
      <c r="H12" s="1500" t="s">
        <v>123</v>
      </c>
      <c r="I12" s="1531" t="s">
        <v>0</v>
      </c>
      <c r="J12" s="1546" t="s">
        <v>731</v>
      </c>
      <c r="K12" s="1544" t="s">
        <v>733</v>
      </c>
      <c r="L12" s="1546" t="s">
        <v>734</v>
      </c>
      <c r="M12" s="1544" t="s">
        <v>735</v>
      </c>
      <c r="N12" s="1546" t="s">
        <v>739</v>
      </c>
      <c r="O12" s="1544" t="s">
        <v>740</v>
      </c>
      <c r="P12" s="1546" t="s">
        <v>741</v>
      </c>
      <c r="Q12" s="1544" t="s">
        <v>742</v>
      </c>
      <c r="R12" s="1546" t="s">
        <v>736</v>
      </c>
      <c r="S12" s="1544" t="s">
        <v>737</v>
      </c>
      <c r="T12" s="1546" t="s">
        <v>743</v>
      </c>
      <c r="U12" s="435"/>
      <c r="V12" s="1544" t="s">
        <v>744</v>
      </c>
      <c r="W12" s="1550" t="s">
        <v>746</v>
      </c>
      <c r="X12" s="1552" t="s">
        <v>738</v>
      </c>
      <c r="Y12" s="1550" t="s">
        <v>747</v>
      </c>
      <c r="Z12" s="1552" t="s">
        <v>754</v>
      </c>
      <c r="AA12" s="1550" t="s">
        <v>753</v>
      </c>
      <c r="AB12" s="1552" t="s">
        <v>782</v>
      </c>
      <c r="AC12" s="1550" t="s">
        <v>748</v>
      </c>
      <c r="AD12" s="1552" t="s">
        <v>760</v>
      </c>
      <c r="AE12" s="1550" t="s">
        <v>757</v>
      </c>
      <c r="AF12" s="1552" t="s">
        <v>749</v>
      </c>
      <c r="AG12" s="1554" t="s">
        <v>745</v>
      </c>
      <c r="AH12" s="1562" t="s">
        <v>761</v>
      </c>
      <c r="AI12" s="1564" t="s">
        <v>1328</v>
      </c>
      <c r="AJ12" s="1566" t="s">
        <v>763</v>
      </c>
      <c r="AK12" s="1564" t="s">
        <v>1329</v>
      </c>
      <c r="AL12" s="1566" t="s">
        <v>763</v>
      </c>
      <c r="AM12" s="1558" t="s">
        <v>764</v>
      </c>
      <c r="AN12" s="1560" t="s">
        <v>762</v>
      </c>
      <c r="AO12" s="12"/>
    </row>
    <row r="13" spans="2:41" ht="71.25" customHeight="1" thickBot="1">
      <c r="B13" s="11"/>
      <c r="C13" s="1536"/>
      <c r="D13" s="1501"/>
      <c r="E13" s="280" t="s">
        <v>307</v>
      </c>
      <c r="F13" s="280" t="s">
        <v>308</v>
      </c>
      <c r="G13" s="1536"/>
      <c r="H13" s="1501"/>
      <c r="I13" s="1532"/>
      <c r="J13" s="1547"/>
      <c r="K13" s="1545"/>
      <c r="L13" s="1547"/>
      <c r="M13" s="1545"/>
      <c r="N13" s="1547"/>
      <c r="O13" s="1545"/>
      <c r="P13" s="1547"/>
      <c r="Q13" s="1545"/>
      <c r="R13" s="1547"/>
      <c r="S13" s="1545"/>
      <c r="T13" s="1547"/>
      <c r="U13" s="436"/>
      <c r="V13" s="1545"/>
      <c r="W13" s="1551"/>
      <c r="X13" s="1553"/>
      <c r="Y13" s="1551"/>
      <c r="Z13" s="1553"/>
      <c r="AA13" s="1551"/>
      <c r="AB13" s="1553"/>
      <c r="AC13" s="1551"/>
      <c r="AD13" s="1553"/>
      <c r="AE13" s="1551"/>
      <c r="AF13" s="1553"/>
      <c r="AG13" s="1555"/>
      <c r="AH13" s="1563"/>
      <c r="AI13" s="1565"/>
      <c r="AJ13" s="1567"/>
      <c r="AK13" s="1565"/>
      <c r="AL13" s="1567"/>
      <c r="AM13" s="1559"/>
      <c r="AN13" s="1561"/>
      <c r="AO13" s="12"/>
    </row>
    <row r="14" spans="2:41" ht="39.75" customHeight="1" thickBot="1">
      <c r="B14" s="11"/>
      <c r="C14" s="460"/>
      <c r="D14" s="461"/>
      <c r="E14" s="459"/>
      <c r="F14" s="459"/>
      <c r="G14" s="461"/>
      <c r="H14" s="461"/>
      <c r="I14" s="462"/>
      <c r="J14" s="488">
        <v>30537</v>
      </c>
      <c r="K14" s="488">
        <v>31896</v>
      </c>
      <c r="L14" s="441">
        <v>40100</v>
      </c>
      <c r="M14" s="441">
        <v>40429</v>
      </c>
      <c r="N14" s="443">
        <v>58214</v>
      </c>
      <c r="O14" s="444">
        <v>61360</v>
      </c>
      <c r="P14" s="443">
        <v>74553</v>
      </c>
      <c r="Q14" s="443">
        <v>74575</v>
      </c>
      <c r="R14" s="490">
        <v>86365</v>
      </c>
      <c r="S14" s="490">
        <v>86420</v>
      </c>
      <c r="T14" s="461"/>
      <c r="U14" s="461"/>
      <c r="V14" s="463"/>
      <c r="W14" s="441"/>
      <c r="X14" s="441"/>
      <c r="Y14" s="441">
        <v>61360</v>
      </c>
      <c r="Z14" s="441">
        <v>61420</v>
      </c>
      <c r="AA14" s="441">
        <v>76800</v>
      </c>
      <c r="AB14" s="441">
        <v>77750</v>
      </c>
      <c r="AC14" s="441">
        <v>86420</v>
      </c>
      <c r="AD14" s="441">
        <v>87900</v>
      </c>
      <c r="AE14" s="461"/>
      <c r="AF14" s="463"/>
      <c r="AG14" s="461"/>
      <c r="AH14" s="463"/>
      <c r="AI14" s="441">
        <v>30537</v>
      </c>
      <c r="AJ14" s="441">
        <v>31896</v>
      </c>
      <c r="AK14" s="441">
        <v>66000</v>
      </c>
      <c r="AL14" s="441">
        <v>66580</v>
      </c>
      <c r="AM14" s="461"/>
      <c r="AN14" s="463"/>
      <c r="AO14" s="12"/>
    </row>
    <row r="15" spans="2:41" ht="39.75" customHeight="1" thickBot="1">
      <c r="B15" s="11"/>
      <c r="C15" s="460"/>
      <c r="D15" s="461"/>
      <c r="E15" s="459"/>
      <c r="F15" s="459"/>
      <c r="G15" s="461"/>
      <c r="H15" s="461"/>
      <c r="I15" s="462"/>
      <c r="J15" s="441">
        <v>39200</v>
      </c>
      <c r="K15" s="441">
        <v>40100</v>
      </c>
      <c r="L15" s="441">
        <v>46210</v>
      </c>
      <c r="M15" s="441">
        <v>47053</v>
      </c>
      <c r="N15" s="443">
        <v>63227</v>
      </c>
      <c r="O15" s="443">
        <v>65737</v>
      </c>
      <c r="P15" s="443">
        <v>77700</v>
      </c>
      <c r="Q15" s="443">
        <v>77750</v>
      </c>
      <c r="R15" s="443">
        <v>87900</v>
      </c>
      <c r="S15" s="443">
        <v>88420</v>
      </c>
      <c r="T15" s="461"/>
      <c r="U15" s="461"/>
      <c r="V15" s="463"/>
      <c r="W15" s="441"/>
      <c r="X15" s="441"/>
      <c r="Y15" s="441">
        <v>61420</v>
      </c>
      <c r="Z15" s="441">
        <v>63227</v>
      </c>
      <c r="AA15" s="441">
        <v>83500</v>
      </c>
      <c r="AB15" s="441">
        <v>84170</v>
      </c>
      <c r="AC15" s="441">
        <v>90150</v>
      </c>
      <c r="AD15" s="441">
        <v>90715</v>
      </c>
      <c r="AE15" s="461"/>
      <c r="AF15" s="463"/>
      <c r="AG15" s="461"/>
      <c r="AH15" s="463"/>
      <c r="AI15" s="441"/>
      <c r="AJ15" s="441"/>
      <c r="AK15" s="441"/>
      <c r="AL15" s="441"/>
      <c r="AM15" s="461"/>
      <c r="AN15" s="463"/>
      <c r="AO15" s="12"/>
    </row>
    <row r="16" spans="2:41" ht="39.75" customHeight="1" thickBot="1">
      <c r="B16" s="11"/>
      <c r="C16" s="460"/>
      <c r="D16" s="461"/>
      <c r="E16" s="459"/>
      <c r="F16" s="459"/>
      <c r="G16" s="461"/>
      <c r="H16" s="461"/>
      <c r="I16" s="462"/>
      <c r="J16" s="465"/>
      <c r="K16" s="465"/>
      <c r="L16" s="441">
        <v>47090</v>
      </c>
      <c r="M16" s="441">
        <v>48183</v>
      </c>
      <c r="N16" s="441">
        <v>66000</v>
      </c>
      <c r="O16" s="441">
        <v>66580</v>
      </c>
      <c r="P16" s="444">
        <v>84170</v>
      </c>
      <c r="Q16" s="444">
        <v>84240</v>
      </c>
      <c r="R16" s="490">
        <v>89820</v>
      </c>
      <c r="S16" s="443">
        <v>90150</v>
      </c>
      <c r="T16" s="461"/>
      <c r="U16" s="461"/>
      <c r="V16" s="463"/>
      <c r="W16" s="441"/>
      <c r="X16" s="441"/>
      <c r="Y16" s="441"/>
      <c r="Z16" s="441"/>
      <c r="AA16" s="441">
        <v>84240</v>
      </c>
      <c r="AB16" s="441">
        <v>84285</v>
      </c>
      <c r="AC16" s="441"/>
      <c r="AD16" s="441"/>
      <c r="AE16" s="461"/>
      <c r="AF16" s="463"/>
      <c r="AG16" s="461"/>
      <c r="AH16" s="463"/>
      <c r="AI16" s="441"/>
      <c r="AJ16" s="441"/>
      <c r="AK16" s="441"/>
      <c r="AL16" s="441"/>
      <c r="AM16" s="461"/>
      <c r="AN16" s="463"/>
      <c r="AO16" s="12"/>
    </row>
    <row r="17" spans="2:42" ht="39.75" customHeight="1" thickBot="1">
      <c r="B17" s="11"/>
      <c r="C17" s="460"/>
      <c r="D17" s="461"/>
      <c r="E17" s="459"/>
      <c r="F17" s="459"/>
      <c r="G17" s="461"/>
      <c r="H17" s="461"/>
      <c r="I17" s="462"/>
      <c r="J17" s="465"/>
      <c r="K17" s="465"/>
      <c r="L17" s="465"/>
      <c r="M17" s="465"/>
      <c r="N17" s="465"/>
      <c r="O17" s="465"/>
      <c r="P17" s="465"/>
      <c r="Q17" s="465"/>
      <c r="R17" s="490">
        <v>90715</v>
      </c>
      <c r="S17" s="490">
        <v>90770</v>
      </c>
      <c r="T17" s="461"/>
      <c r="U17" s="461"/>
      <c r="V17" s="463"/>
      <c r="W17" s="465"/>
      <c r="X17" s="465"/>
      <c r="Y17" s="465"/>
      <c r="Z17" s="465"/>
      <c r="AA17" s="465"/>
      <c r="AB17" s="465"/>
      <c r="AC17" s="465"/>
      <c r="AD17" s="465"/>
      <c r="AE17" s="461"/>
      <c r="AF17" s="463"/>
      <c r="AG17" s="461"/>
      <c r="AH17" s="463"/>
      <c r="AI17" s="282" t="s">
        <v>775</v>
      </c>
      <c r="AJ17" s="472">
        <f>ROUND((AJ14-AI14)/1000,1)</f>
        <v>1.4</v>
      </c>
      <c r="AK17" s="282" t="s">
        <v>775</v>
      </c>
      <c r="AL17" s="472">
        <f>ROUND((AL14-AK14)/1000,1)</f>
        <v>0.6</v>
      </c>
      <c r="AM17" s="461"/>
      <c r="AN17" s="463"/>
      <c r="AO17" s="12"/>
    </row>
    <row r="18" spans="2:42" ht="30" customHeight="1" thickBot="1">
      <c r="B18" s="11"/>
      <c r="C18" s="281" t="s">
        <v>125</v>
      </c>
      <c r="D18" s="282"/>
      <c r="E18" s="282"/>
      <c r="F18" s="282"/>
      <c r="G18" s="282"/>
      <c r="H18" s="282"/>
      <c r="I18" s="282"/>
      <c r="J18" s="489" t="s">
        <v>770</v>
      </c>
      <c r="K18" s="282">
        <f>ROUND(((K14-J14)+(K15-J15))/1000,1)</f>
        <v>2.2999999999999998</v>
      </c>
      <c r="L18" s="489" t="s">
        <v>771</v>
      </c>
      <c r="M18" s="282">
        <f>ROUND(((M14-L14)+(M15-L15)+(M16-L16))/1000,1)</f>
        <v>2.2999999999999998</v>
      </c>
      <c r="N18" s="489" t="s">
        <v>770</v>
      </c>
      <c r="O18" s="282">
        <f>ROUND(((O14-N14)+(O15-N15)+(O16-N16))/1000,1)</f>
        <v>6.2</v>
      </c>
      <c r="P18" s="282" t="s">
        <v>770</v>
      </c>
      <c r="Q18" s="472">
        <f>ROUND(((Q14-P14)+(Q15-P15)+(Q16-P16))/1000,1)</f>
        <v>0.1</v>
      </c>
      <c r="R18" s="282" t="s">
        <v>770</v>
      </c>
      <c r="S18" s="282">
        <f>ROUND(((S14-R14)+(S15-R15)+(S16-R16)+(S17-R17))/1000,1)</f>
        <v>1</v>
      </c>
      <c r="T18" s="282"/>
      <c r="U18" s="282"/>
      <c r="V18" s="283"/>
      <c r="W18" s="282"/>
      <c r="X18" s="472"/>
      <c r="Y18" s="282" t="s">
        <v>772</v>
      </c>
      <c r="Z18" s="472">
        <f>ROUND(((Z14-Y14)+(Z15-Y15)+(Z16-Y16))/1000,1)</f>
        <v>1.9</v>
      </c>
      <c r="AA18" s="282" t="s">
        <v>772</v>
      </c>
      <c r="AB18" s="472">
        <f>ROUND(((AB14-AA14)+(AB15-AA15)+(AB16-AA16))/1000,1)</f>
        <v>1.7</v>
      </c>
      <c r="AC18" s="282" t="s">
        <v>772</v>
      </c>
      <c r="AD18" s="472">
        <f>ROUND(((AD14-AC14)+(AD15-AC15)+(AD16-AC16))/1000,1)</f>
        <v>2</v>
      </c>
      <c r="AE18" s="282"/>
      <c r="AF18" s="283"/>
      <c r="AG18" s="282"/>
      <c r="AH18" s="283"/>
      <c r="AI18" s="282"/>
      <c r="AJ18" s="472"/>
      <c r="AK18" s="282"/>
      <c r="AL18" s="472"/>
      <c r="AM18" s="282"/>
      <c r="AN18" s="283"/>
      <c r="AO18" s="12"/>
    </row>
    <row r="19" spans="2:42" s="345" customFormat="1" ht="30" hidden="1" customHeight="1">
      <c r="B19" s="346"/>
      <c r="C19" s="284">
        <v>1</v>
      </c>
      <c r="D19" s="285" t="s">
        <v>140</v>
      </c>
      <c r="E19" s="286"/>
      <c r="F19" s="286" t="s">
        <v>140</v>
      </c>
      <c r="G19" s="287" t="s">
        <v>147</v>
      </c>
      <c r="H19" s="285" t="s">
        <v>103</v>
      </c>
      <c r="I19" s="289" t="e">
        <f>+#REF!</f>
        <v>#REF!</v>
      </c>
      <c r="J19" s="288"/>
      <c r="K19" s="290" t="e">
        <f>I19*J19</f>
        <v>#REF!</v>
      </c>
      <c r="L19" s="288"/>
      <c r="M19" s="290" t="e">
        <f>L19*I19</f>
        <v>#REF!</v>
      </c>
      <c r="N19" s="288"/>
      <c r="O19" s="290" t="e">
        <f>N19*I19</f>
        <v>#REF!</v>
      </c>
      <c r="P19" s="288"/>
      <c r="Q19" s="290" t="e">
        <f>I19*P19</f>
        <v>#REF!</v>
      </c>
      <c r="R19" s="288"/>
      <c r="S19" s="290" t="e">
        <f>R19*I19</f>
        <v>#REF!</v>
      </c>
      <c r="T19" s="288">
        <f>J19+L19+N19+P19+R19</f>
        <v>0</v>
      </c>
      <c r="U19" s="437"/>
      <c r="V19" s="290" t="e">
        <f>I19*T19</f>
        <v>#REF!</v>
      </c>
      <c r="W19" s="288"/>
      <c r="X19" s="290" t="e">
        <f t="shared" ref="X19:X43" si="0">W19*I19</f>
        <v>#REF!</v>
      </c>
      <c r="Y19" s="288"/>
      <c r="Z19" s="290" t="e">
        <f>Y19*I19</f>
        <v>#REF!</v>
      </c>
      <c r="AA19" s="288"/>
      <c r="AB19" s="290" t="e">
        <f>AA19*I19</f>
        <v>#REF!</v>
      </c>
      <c r="AC19" s="288"/>
      <c r="AD19" s="290" t="e">
        <f>I19*AC19</f>
        <v>#REF!</v>
      </c>
      <c r="AE19" s="288">
        <f>Y19+AA19+AC19+W19</f>
        <v>0</v>
      </c>
      <c r="AF19" s="290" t="e">
        <f>AE19*I19</f>
        <v>#REF!</v>
      </c>
      <c r="AG19" s="288">
        <f t="shared" ref="AG19:AG43" si="1">T19+AE19</f>
        <v>0</v>
      </c>
      <c r="AH19" s="290" t="e">
        <f t="shared" ref="AH19:AH43" si="2">V19+AF19</f>
        <v>#REF!</v>
      </c>
      <c r="AI19" s="288"/>
      <c r="AJ19" s="290" t="e">
        <f>AI19*I19</f>
        <v>#REF!</v>
      </c>
      <c r="AK19" s="288"/>
      <c r="AL19" s="290" t="e">
        <f>AK19*I19</f>
        <v>#REF!</v>
      </c>
      <c r="AM19" s="288">
        <f>AG19-AI19-AK19</f>
        <v>0</v>
      </c>
      <c r="AN19" s="290" t="e">
        <f>AM19*I19</f>
        <v>#REF!</v>
      </c>
      <c r="AO19" s="349"/>
    </row>
    <row r="20" spans="2:42" s="345" customFormat="1" ht="30" hidden="1" customHeight="1">
      <c r="B20" s="346"/>
      <c r="C20" s="284">
        <f>C19+1</f>
        <v>2</v>
      </c>
      <c r="D20" s="329" t="s">
        <v>312</v>
      </c>
      <c r="E20" s="286" t="s">
        <v>430</v>
      </c>
      <c r="F20" s="286"/>
      <c r="G20" s="287" t="s">
        <v>311</v>
      </c>
      <c r="H20" s="285" t="s">
        <v>103</v>
      </c>
      <c r="I20" s="289" t="e">
        <f>#REF!</f>
        <v>#REF!</v>
      </c>
      <c r="J20" s="288"/>
      <c r="K20" s="290" t="e">
        <f t="shared" ref="K20:K43" si="3">I20*J20</f>
        <v>#REF!</v>
      </c>
      <c r="L20" s="288"/>
      <c r="M20" s="290" t="e">
        <f t="shared" ref="M20:M43" si="4">L20*I20</f>
        <v>#REF!</v>
      </c>
      <c r="N20" s="288"/>
      <c r="O20" s="290" t="e">
        <f t="shared" ref="O20:O43" si="5">N20*I20</f>
        <v>#REF!</v>
      </c>
      <c r="P20" s="288"/>
      <c r="Q20" s="290" t="e">
        <f t="shared" ref="Q20:Q43" si="6">I20*P20</f>
        <v>#REF!</v>
      </c>
      <c r="R20" s="288"/>
      <c r="S20" s="290" t="e">
        <f t="shared" ref="S20:S43" si="7">R20*I20</f>
        <v>#REF!</v>
      </c>
      <c r="T20" s="288">
        <f t="shared" ref="T20:T43" si="8">J20+L20+N20+P20+R20</f>
        <v>0</v>
      </c>
      <c r="U20" s="437"/>
      <c r="V20" s="290" t="e">
        <f t="shared" ref="V20:V43" si="9">I20*T20</f>
        <v>#REF!</v>
      </c>
      <c r="W20" s="288"/>
      <c r="X20" s="290" t="e">
        <f t="shared" si="0"/>
        <v>#REF!</v>
      </c>
      <c r="Y20" s="288"/>
      <c r="Z20" s="290" t="e">
        <f t="shared" ref="Z20:Z43" si="10">Y20*I20</f>
        <v>#REF!</v>
      </c>
      <c r="AA20" s="288"/>
      <c r="AB20" s="290" t="e">
        <f t="shared" ref="AB20:AB43" si="11">AA20*I20</f>
        <v>#REF!</v>
      </c>
      <c r="AC20" s="288"/>
      <c r="AD20" s="290" t="e">
        <f t="shared" ref="AD20:AD43" si="12">I20*AC20</f>
        <v>#REF!</v>
      </c>
      <c r="AE20" s="288">
        <f t="shared" ref="AE20:AE43" si="13">Y20+AA20+AC20+W20</f>
        <v>0</v>
      </c>
      <c r="AF20" s="290" t="e">
        <f t="shared" ref="AF20:AF43" si="14">AE20*I20</f>
        <v>#REF!</v>
      </c>
      <c r="AG20" s="288">
        <f t="shared" si="1"/>
        <v>0</v>
      </c>
      <c r="AH20" s="290" t="e">
        <f t="shared" si="2"/>
        <v>#REF!</v>
      </c>
      <c r="AI20" s="288"/>
      <c r="AJ20" s="290" t="e">
        <f t="shared" ref="AJ20:AJ43" si="15">AI20*I20</f>
        <v>#REF!</v>
      </c>
      <c r="AK20" s="288"/>
      <c r="AL20" s="290" t="e">
        <f t="shared" ref="AL20:AL43" si="16">AK20*I20</f>
        <v>#REF!</v>
      </c>
      <c r="AM20" s="288">
        <f t="shared" ref="AM20:AM43" si="17">AG20-AI20-AK20</f>
        <v>0</v>
      </c>
      <c r="AN20" s="290" t="e">
        <f t="shared" ref="AN20:AN43" si="18">AM20*I20</f>
        <v>#REF!</v>
      </c>
      <c r="AO20" s="349"/>
    </row>
    <row r="21" spans="2:42" s="345" customFormat="1" ht="30" customHeight="1">
      <c r="B21" s="346"/>
      <c r="C21" s="284">
        <f t="shared" ref="C21:C43" si="19">C20+1</f>
        <v>3</v>
      </c>
      <c r="D21" s="285" t="s">
        <v>35</v>
      </c>
      <c r="E21" s="286" t="s">
        <v>430</v>
      </c>
      <c r="F21" s="291"/>
      <c r="G21" s="287" t="s">
        <v>126</v>
      </c>
      <c r="H21" s="292" t="s">
        <v>103</v>
      </c>
      <c r="I21" s="289">
        <f>+'200.2'!N78</f>
        <v>878062</v>
      </c>
      <c r="J21" s="288"/>
      <c r="K21" s="290">
        <f t="shared" si="3"/>
        <v>0</v>
      </c>
      <c r="L21" s="288"/>
      <c r="M21" s="290">
        <f t="shared" si="4"/>
        <v>0</v>
      </c>
      <c r="N21" s="288"/>
      <c r="O21" s="290">
        <f t="shared" si="5"/>
        <v>0</v>
      </c>
      <c r="P21" s="288"/>
      <c r="Q21" s="290">
        <f t="shared" si="6"/>
        <v>0</v>
      </c>
      <c r="R21" s="288"/>
      <c r="S21" s="290">
        <f t="shared" si="7"/>
        <v>0</v>
      </c>
      <c r="T21" s="288">
        <f t="shared" si="8"/>
        <v>0</v>
      </c>
      <c r="U21" s="437"/>
      <c r="V21" s="290">
        <f t="shared" si="9"/>
        <v>0</v>
      </c>
      <c r="W21" s="288"/>
      <c r="X21" s="290">
        <f t="shared" si="0"/>
        <v>0</v>
      </c>
      <c r="Y21" s="288">
        <f>(1867*20)/10000</f>
        <v>3.734</v>
      </c>
      <c r="Z21" s="290">
        <f t="shared" si="10"/>
        <v>3278683.5079999999</v>
      </c>
      <c r="AA21" s="288">
        <f>(AB18*1000)/10000</f>
        <v>0.17</v>
      </c>
      <c r="AB21" s="290">
        <f t="shared" si="11"/>
        <v>149270.54</v>
      </c>
      <c r="AC21" s="288">
        <f>(2045*20)/10000</f>
        <v>4.09</v>
      </c>
      <c r="AD21" s="290">
        <f t="shared" si="12"/>
        <v>3591273.58</v>
      </c>
      <c r="AE21" s="288">
        <f t="shared" si="13"/>
        <v>7.9939999999999998</v>
      </c>
      <c r="AF21" s="290">
        <f t="shared" si="14"/>
        <v>7019227.6279999996</v>
      </c>
      <c r="AG21" s="288">
        <f t="shared" si="1"/>
        <v>7.9939999999999998</v>
      </c>
      <c r="AH21" s="290">
        <f t="shared" si="2"/>
        <v>7019227.6279999996</v>
      </c>
      <c r="AI21" s="288"/>
      <c r="AJ21" s="290">
        <f t="shared" si="15"/>
        <v>0</v>
      </c>
      <c r="AK21" s="288"/>
      <c r="AL21" s="290">
        <f t="shared" si="16"/>
        <v>0</v>
      </c>
      <c r="AM21" s="288">
        <f t="shared" si="17"/>
        <v>7.9939999999999998</v>
      </c>
      <c r="AN21" s="290">
        <f t="shared" si="18"/>
        <v>7019227.6279999996</v>
      </c>
      <c r="AO21" s="349"/>
    </row>
    <row r="22" spans="2:42" s="345" customFormat="1" ht="30" hidden="1" customHeight="1">
      <c r="B22" s="346"/>
      <c r="C22" s="284">
        <f t="shared" si="19"/>
        <v>4</v>
      </c>
      <c r="D22" s="285" t="s">
        <v>85</v>
      </c>
      <c r="E22" s="286" t="s">
        <v>434</v>
      </c>
      <c r="F22" s="291"/>
      <c r="G22" s="287" t="s">
        <v>141</v>
      </c>
      <c r="H22" s="292" t="s">
        <v>111</v>
      </c>
      <c r="I22" s="289" t="e">
        <f>+#REF!</f>
        <v>#REF!</v>
      </c>
      <c r="J22" s="288"/>
      <c r="K22" s="290" t="e">
        <f t="shared" si="3"/>
        <v>#REF!</v>
      </c>
      <c r="L22" s="288"/>
      <c r="M22" s="290" t="e">
        <f t="shared" si="4"/>
        <v>#REF!</v>
      </c>
      <c r="N22" s="288"/>
      <c r="O22" s="290" t="e">
        <f t="shared" si="5"/>
        <v>#REF!</v>
      </c>
      <c r="P22" s="288"/>
      <c r="Q22" s="290" t="e">
        <f t="shared" si="6"/>
        <v>#REF!</v>
      </c>
      <c r="R22" s="288"/>
      <c r="S22" s="290" t="e">
        <f t="shared" si="7"/>
        <v>#REF!</v>
      </c>
      <c r="T22" s="288">
        <f t="shared" si="8"/>
        <v>0</v>
      </c>
      <c r="U22" s="437"/>
      <c r="V22" s="290" t="e">
        <f t="shared" si="9"/>
        <v>#REF!</v>
      </c>
      <c r="W22" s="288"/>
      <c r="X22" s="290" t="e">
        <f t="shared" si="0"/>
        <v>#REF!</v>
      </c>
      <c r="Y22" s="288"/>
      <c r="Z22" s="290" t="e">
        <f t="shared" si="10"/>
        <v>#REF!</v>
      </c>
      <c r="AA22" s="288"/>
      <c r="AB22" s="290" t="e">
        <f t="shared" si="11"/>
        <v>#REF!</v>
      </c>
      <c r="AC22" s="288"/>
      <c r="AD22" s="290" t="e">
        <f t="shared" si="12"/>
        <v>#REF!</v>
      </c>
      <c r="AE22" s="288">
        <f t="shared" si="13"/>
        <v>0</v>
      </c>
      <c r="AF22" s="290" t="e">
        <f t="shared" si="14"/>
        <v>#REF!</v>
      </c>
      <c r="AG22" s="288">
        <f t="shared" si="1"/>
        <v>0</v>
      </c>
      <c r="AH22" s="290" t="e">
        <f t="shared" si="2"/>
        <v>#REF!</v>
      </c>
      <c r="AI22" s="288"/>
      <c r="AJ22" s="290" t="e">
        <f t="shared" si="15"/>
        <v>#REF!</v>
      </c>
      <c r="AK22" s="288"/>
      <c r="AL22" s="290" t="e">
        <f t="shared" si="16"/>
        <v>#REF!</v>
      </c>
      <c r="AM22" s="288">
        <f t="shared" si="17"/>
        <v>0</v>
      </c>
      <c r="AN22" s="290" t="e">
        <f t="shared" si="18"/>
        <v>#REF!</v>
      </c>
      <c r="AO22" s="349"/>
    </row>
    <row r="23" spans="2:42" s="345" customFormat="1" ht="30" hidden="1" customHeight="1">
      <c r="B23" s="346"/>
      <c r="C23" s="284">
        <f t="shared" si="19"/>
        <v>5</v>
      </c>
      <c r="D23" s="285" t="s">
        <v>517</v>
      </c>
      <c r="E23" s="286" t="s">
        <v>434</v>
      </c>
      <c r="F23" s="291"/>
      <c r="G23" s="287" t="s">
        <v>518</v>
      </c>
      <c r="H23" s="292" t="s">
        <v>28</v>
      </c>
      <c r="I23" s="289" t="e">
        <f>#REF!</f>
        <v>#REF!</v>
      </c>
      <c r="J23" s="288"/>
      <c r="K23" s="290" t="e">
        <f t="shared" si="3"/>
        <v>#REF!</v>
      </c>
      <c r="L23" s="288"/>
      <c r="M23" s="290" t="e">
        <f t="shared" si="4"/>
        <v>#REF!</v>
      </c>
      <c r="N23" s="288"/>
      <c r="O23" s="290" t="e">
        <f t="shared" si="5"/>
        <v>#REF!</v>
      </c>
      <c r="P23" s="288"/>
      <c r="Q23" s="290" t="e">
        <f t="shared" si="6"/>
        <v>#REF!</v>
      </c>
      <c r="R23" s="288"/>
      <c r="S23" s="290" t="e">
        <f t="shared" si="7"/>
        <v>#REF!</v>
      </c>
      <c r="T23" s="288">
        <f t="shared" si="8"/>
        <v>0</v>
      </c>
      <c r="U23" s="437"/>
      <c r="V23" s="290" t="e">
        <f t="shared" si="9"/>
        <v>#REF!</v>
      </c>
      <c r="W23" s="288"/>
      <c r="X23" s="290" t="e">
        <f t="shared" si="0"/>
        <v>#REF!</v>
      </c>
      <c r="Y23" s="288"/>
      <c r="Z23" s="290" t="e">
        <f t="shared" si="10"/>
        <v>#REF!</v>
      </c>
      <c r="AA23" s="288"/>
      <c r="AB23" s="290" t="e">
        <f t="shared" si="11"/>
        <v>#REF!</v>
      </c>
      <c r="AC23" s="288"/>
      <c r="AD23" s="290" t="e">
        <f t="shared" si="12"/>
        <v>#REF!</v>
      </c>
      <c r="AE23" s="288">
        <f t="shared" si="13"/>
        <v>0</v>
      </c>
      <c r="AF23" s="290" t="e">
        <f t="shared" si="14"/>
        <v>#REF!</v>
      </c>
      <c r="AG23" s="288">
        <f t="shared" si="1"/>
        <v>0</v>
      </c>
      <c r="AH23" s="290" t="e">
        <f t="shared" si="2"/>
        <v>#REF!</v>
      </c>
      <c r="AI23" s="288"/>
      <c r="AJ23" s="290" t="e">
        <f t="shared" si="15"/>
        <v>#REF!</v>
      </c>
      <c r="AK23" s="288"/>
      <c r="AL23" s="290" t="e">
        <f t="shared" si="16"/>
        <v>#REF!</v>
      </c>
      <c r="AM23" s="288">
        <f t="shared" si="17"/>
        <v>0</v>
      </c>
      <c r="AN23" s="290" t="e">
        <f t="shared" si="18"/>
        <v>#REF!</v>
      </c>
      <c r="AO23" s="349"/>
    </row>
    <row r="24" spans="2:42" s="345" customFormat="1" ht="30" hidden="1" customHeight="1">
      <c r="B24" s="346"/>
      <c r="C24" s="284">
        <f t="shared" si="19"/>
        <v>6</v>
      </c>
      <c r="D24" s="285" t="s">
        <v>519</v>
      </c>
      <c r="E24" s="286" t="s">
        <v>434</v>
      </c>
      <c r="F24" s="291"/>
      <c r="G24" s="287" t="s">
        <v>520</v>
      </c>
      <c r="H24" s="292" t="s">
        <v>28</v>
      </c>
      <c r="I24" s="289" t="e">
        <f>#REF!</f>
        <v>#REF!</v>
      </c>
      <c r="J24" s="288"/>
      <c r="K24" s="290" t="e">
        <f t="shared" si="3"/>
        <v>#REF!</v>
      </c>
      <c r="L24" s="288"/>
      <c r="M24" s="290" t="e">
        <f t="shared" si="4"/>
        <v>#REF!</v>
      </c>
      <c r="N24" s="288"/>
      <c r="O24" s="290" t="e">
        <f t="shared" si="5"/>
        <v>#REF!</v>
      </c>
      <c r="P24" s="288"/>
      <c r="Q24" s="290" t="e">
        <f t="shared" si="6"/>
        <v>#REF!</v>
      </c>
      <c r="R24" s="288"/>
      <c r="S24" s="290" t="e">
        <f t="shared" si="7"/>
        <v>#REF!</v>
      </c>
      <c r="T24" s="288">
        <f t="shared" si="8"/>
        <v>0</v>
      </c>
      <c r="U24" s="437"/>
      <c r="V24" s="290" t="e">
        <f t="shared" si="9"/>
        <v>#REF!</v>
      </c>
      <c r="W24" s="288"/>
      <c r="X24" s="290" t="e">
        <f t="shared" si="0"/>
        <v>#REF!</v>
      </c>
      <c r="Y24" s="288"/>
      <c r="Z24" s="290" t="e">
        <f t="shared" si="10"/>
        <v>#REF!</v>
      </c>
      <c r="AA24" s="288"/>
      <c r="AB24" s="290" t="e">
        <f t="shared" si="11"/>
        <v>#REF!</v>
      </c>
      <c r="AC24" s="288"/>
      <c r="AD24" s="290" t="e">
        <f t="shared" si="12"/>
        <v>#REF!</v>
      </c>
      <c r="AE24" s="288">
        <f t="shared" si="13"/>
        <v>0</v>
      </c>
      <c r="AF24" s="290" t="e">
        <f t="shared" si="14"/>
        <v>#REF!</v>
      </c>
      <c r="AG24" s="288">
        <f t="shared" si="1"/>
        <v>0</v>
      </c>
      <c r="AH24" s="290" t="e">
        <f t="shared" si="2"/>
        <v>#REF!</v>
      </c>
      <c r="AI24" s="288"/>
      <c r="AJ24" s="290" t="e">
        <f t="shared" si="15"/>
        <v>#REF!</v>
      </c>
      <c r="AK24" s="288"/>
      <c r="AL24" s="290" t="e">
        <f t="shared" si="16"/>
        <v>#REF!</v>
      </c>
      <c r="AM24" s="288">
        <f t="shared" si="17"/>
        <v>0</v>
      </c>
      <c r="AN24" s="290" t="e">
        <f t="shared" si="18"/>
        <v>#REF!</v>
      </c>
      <c r="AO24" s="349"/>
    </row>
    <row r="25" spans="2:42" s="345" customFormat="1" ht="30" hidden="1" customHeight="1">
      <c r="B25" s="346"/>
      <c r="C25" s="284">
        <f t="shared" si="19"/>
        <v>7</v>
      </c>
      <c r="D25" s="285" t="s">
        <v>521</v>
      </c>
      <c r="E25" s="286" t="s">
        <v>434</v>
      </c>
      <c r="F25" s="291"/>
      <c r="G25" s="287" t="s">
        <v>522</v>
      </c>
      <c r="H25" s="292" t="s">
        <v>81</v>
      </c>
      <c r="I25" s="289" t="e">
        <f>#REF!</f>
        <v>#REF!</v>
      </c>
      <c r="J25" s="288"/>
      <c r="K25" s="290" t="e">
        <f t="shared" si="3"/>
        <v>#REF!</v>
      </c>
      <c r="L25" s="288"/>
      <c r="M25" s="290" t="e">
        <f t="shared" si="4"/>
        <v>#REF!</v>
      </c>
      <c r="N25" s="288"/>
      <c r="O25" s="290" t="e">
        <f t="shared" si="5"/>
        <v>#REF!</v>
      </c>
      <c r="P25" s="288"/>
      <c r="Q25" s="290" t="e">
        <f t="shared" si="6"/>
        <v>#REF!</v>
      </c>
      <c r="R25" s="288"/>
      <c r="S25" s="290" t="e">
        <f t="shared" si="7"/>
        <v>#REF!</v>
      </c>
      <c r="T25" s="288">
        <f t="shared" si="8"/>
        <v>0</v>
      </c>
      <c r="U25" s="437"/>
      <c r="V25" s="290" t="e">
        <f t="shared" si="9"/>
        <v>#REF!</v>
      </c>
      <c r="W25" s="288"/>
      <c r="X25" s="290" t="e">
        <f t="shared" si="0"/>
        <v>#REF!</v>
      </c>
      <c r="Y25" s="288"/>
      <c r="Z25" s="290" t="e">
        <f t="shared" si="10"/>
        <v>#REF!</v>
      </c>
      <c r="AA25" s="288"/>
      <c r="AB25" s="290" t="e">
        <f t="shared" si="11"/>
        <v>#REF!</v>
      </c>
      <c r="AC25" s="288"/>
      <c r="AD25" s="290" t="e">
        <f t="shared" si="12"/>
        <v>#REF!</v>
      </c>
      <c r="AE25" s="288">
        <f t="shared" si="13"/>
        <v>0</v>
      </c>
      <c r="AF25" s="290" t="e">
        <f t="shared" si="14"/>
        <v>#REF!</v>
      </c>
      <c r="AG25" s="288">
        <f t="shared" si="1"/>
        <v>0</v>
      </c>
      <c r="AH25" s="290" t="e">
        <f t="shared" si="2"/>
        <v>#REF!</v>
      </c>
      <c r="AI25" s="288"/>
      <c r="AJ25" s="290" t="e">
        <f t="shared" si="15"/>
        <v>#REF!</v>
      </c>
      <c r="AK25" s="288"/>
      <c r="AL25" s="290" t="e">
        <f t="shared" si="16"/>
        <v>#REF!</v>
      </c>
      <c r="AM25" s="288">
        <f t="shared" si="17"/>
        <v>0</v>
      </c>
      <c r="AN25" s="290" t="e">
        <f t="shared" si="18"/>
        <v>#REF!</v>
      </c>
      <c r="AO25" s="349"/>
    </row>
    <row r="26" spans="2:42" s="345" customFormat="1" ht="30" hidden="1" customHeight="1">
      <c r="B26" s="346"/>
      <c r="C26" s="284">
        <f t="shared" si="19"/>
        <v>8</v>
      </c>
      <c r="D26" s="285" t="s">
        <v>83</v>
      </c>
      <c r="E26" s="285" t="s">
        <v>435</v>
      </c>
      <c r="F26" s="285"/>
      <c r="G26" s="287" t="s">
        <v>146</v>
      </c>
      <c r="H26" s="285" t="s">
        <v>81</v>
      </c>
      <c r="I26" s="289" t="e">
        <f>+#REF!</f>
        <v>#REF!</v>
      </c>
      <c r="J26" s="288"/>
      <c r="K26" s="290" t="e">
        <f t="shared" si="3"/>
        <v>#REF!</v>
      </c>
      <c r="L26" s="288"/>
      <c r="M26" s="290" t="e">
        <f t="shared" si="4"/>
        <v>#REF!</v>
      </c>
      <c r="N26" s="288"/>
      <c r="O26" s="290" t="e">
        <f t="shared" si="5"/>
        <v>#REF!</v>
      </c>
      <c r="P26" s="288"/>
      <c r="Q26" s="290" t="e">
        <f t="shared" si="6"/>
        <v>#REF!</v>
      </c>
      <c r="R26" s="288"/>
      <c r="S26" s="290" t="e">
        <f t="shared" si="7"/>
        <v>#REF!</v>
      </c>
      <c r="T26" s="288">
        <f t="shared" si="8"/>
        <v>0</v>
      </c>
      <c r="U26" s="437"/>
      <c r="V26" s="290" t="e">
        <f t="shared" si="9"/>
        <v>#REF!</v>
      </c>
      <c r="W26" s="288"/>
      <c r="X26" s="290" t="e">
        <f t="shared" si="0"/>
        <v>#REF!</v>
      </c>
      <c r="Y26" s="288"/>
      <c r="Z26" s="290" t="e">
        <f t="shared" si="10"/>
        <v>#REF!</v>
      </c>
      <c r="AA26" s="288"/>
      <c r="AB26" s="290" t="e">
        <f t="shared" si="11"/>
        <v>#REF!</v>
      </c>
      <c r="AC26" s="288"/>
      <c r="AD26" s="290" t="e">
        <f t="shared" si="12"/>
        <v>#REF!</v>
      </c>
      <c r="AE26" s="288">
        <f t="shared" si="13"/>
        <v>0</v>
      </c>
      <c r="AF26" s="290" t="e">
        <f t="shared" si="14"/>
        <v>#REF!</v>
      </c>
      <c r="AG26" s="288">
        <f t="shared" si="1"/>
        <v>0</v>
      </c>
      <c r="AH26" s="290" t="e">
        <f t="shared" si="2"/>
        <v>#REF!</v>
      </c>
      <c r="AI26" s="288"/>
      <c r="AJ26" s="290" t="e">
        <f t="shared" si="15"/>
        <v>#REF!</v>
      </c>
      <c r="AK26" s="288"/>
      <c r="AL26" s="290" t="e">
        <f t="shared" si="16"/>
        <v>#REF!</v>
      </c>
      <c r="AM26" s="288">
        <f t="shared" si="17"/>
        <v>0</v>
      </c>
      <c r="AN26" s="290" t="e">
        <f t="shared" si="18"/>
        <v>#REF!</v>
      </c>
      <c r="AO26" s="349"/>
    </row>
    <row r="27" spans="2:42" s="345" customFormat="1" ht="30" hidden="1" customHeight="1">
      <c r="B27" s="346"/>
      <c r="C27" s="284">
        <f t="shared" si="19"/>
        <v>9</v>
      </c>
      <c r="D27" s="285" t="s">
        <v>84</v>
      </c>
      <c r="E27" s="285" t="s">
        <v>434</v>
      </c>
      <c r="F27" s="285"/>
      <c r="G27" s="287" t="s">
        <v>171</v>
      </c>
      <c r="H27" s="285" t="s">
        <v>81</v>
      </c>
      <c r="I27" s="289" t="e">
        <f>+#REF!</f>
        <v>#REF!</v>
      </c>
      <c r="J27" s="288"/>
      <c r="K27" s="290" t="e">
        <f t="shared" si="3"/>
        <v>#REF!</v>
      </c>
      <c r="L27" s="288"/>
      <c r="M27" s="290" t="e">
        <f t="shared" si="4"/>
        <v>#REF!</v>
      </c>
      <c r="N27" s="288"/>
      <c r="O27" s="290" t="e">
        <f t="shared" si="5"/>
        <v>#REF!</v>
      </c>
      <c r="P27" s="288"/>
      <c r="Q27" s="290" t="e">
        <f t="shared" si="6"/>
        <v>#REF!</v>
      </c>
      <c r="R27" s="288"/>
      <c r="S27" s="290" t="e">
        <f t="shared" si="7"/>
        <v>#REF!</v>
      </c>
      <c r="T27" s="288">
        <f t="shared" si="8"/>
        <v>0</v>
      </c>
      <c r="U27" s="437"/>
      <c r="V27" s="290" t="e">
        <f t="shared" si="9"/>
        <v>#REF!</v>
      </c>
      <c r="W27" s="288"/>
      <c r="X27" s="290" t="e">
        <f t="shared" si="0"/>
        <v>#REF!</v>
      </c>
      <c r="Y27" s="288"/>
      <c r="Z27" s="290" t="e">
        <f t="shared" si="10"/>
        <v>#REF!</v>
      </c>
      <c r="AA27" s="288"/>
      <c r="AB27" s="290" t="e">
        <f t="shared" si="11"/>
        <v>#REF!</v>
      </c>
      <c r="AC27" s="288"/>
      <c r="AD27" s="290" t="e">
        <f t="shared" si="12"/>
        <v>#REF!</v>
      </c>
      <c r="AE27" s="288">
        <f t="shared" si="13"/>
        <v>0</v>
      </c>
      <c r="AF27" s="290" t="e">
        <f t="shared" si="14"/>
        <v>#REF!</v>
      </c>
      <c r="AG27" s="288">
        <f t="shared" si="1"/>
        <v>0</v>
      </c>
      <c r="AH27" s="290" t="e">
        <f t="shared" si="2"/>
        <v>#REF!</v>
      </c>
      <c r="AI27" s="288"/>
      <c r="AJ27" s="290" t="e">
        <f t="shared" si="15"/>
        <v>#REF!</v>
      </c>
      <c r="AK27" s="288"/>
      <c r="AL27" s="290" t="e">
        <f t="shared" si="16"/>
        <v>#REF!</v>
      </c>
      <c r="AM27" s="288">
        <f t="shared" si="17"/>
        <v>0</v>
      </c>
      <c r="AN27" s="290" t="e">
        <f t="shared" si="18"/>
        <v>#REF!</v>
      </c>
      <c r="AO27" s="349"/>
    </row>
    <row r="28" spans="2:42" s="345" customFormat="1" ht="30" hidden="1" customHeight="1">
      <c r="B28" s="346"/>
      <c r="C28" s="284">
        <f t="shared" si="19"/>
        <v>10</v>
      </c>
      <c r="D28" s="285" t="s">
        <v>549</v>
      </c>
      <c r="E28" s="285" t="s">
        <v>434</v>
      </c>
      <c r="F28" s="285"/>
      <c r="G28" s="287" t="s">
        <v>550</v>
      </c>
      <c r="H28" s="285" t="s">
        <v>82</v>
      </c>
      <c r="I28" s="289" t="e">
        <f>#REF!</f>
        <v>#REF!</v>
      </c>
      <c r="J28" s="288"/>
      <c r="K28" s="290" t="e">
        <f t="shared" si="3"/>
        <v>#REF!</v>
      </c>
      <c r="L28" s="288"/>
      <c r="M28" s="290" t="e">
        <f t="shared" si="4"/>
        <v>#REF!</v>
      </c>
      <c r="N28" s="288"/>
      <c r="O28" s="290" t="e">
        <f t="shared" si="5"/>
        <v>#REF!</v>
      </c>
      <c r="P28" s="288"/>
      <c r="Q28" s="290" t="e">
        <f t="shared" si="6"/>
        <v>#REF!</v>
      </c>
      <c r="R28" s="288"/>
      <c r="S28" s="290" t="e">
        <f t="shared" si="7"/>
        <v>#REF!</v>
      </c>
      <c r="T28" s="288">
        <f t="shared" si="8"/>
        <v>0</v>
      </c>
      <c r="U28" s="437"/>
      <c r="V28" s="290" t="e">
        <f t="shared" si="9"/>
        <v>#REF!</v>
      </c>
      <c r="W28" s="288"/>
      <c r="X28" s="290" t="e">
        <f t="shared" si="0"/>
        <v>#REF!</v>
      </c>
      <c r="Y28" s="288"/>
      <c r="Z28" s="290" t="e">
        <f t="shared" si="10"/>
        <v>#REF!</v>
      </c>
      <c r="AA28" s="288"/>
      <c r="AB28" s="290" t="e">
        <f t="shared" si="11"/>
        <v>#REF!</v>
      </c>
      <c r="AC28" s="288"/>
      <c r="AD28" s="290" t="e">
        <f t="shared" si="12"/>
        <v>#REF!</v>
      </c>
      <c r="AE28" s="288">
        <f t="shared" si="13"/>
        <v>0</v>
      </c>
      <c r="AF28" s="290" t="e">
        <f t="shared" si="14"/>
        <v>#REF!</v>
      </c>
      <c r="AG28" s="288">
        <f t="shared" si="1"/>
        <v>0</v>
      </c>
      <c r="AH28" s="290" t="e">
        <f t="shared" si="2"/>
        <v>#REF!</v>
      </c>
      <c r="AI28" s="288"/>
      <c r="AJ28" s="290" t="e">
        <f t="shared" si="15"/>
        <v>#REF!</v>
      </c>
      <c r="AK28" s="288"/>
      <c r="AL28" s="290" t="e">
        <f t="shared" si="16"/>
        <v>#REF!</v>
      </c>
      <c r="AM28" s="288">
        <f t="shared" si="17"/>
        <v>0</v>
      </c>
      <c r="AN28" s="290" t="e">
        <f t="shared" si="18"/>
        <v>#REF!</v>
      </c>
      <c r="AO28" s="349"/>
    </row>
    <row r="29" spans="2:42" s="345" customFormat="1" ht="30" customHeight="1">
      <c r="B29" s="346"/>
      <c r="C29" s="284">
        <f t="shared" si="19"/>
        <v>11</v>
      </c>
      <c r="D29" s="285" t="s">
        <v>86</v>
      </c>
      <c r="E29" s="286" t="s">
        <v>436</v>
      </c>
      <c r="F29" s="291"/>
      <c r="G29" s="287" t="s">
        <v>224</v>
      </c>
      <c r="H29" s="292" t="s">
        <v>111</v>
      </c>
      <c r="I29" s="289">
        <f>+'210.2.1'!N81</f>
        <v>31955</v>
      </c>
      <c r="J29" s="288"/>
      <c r="K29" s="290">
        <f t="shared" si="3"/>
        <v>0</v>
      </c>
      <c r="L29" s="288"/>
      <c r="M29" s="290">
        <f t="shared" si="4"/>
        <v>0</v>
      </c>
      <c r="N29" s="288"/>
      <c r="O29" s="290">
        <f t="shared" si="5"/>
        <v>0</v>
      </c>
      <c r="P29" s="288"/>
      <c r="Q29" s="290">
        <f t="shared" si="6"/>
        <v>0</v>
      </c>
      <c r="R29" s="288"/>
      <c r="S29" s="290">
        <f t="shared" si="7"/>
        <v>0</v>
      </c>
      <c r="T29" s="288">
        <f t="shared" si="8"/>
        <v>0</v>
      </c>
      <c r="U29" s="437"/>
      <c r="V29" s="290">
        <f t="shared" si="9"/>
        <v>0</v>
      </c>
      <c r="W29" s="288"/>
      <c r="X29" s="290">
        <f t="shared" si="0"/>
        <v>0</v>
      </c>
      <c r="Y29" s="288" t="e">
        <f>Y30*0.05</f>
        <v>#REF!</v>
      </c>
      <c r="Z29" s="290" t="e">
        <f t="shared" si="10"/>
        <v>#REF!</v>
      </c>
      <c r="AA29" s="288" t="e">
        <f>AA30*0.02</f>
        <v>#REF!</v>
      </c>
      <c r="AB29" s="290" t="e">
        <f t="shared" si="11"/>
        <v>#REF!</v>
      </c>
      <c r="AC29" s="288" t="e">
        <f>AC30*0.05</f>
        <v>#REF!</v>
      </c>
      <c r="AD29" s="290" t="e">
        <f t="shared" si="12"/>
        <v>#REF!</v>
      </c>
      <c r="AE29" s="288" t="e">
        <f t="shared" si="13"/>
        <v>#REF!</v>
      </c>
      <c r="AF29" s="290" t="e">
        <f t="shared" si="14"/>
        <v>#REF!</v>
      </c>
      <c r="AG29" s="288" t="e">
        <f t="shared" si="1"/>
        <v>#REF!</v>
      </c>
      <c r="AH29" s="290" t="e">
        <f t="shared" si="2"/>
        <v>#REF!</v>
      </c>
      <c r="AI29" s="288"/>
      <c r="AJ29" s="290">
        <f t="shared" si="15"/>
        <v>0</v>
      </c>
      <c r="AK29" s="288"/>
      <c r="AL29" s="290">
        <f t="shared" si="16"/>
        <v>0</v>
      </c>
      <c r="AM29" s="288" t="e">
        <f t="shared" si="17"/>
        <v>#REF!</v>
      </c>
      <c r="AN29" s="290" t="e">
        <f t="shared" si="18"/>
        <v>#REF!</v>
      </c>
      <c r="AO29" s="349"/>
    </row>
    <row r="30" spans="2:42" s="345" customFormat="1" ht="30" customHeight="1">
      <c r="B30" s="346"/>
      <c r="C30" s="284">
        <f t="shared" si="19"/>
        <v>12</v>
      </c>
      <c r="D30" s="285" t="s">
        <v>87</v>
      </c>
      <c r="E30" s="453" t="s">
        <v>436</v>
      </c>
      <c r="F30" s="291"/>
      <c r="G30" s="287" t="s">
        <v>172</v>
      </c>
      <c r="H30" s="292" t="s">
        <v>111</v>
      </c>
      <c r="I30" s="289">
        <f>+'210.2.2'!N81</f>
        <v>7355</v>
      </c>
      <c r="J30" s="429">
        <f>J32</f>
        <v>14436.186449999999</v>
      </c>
      <c r="K30" s="290">
        <f t="shared" si="3"/>
        <v>106178151.33974999</v>
      </c>
      <c r="L30" s="288">
        <f>+L32</f>
        <v>4843.665</v>
      </c>
      <c r="M30" s="290">
        <f t="shared" si="4"/>
        <v>35625156.075000003</v>
      </c>
      <c r="N30" s="288">
        <f>N32</f>
        <v>98891.289154250015</v>
      </c>
      <c r="O30" s="290">
        <f t="shared" si="5"/>
        <v>727345431.72950888</v>
      </c>
      <c r="P30" s="288">
        <f>P32</f>
        <v>1520.7838500000003</v>
      </c>
      <c r="Q30" s="290">
        <f t="shared" si="6"/>
        <v>11185365.216750002</v>
      </c>
      <c r="R30" s="288">
        <f>R32</f>
        <v>1116.1387500000001</v>
      </c>
      <c r="S30" s="290">
        <f t="shared" si="7"/>
        <v>8209200.5062500006</v>
      </c>
      <c r="T30" s="288">
        <f t="shared" si="8"/>
        <v>120808.06320425002</v>
      </c>
      <c r="U30" s="437"/>
      <c r="V30" s="290">
        <f t="shared" si="9"/>
        <v>888543304.86725891</v>
      </c>
      <c r="W30" s="288"/>
      <c r="X30" s="290">
        <f t="shared" si="0"/>
        <v>0</v>
      </c>
      <c r="Y30" s="288" t="e">
        <f>Y32+#REF!</f>
        <v>#REF!</v>
      </c>
      <c r="Z30" s="290" t="e">
        <f t="shared" si="10"/>
        <v>#REF!</v>
      </c>
      <c r="AA30" s="288" t="e">
        <f>#REF!+#REF!+#REF!+#REF!+#REF!+AA32</f>
        <v>#REF!</v>
      </c>
      <c r="AB30" s="290" t="e">
        <f t="shared" si="11"/>
        <v>#REF!</v>
      </c>
      <c r="AC30" s="288" t="e">
        <f>#REF!+#REF!+AC32</f>
        <v>#REF!</v>
      </c>
      <c r="AD30" s="290" t="e">
        <f t="shared" si="12"/>
        <v>#REF!</v>
      </c>
      <c r="AE30" s="288" t="e">
        <f t="shared" si="13"/>
        <v>#REF!</v>
      </c>
      <c r="AF30" s="290" t="e">
        <f t="shared" si="14"/>
        <v>#REF!</v>
      </c>
      <c r="AG30" s="288" t="e">
        <f t="shared" si="1"/>
        <v>#REF!</v>
      </c>
      <c r="AH30" s="290" t="e">
        <f t="shared" si="2"/>
        <v>#REF!</v>
      </c>
      <c r="AI30" s="288">
        <f>AI32</f>
        <v>11010.690449999998</v>
      </c>
      <c r="AJ30" s="290">
        <f t="shared" si="15"/>
        <v>80983628.259749994</v>
      </c>
      <c r="AK30" s="288"/>
      <c r="AL30" s="290">
        <f t="shared" si="16"/>
        <v>0</v>
      </c>
      <c r="AM30" s="288" t="e">
        <f t="shared" si="17"/>
        <v>#REF!</v>
      </c>
      <c r="AN30" s="290" t="e">
        <f t="shared" si="18"/>
        <v>#REF!</v>
      </c>
      <c r="AO30" s="349"/>
      <c r="AP30" s="345">
        <f>11.3*800*0.4</f>
        <v>3616</v>
      </c>
    </row>
    <row r="31" spans="2:42" s="345" customFormat="1" ht="30" hidden="1" customHeight="1">
      <c r="B31" s="346"/>
      <c r="C31" s="284">
        <f t="shared" si="19"/>
        <v>13</v>
      </c>
      <c r="D31" s="285" t="s">
        <v>88</v>
      </c>
      <c r="E31" s="286" t="s">
        <v>437</v>
      </c>
      <c r="F31" s="291"/>
      <c r="G31" s="287" t="s">
        <v>127</v>
      </c>
      <c r="H31" s="292" t="s">
        <v>111</v>
      </c>
      <c r="I31" s="289" t="e">
        <f>+#REF!</f>
        <v>#REF!</v>
      </c>
      <c r="J31" s="288"/>
      <c r="K31" s="290" t="e">
        <f t="shared" si="3"/>
        <v>#REF!</v>
      </c>
      <c r="L31" s="288"/>
      <c r="M31" s="290" t="e">
        <f t="shared" si="4"/>
        <v>#REF!</v>
      </c>
      <c r="N31" s="288"/>
      <c r="O31" s="290" t="e">
        <f t="shared" si="5"/>
        <v>#REF!</v>
      </c>
      <c r="P31" s="288"/>
      <c r="Q31" s="290" t="e">
        <f t="shared" si="6"/>
        <v>#REF!</v>
      </c>
      <c r="R31" s="288"/>
      <c r="S31" s="290" t="e">
        <f t="shared" si="7"/>
        <v>#REF!</v>
      </c>
      <c r="T31" s="288">
        <f t="shared" si="8"/>
        <v>0</v>
      </c>
      <c r="U31" s="437"/>
      <c r="V31" s="290" t="e">
        <f t="shared" si="9"/>
        <v>#REF!</v>
      </c>
      <c r="W31" s="288"/>
      <c r="X31" s="290" t="e">
        <f t="shared" si="0"/>
        <v>#REF!</v>
      </c>
      <c r="Y31" s="288"/>
      <c r="Z31" s="290" t="e">
        <f t="shared" si="10"/>
        <v>#REF!</v>
      </c>
      <c r="AA31" s="288"/>
      <c r="AB31" s="290" t="e">
        <f t="shared" si="11"/>
        <v>#REF!</v>
      </c>
      <c r="AC31" s="288"/>
      <c r="AD31" s="290" t="e">
        <f t="shared" si="12"/>
        <v>#REF!</v>
      </c>
      <c r="AE31" s="288">
        <f t="shared" si="13"/>
        <v>0</v>
      </c>
      <c r="AF31" s="290" t="e">
        <f t="shared" si="14"/>
        <v>#REF!</v>
      </c>
      <c r="AG31" s="288">
        <f t="shared" si="1"/>
        <v>0</v>
      </c>
      <c r="AH31" s="290" t="e">
        <f t="shared" si="2"/>
        <v>#REF!</v>
      </c>
      <c r="AI31" s="288"/>
      <c r="AJ31" s="290" t="e">
        <f t="shared" si="15"/>
        <v>#REF!</v>
      </c>
      <c r="AK31" s="288"/>
      <c r="AL31" s="290" t="e">
        <f t="shared" si="16"/>
        <v>#REF!</v>
      </c>
      <c r="AM31" s="288">
        <f t="shared" si="17"/>
        <v>0</v>
      </c>
      <c r="AN31" s="290" t="e">
        <f t="shared" si="18"/>
        <v>#REF!</v>
      </c>
      <c r="AO31" s="349"/>
    </row>
    <row r="32" spans="2:42" s="345" customFormat="1" ht="30" customHeight="1">
      <c r="B32" s="346"/>
      <c r="C32" s="284">
        <f t="shared" si="19"/>
        <v>14</v>
      </c>
      <c r="D32" s="285" t="s">
        <v>89</v>
      </c>
      <c r="E32" s="453" t="s">
        <v>438</v>
      </c>
      <c r="F32" s="291"/>
      <c r="G32" s="287" t="s">
        <v>129</v>
      </c>
      <c r="H32" s="292" t="s">
        <v>111</v>
      </c>
      <c r="I32" s="289">
        <f>+'220.1'!N81</f>
        <v>7819</v>
      </c>
      <c r="J32" s="288">
        <f>'[112]CANTIDADES TOTALIZADAS'!$AF$25+'[112]CANTIDADES TOTALIZADAS'!$AF$26</f>
        <v>14436.186449999999</v>
      </c>
      <c r="K32" s="290">
        <f t="shared" si="3"/>
        <v>112876541.85255</v>
      </c>
      <c r="L32" s="288">
        <f>'[112]CANTIDADES TOTALIZADAS'!$AQ$25+'[112]CANTIDADES TOTALIZADAS'!$AQ$26</f>
        <v>4843.665</v>
      </c>
      <c r="M32" s="290">
        <f t="shared" si="4"/>
        <v>37872616.634999998</v>
      </c>
      <c r="N32" s="288">
        <f>'[112]CANTIDADES TOTALIZADAS'!$AU$25+'[112]CANTIDADES TOTALIZADAS'!$AU$26</f>
        <v>98891.289154250015</v>
      </c>
      <c r="O32" s="290">
        <f t="shared" si="5"/>
        <v>773230989.8970809</v>
      </c>
      <c r="P32" s="288">
        <f>'[112]CANTIDADES TOTALIZADAS'!$BA$25+'[112]CANTIDADES TOTALIZADAS'!$BA$26</f>
        <v>1520.7838500000003</v>
      </c>
      <c r="Q32" s="290">
        <f t="shared" si="6"/>
        <v>11891008.923150001</v>
      </c>
      <c r="R32" s="288">
        <f>'[112]CANTIDADES TOTALIZADAS'!$BI$25+'[112]CANTIDADES TOTALIZADAS'!$BI$26</f>
        <v>1116.1387500000001</v>
      </c>
      <c r="S32" s="290">
        <f t="shared" si="7"/>
        <v>8727088.8862500004</v>
      </c>
      <c r="T32" s="288">
        <f t="shared" si="8"/>
        <v>120808.06320425002</v>
      </c>
      <c r="U32" s="437">
        <f>'[112]CANTIDADES TOTALIZADAS'!$BJ$25+'[112]CANTIDADES TOTALIZADAS'!$BJ$26</f>
        <v>120808.06320425001</v>
      </c>
      <c r="V32" s="290">
        <f t="shared" si="9"/>
        <v>944598246.19403088</v>
      </c>
      <c r="W32" s="288"/>
      <c r="X32" s="290">
        <f t="shared" si="0"/>
        <v>0</v>
      </c>
      <c r="Y32" s="288" t="e">
        <f>#REF!</f>
        <v>#REF!</v>
      </c>
      <c r="Z32" s="290" t="e">
        <f t="shared" si="10"/>
        <v>#REF!</v>
      </c>
      <c r="AA32" s="288" t="e">
        <f>#REF!+#REF!+#REF!+#REF!+#REF!</f>
        <v>#REF!</v>
      </c>
      <c r="AB32" s="290" t="e">
        <f t="shared" si="11"/>
        <v>#REF!</v>
      </c>
      <c r="AC32" s="288" t="e">
        <f>#REF!+#REF!</f>
        <v>#REF!</v>
      </c>
      <c r="AD32" s="290" t="e">
        <f t="shared" si="12"/>
        <v>#REF!</v>
      </c>
      <c r="AE32" s="288" t="e">
        <f t="shared" si="13"/>
        <v>#REF!</v>
      </c>
      <c r="AF32" s="290" t="e">
        <f t="shared" si="14"/>
        <v>#REF!</v>
      </c>
      <c r="AG32" s="288" t="e">
        <f t="shared" si="1"/>
        <v>#REF!</v>
      </c>
      <c r="AH32" s="290" t="e">
        <f t="shared" si="2"/>
        <v>#REF!</v>
      </c>
      <c r="AI32" s="288">
        <f>'CANTIDADES TOTALIZADAS'!AD25+'CANTIDADES TOTALIZADAS'!AD26</f>
        <v>11010.690449999998</v>
      </c>
      <c r="AJ32" s="290">
        <f t="shared" si="15"/>
        <v>86092588.628549993</v>
      </c>
      <c r="AK32" s="288"/>
      <c r="AL32" s="290">
        <f t="shared" si="16"/>
        <v>0</v>
      </c>
      <c r="AM32" s="288" t="e">
        <f t="shared" si="17"/>
        <v>#REF!</v>
      </c>
      <c r="AN32" s="290" t="e">
        <f t="shared" si="18"/>
        <v>#REF!</v>
      </c>
      <c r="AO32" s="349"/>
      <c r="AP32" s="345">
        <f>11.3*800*0.4</f>
        <v>3616</v>
      </c>
    </row>
    <row r="33" spans="2:41" s="345" customFormat="1" ht="30" hidden="1" customHeight="1">
      <c r="B33" s="346"/>
      <c r="C33" s="284">
        <f t="shared" si="19"/>
        <v>15</v>
      </c>
      <c r="D33" s="329" t="s">
        <v>313</v>
      </c>
      <c r="E33" s="286" t="s">
        <v>439</v>
      </c>
      <c r="F33" s="291"/>
      <c r="G33" s="343" t="s">
        <v>314</v>
      </c>
      <c r="H33" s="386" t="s">
        <v>111</v>
      </c>
      <c r="I33" s="289" t="e">
        <f>#REF!</f>
        <v>#REF!</v>
      </c>
      <c r="J33" s="288"/>
      <c r="K33" s="290" t="e">
        <f t="shared" si="3"/>
        <v>#REF!</v>
      </c>
      <c r="L33" s="288"/>
      <c r="M33" s="290" t="e">
        <f t="shared" si="4"/>
        <v>#REF!</v>
      </c>
      <c r="N33" s="288"/>
      <c r="O33" s="290" t="e">
        <f t="shared" si="5"/>
        <v>#REF!</v>
      </c>
      <c r="P33" s="288"/>
      <c r="Q33" s="290" t="e">
        <f t="shared" si="6"/>
        <v>#REF!</v>
      </c>
      <c r="R33" s="288"/>
      <c r="S33" s="290" t="e">
        <f t="shared" si="7"/>
        <v>#REF!</v>
      </c>
      <c r="T33" s="288">
        <f t="shared" si="8"/>
        <v>0</v>
      </c>
      <c r="U33" s="437"/>
      <c r="V33" s="290" t="e">
        <f t="shared" si="9"/>
        <v>#REF!</v>
      </c>
      <c r="W33" s="288"/>
      <c r="X33" s="290" t="e">
        <f t="shared" si="0"/>
        <v>#REF!</v>
      </c>
      <c r="Y33" s="288"/>
      <c r="Z33" s="290" t="e">
        <f t="shared" si="10"/>
        <v>#REF!</v>
      </c>
      <c r="AA33" s="288"/>
      <c r="AB33" s="290" t="e">
        <f t="shared" si="11"/>
        <v>#REF!</v>
      </c>
      <c r="AC33" s="288"/>
      <c r="AD33" s="290" t="e">
        <f t="shared" si="12"/>
        <v>#REF!</v>
      </c>
      <c r="AE33" s="288">
        <f t="shared" si="13"/>
        <v>0</v>
      </c>
      <c r="AF33" s="290" t="e">
        <f t="shared" si="14"/>
        <v>#REF!</v>
      </c>
      <c r="AG33" s="288">
        <f t="shared" si="1"/>
        <v>0</v>
      </c>
      <c r="AH33" s="290" t="e">
        <f t="shared" si="2"/>
        <v>#REF!</v>
      </c>
      <c r="AI33" s="288"/>
      <c r="AJ33" s="290" t="e">
        <f t="shared" si="15"/>
        <v>#REF!</v>
      </c>
      <c r="AK33" s="288"/>
      <c r="AL33" s="290" t="e">
        <f t="shared" si="16"/>
        <v>#REF!</v>
      </c>
      <c r="AM33" s="288">
        <f t="shared" si="17"/>
        <v>0</v>
      </c>
      <c r="AN33" s="290" t="e">
        <f t="shared" si="18"/>
        <v>#REF!</v>
      </c>
      <c r="AO33" s="349"/>
    </row>
    <row r="34" spans="2:41" s="345" customFormat="1" ht="30" hidden="1" customHeight="1">
      <c r="B34" s="346"/>
      <c r="C34" s="284">
        <f t="shared" si="19"/>
        <v>16</v>
      </c>
      <c r="D34" s="329" t="s">
        <v>315</v>
      </c>
      <c r="E34" s="329"/>
      <c r="F34" s="329" t="s">
        <v>315</v>
      </c>
      <c r="G34" s="343" t="s">
        <v>316</v>
      </c>
      <c r="H34" s="329" t="s">
        <v>111</v>
      </c>
      <c r="I34" s="289" t="e">
        <f>#REF!</f>
        <v>#REF!</v>
      </c>
      <c r="J34" s="288"/>
      <c r="K34" s="290" t="e">
        <f t="shared" si="3"/>
        <v>#REF!</v>
      </c>
      <c r="L34" s="288"/>
      <c r="M34" s="290" t="e">
        <f t="shared" si="4"/>
        <v>#REF!</v>
      </c>
      <c r="N34" s="288"/>
      <c r="O34" s="290" t="e">
        <f t="shared" si="5"/>
        <v>#REF!</v>
      </c>
      <c r="P34" s="288"/>
      <c r="Q34" s="290" t="e">
        <f t="shared" si="6"/>
        <v>#REF!</v>
      </c>
      <c r="R34" s="288"/>
      <c r="S34" s="290" t="e">
        <f t="shared" si="7"/>
        <v>#REF!</v>
      </c>
      <c r="T34" s="288">
        <f t="shared" si="8"/>
        <v>0</v>
      </c>
      <c r="U34" s="437"/>
      <c r="V34" s="290" t="e">
        <f t="shared" si="9"/>
        <v>#REF!</v>
      </c>
      <c r="W34" s="288"/>
      <c r="X34" s="290" t="e">
        <f t="shared" si="0"/>
        <v>#REF!</v>
      </c>
      <c r="Y34" s="288"/>
      <c r="Z34" s="290" t="e">
        <f t="shared" si="10"/>
        <v>#REF!</v>
      </c>
      <c r="AA34" s="288"/>
      <c r="AB34" s="290" t="e">
        <f t="shared" si="11"/>
        <v>#REF!</v>
      </c>
      <c r="AC34" s="288"/>
      <c r="AD34" s="290" t="e">
        <f t="shared" si="12"/>
        <v>#REF!</v>
      </c>
      <c r="AE34" s="288">
        <f t="shared" si="13"/>
        <v>0</v>
      </c>
      <c r="AF34" s="290" t="e">
        <f t="shared" si="14"/>
        <v>#REF!</v>
      </c>
      <c r="AG34" s="288">
        <f t="shared" si="1"/>
        <v>0</v>
      </c>
      <c r="AH34" s="290" t="e">
        <f t="shared" si="2"/>
        <v>#REF!</v>
      </c>
      <c r="AI34" s="288"/>
      <c r="AJ34" s="290" t="e">
        <f t="shared" si="15"/>
        <v>#REF!</v>
      </c>
      <c r="AK34" s="288"/>
      <c r="AL34" s="290" t="e">
        <f t="shared" si="16"/>
        <v>#REF!</v>
      </c>
      <c r="AM34" s="288">
        <f t="shared" si="17"/>
        <v>0</v>
      </c>
      <c r="AN34" s="290" t="e">
        <f t="shared" si="18"/>
        <v>#REF!</v>
      </c>
      <c r="AO34" s="349"/>
    </row>
    <row r="35" spans="2:41" s="345" customFormat="1" ht="30" hidden="1" customHeight="1">
      <c r="B35" s="346"/>
      <c r="C35" s="284">
        <f t="shared" si="19"/>
        <v>17</v>
      </c>
      <c r="D35" s="285">
        <v>230.1</v>
      </c>
      <c r="E35" s="286"/>
      <c r="F35" s="285">
        <v>230.1</v>
      </c>
      <c r="G35" s="287" t="s">
        <v>402</v>
      </c>
      <c r="H35" s="292" t="s">
        <v>28</v>
      </c>
      <c r="I35" s="289" t="e">
        <f>+#REF!</f>
        <v>#REF!</v>
      </c>
      <c r="J35" s="288"/>
      <c r="K35" s="290" t="e">
        <f t="shared" si="3"/>
        <v>#REF!</v>
      </c>
      <c r="L35" s="288"/>
      <c r="M35" s="290" t="e">
        <f t="shared" si="4"/>
        <v>#REF!</v>
      </c>
      <c r="N35" s="288"/>
      <c r="O35" s="290" t="e">
        <f t="shared" si="5"/>
        <v>#REF!</v>
      </c>
      <c r="P35" s="288"/>
      <c r="Q35" s="290" t="e">
        <f t="shared" si="6"/>
        <v>#REF!</v>
      </c>
      <c r="R35" s="288"/>
      <c r="S35" s="290" t="e">
        <f t="shared" si="7"/>
        <v>#REF!</v>
      </c>
      <c r="T35" s="288">
        <f t="shared" si="8"/>
        <v>0</v>
      </c>
      <c r="U35" s="437"/>
      <c r="V35" s="290" t="e">
        <f t="shared" si="9"/>
        <v>#REF!</v>
      </c>
      <c r="W35" s="288"/>
      <c r="X35" s="290" t="e">
        <f t="shared" si="0"/>
        <v>#REF!</v>
      </c>
      <c r="Y35" s="288"/>
      <c r="Z35" s="290" t="e">
        <f t="shared" si="10"/>
        <v>#REF!</v>
      </c>
      <c r="AA35" s="288"/>
      <c r="AB35" s="290" t="e">
        <f t="shared" si="11"/>
        <v>#REF!</v>
      </c>
      <c r="AC35" s="288"/>
      <c r="AD35" s="290" t="e">
        <f t="shared" si="12"/>
        <v>#REF!</v>
      </c>
      <c r="AE35" s="288">
        <f t="shared" si="13"/>
        <v>0</v>
      </c>
      <c r="AF35" s="290" t="e">
        <f t="shared" si="14"/>
        <v>#REF!</v>
      </c>
      <c r="AG35" s="288">
        <f t="shared" si="1"/>
        <v>0</v>
      </c>
      <c r="AH35" s="290" t="e">
        <f t="shared" si="2"/>
        <v>#REF!</v>
      </c>
      <c r="AI35" s="288"/>
      <c r="AJ35" s="290" t="e">
        <f t="shared" si="15"/>
        <v>#REF!</v>
      </c>
      <c r="AK35" s="288"/>
      <c r="AL35" s="290" t="e">
        <f t="shared" si="16"/>
        <v>#REF!</v>
      </c>
      <c r="AM35" s="288">
        <f t="shared" si="17"/>
        <v>0</v>
      </c>
      <c r="AN35" s="290" t="e">
        <f t="shared" si="18"/>
        <v>#REF!</v>
      </c>
      <c r="AO35" s="349"/>
    </row>
    <row r="36" spans="2:41" s="345" customFormat="1" ht="30" customHeight="1">
      <c r="B36" s="346"/>
      <c r="C36" s="284">
        <f t="shared" si="19"/>
        <v>18</v>
      </c>
      <c r="D36" s="285" t="s">
        <v>539</v>
      </c>
      <c r="E36" s="286"/>
      <c r="F36" s="285" t="s">
        <v>539</v>
      </c>
      <c r="G36" s="287" t="s">
        <v>402</v>
      </c>
      <c r="H36" s="292" t="s">
        <v>111</v>
      </c>
      <c r="I36" s="289">
        <f>+'230.1P'!N81</f>
        <v>39475</v>
      </c>
      <c r="J36" s="288"/>
      <c r="K36" s="290">
        <f t="shared" si="3"/>
        <v>0</v>
      </c>
      <c r="L36" s="288"/>
      <c r="M36" s="290">
        <f t="shared" si="4"/>
        <v>0</v>
      </c>
      <c r="N36" s="288"/>
      <c r="O36" s="290">
        <f t="shared" si="5"/>
        <v>0</v>
      </c>
      <c r="P36" s="288"/>
      <c r="Q36" s="290">
        <f t="shared" si="6"/>
        <v>0</v>
      </c>
      <c r="R36" s="288"/>
      <c r="S36" s="290">
        <f t="shared" si="7"/>
        <v>0</v>
      </c>
      <c r="T36" s="288">
        <f t="shared" si="8"/>
        <v>0</v>
      </c>
      <c r="U36" s="437"/>
      <c r="V36" s="290">
        <f t="shared" si="9"/>
        <v>0</v>
      </c>
      <c r="W36" s="288"/>
      <c r="X36" s="290">
        <f t="shared" si="0"/>
        <v>0</v>
      </c>
      <c r="Y36" s="288" t="e">
        <f>#REF!</f>
        <v>#REF!</v>
      </c>
      <c r="Z36" s="290" t="e">
        <f t="shared" si="10"/>
        <v>#REF!</v>
      </c>
      <c r="AA36" s="288" t="e">
        <f>#REF!+#REF!+#REF!+#REF!+#REF!</f>
        <v>#REF!</v>
      </c>
      <c r="AB36" s="290" t="e">
        <f t="shared" si="11"/>
        <v>#REF!</v>
      </c>
      <c r="AC36" s="288" t="e">
        <f>#REF!+#REF!</f>
        <v>#REF!</v>
      </c>
      <c r="AD36" s="290" t="e">
        <f t="shared" si="12"/>
        <v>#REF!</v>
      </c>
      <c r="AE36" s="288" t="e">
        <f t="shared" si="13"/>
        <v>#REF!</v>
      </c>
      <c r="AF36" s="290" t="e">
        <f t="shared" si="14"/>
        <v>#REF!</v>
      </c>
      <c r="AG36" s="288" t="e">
        <f t="shared" si="1"/>
        <v>#REF!</v>
      </c>
      <c r="AH36" s="290" t="e">
        <f t="shared" si="2"/>
        <v>#REF!</v>
      </c>
      <c r="AI36" s="288"/>
      <c r="AJ36" s="290">
        <f t="shared" si="15"/>
        <v>0</v>
      </c>
      <c r="AK36" s="288"/>
      <c r="AL36" s="290">
        <f t="shared" si="16"/>
        <v>0</v>
      </c>
      <c r="AM36" s="288" t="e">
        <f t="shared" si="17"/>
        <v>#REF!</v>
      </c>
      <c r="AN36" s="290" t="e">
        <f t="shared" si="18"/>
        <v>#REF!</v>
      </c>
      <c r="AO36" s="349"/>
    </row>
    <row r="37" spans="2:41" s="345" customFormat="1" ht="30" customHeight="1">
      <c r="B37" s="346"/>
      <c r="C37" s="284">
        <f t="shared" si="19"/>
        <v>19</v>
      </c>
      <c r="D37" s="293" t="s">
        <v>143</v>
      </c>
      <c r="E37" s="293" t="s">
        <v>440</v>
      </c>
      <c r="F37" s="293"/>
      <c r="G37" s="294" t="s">
        <v>142</v>
      </c>
      <c r="H37" s="285" t="s">
        <v>28</v>
      </c>
      <c r="I37" s="289" t="e">
        <f>+#REF!</f>
        <v>#REF!</v>
      </c>
      <c r="J37" s="288"/>
      <c r="K37" s="290" t="e">
        <f t="shared" si="3"/>
        <v>#REF!</v>
      </c>
      <c r="L37" s="288"/>
      <c r="M37" s="290" t="e">
        <f t="shared" si="4"/>
        <v>#REF!</v>
      </c>
      <c r="N37" s="288"/>
      <c r="O37" s="290" t="e">
        <f t="shared" si="5"/>
        <v>#REF!</v>
      </c>
      <c r="P37" s="288"/>
      <c r="Q37" s="290" t="e">
        <f t="shared" si="6"/>
        <v>#REF!</v>
      </c>
      <c r="R37" s="288"/>
      <c r="S37" s="290" t="e">
        <f t="shared" si="7"/>
        <v>#REF!</v>
      </c>
      <c r="T37" s="288">
        <f t="shared" si="8"/>
        <v>0</v>
      </c>
      <c r="U37" s="437"/>
      <c r="V37" s="290" t="e">
        <f t="shared" si="9"/>
        <v>#REF!</v>
      </c>
      <c r="W37" s="288"/>
      <c r="X37" s="290" t="e">
        <f t="shared" si="0"/>
        <v>#REF!</v>
      </c>
      <c r="Y37" s="288">
        <f>1837*24</f>
        <v>44088</v>
      </c>
      <c r="Z37" s="290" t="e">
        <f t="shared" si="10"/>
        <v>#REF!</v>
      </c>
      <c r="AA37" s="288">
        <f>1700*24</f>
        <v>40800</v>
      </c>
      <c r="AB37" s="290" t="e">
        <f t="shared" si="11"/>
        <v>#REF!</v>
      </c>
      <c r="AC37" s="288">
        <f>2045*24</f>
        <v>49080</v>
      </c>
      <c r="AD37" s="290" t="e">
        <f t="shared" si="12"/>
        <v>#REF!</v>
      </c>
      <c r="AE37" s="288">
        <f t="shared" si="13"/>
        <v>133968</v>
      </c>
      <c r="AF37" s="290" t="e">
        <f t="shared" si="14"/>
        <v>#REF!</v>
      </c>
      <c r="AG37" s="288">
        <f t="shared" si="1"/>
        <v>133968</v>
      </c>
      <c r="AH37" s="290" t="e">
        <f t="shared" si="2"/>
        <v>#REF!</v>
      </c>
      <c r="AI37" s="288"/>
      <c r="AJ37" s="290" t="e">
        <f t="shared" si="15"/>
        <v>#REF!</v>
      </c>
      <c r="AK37" s="288"/>
      <c r="AL37" s="290" t="e">
        <f t="shared" si="16"/>
        <v>#REF!</v>
      </c>
      <c r="AM37" s="288">
        <f t="shared" si="17"/>
        <v>133968</v>
      </c>
      <c r="AN37" s="290" t="e">
        <f t="shared" si="18"/>
        <v>#REF!</v>
      </c>
      <c r="AO37" s="349"/>
    </row>
    <row r="38" spans="2:41" s="345" customFormat="1" ht="30" hidden="1" customHeight="1">
      <c r="B38" s="346"/>
      <c r="C38" s="284">
        <f t="shared" si="19"/>
        <v>20</v>
      </c>
      <c r="D38" s="293">
        <v>232.1</v>
      </c>
      <c r="E38" s="293" t="s">
        <v>441</v>
      </c>
      <c r="F38" s="293"/>
      <c r="G38" s="294" t="s">
        <v>222</v>
      </c>
      <c r="H38" s="285" t="s">
        <v>28</v>
      </c>
      <c r="I38" s="289" t="e">
        <f>+#REF!</f>
        <v>#REF!</v>
      </c>
      <c r="J38" s="288"/>
      <c r="K38" s="290" t="e">
        <f t="shared" si="3"/>
        <v>#REF!</v>
      </c>
      <c r="L38" s="288"/>
      <c r="M38" s="290" t="e">
        <f t="shared" si="4"/>
        <v>#REF!</v>
      </c>
      <c r="N38" s="288"/>
      <c r="O38" s="290" t="e">
        <f t="shared" si="5"/>
        <v>#REF!</v>
      </c>
      <c r="P38" s="288"/>
      <c r="Q38" s="290" t="e">
        <f t="shared" si="6"/>
        <v>#REF!</v>
      </c>
      <c r="R38" s="288"/>
      <c r="S38" s="290" t="e">
        <f t="shared" si="7"/>
        <v>#REF!</v>
      </c>
      <c r="T38" s="288">
        <f t="shared" si="8"/>
        <v>0</v>
      </c>
      <c r="U38" s="437"/>
      <c r="V38" s="290" t="e">
        <f t="shared" si="9"/>
        <v>#REF!</v>
      </c>
      <c r="W38" s="288"/>
      <c r="X38" s="290" t="e">
        <f t="shared" si="0"/>
        <v>#REF!</v>
      </c>
      <c r="Y38" s="288"/>
      <c r="Z38" s="290" t="e">
        <f t="shared" si="10"/>
        <v>#REF!</v>
      </c>
      <c r="AA38" s="288"/>
      <c r="AB38" s="290" t="e">
        <f t="shared" si="11"/>
        <v>#REF!</v>
      </c>
      <c r="AC38" s="288"/>
      <c r="AD38" s="290" t="e">
        <f t="shared" si="12"/>
        <v>#REF!</v>
      </c>
      <c r="AE38" s="288">
        <f t="shared" si="13"/>
        <v>0</v>
      </c>
      <c r="AF38" s="290" t="e">
        <f t="shared" si="14"/>
        <v>#REF!</v>
      </c>
      <c r="AG38" s="288">
        <f t="shared" si="1"/>
        <v>0</v>
      </c>
      <c r="AH38" s="290" t="e">
        <f t="shared" si="2"/>
        <v>#REF!</v>
      </c>
      <c r="AI38" s="288"/>
      <c r="AJ38" s="290" t="e">
        <f t="shared" si="15"/>
        <v>#REF!</v>
      </c>
      <c r="AK38" s="288"/>
      <c r="AL38" s="290" t="e">
        <f t="shared" si="16"/>
        <v>#REF!</v>
      </c>
      <c r="AM38" s="288">
        <f t="shared" si="17"/>
        <v>0</v>
      </c>
      <c r="AN38" s="290" t="e">
        <f t="shared" si="18"/>
        <v>#REF!</v>
      </c>
      <c r="AO38" s="349"/>
    </row>
    <row r="39" spans="2:41" s="345" customFormat="1" ht="30" hidden="1" customHeight="1">
      <c r="B39" s="346"/>
      <c r="C39" s="284">
        <f t="shared" si="19"/>
        <v>21</v>
      </c>
      <c r="D39" s="329" t="s">
        <v>317</v>
      </c>
      <c r="E39" s="329"/>
      <c r="F39" s="329" t="s">
        <v>317</v>
      </c>
      <c r="G39" s="294" t="s">
        <v>318</v>
      </c>
      <c r="H39" s="329" t="s">
        <v>28</v>
      </c>
      <c r="I39" s="289" t="e">
        <f>#REF!</f>
        <v>#REF!</v>
      </c>
      <c r="J39" s="288"/>
      <c r="K39" s="290" t="e">
        <f t="shared" si="3"/>
        <v>#REF!</v>
      </c>
      <c r="L39" s="288"/>
      <c r="M39" s="290" t="e">
        <f t="shared" si="4"/>
        <v>#REF!</v>
      </c>
      <c r="N39" s="288"/>
      <c r="O39" s="290" t="e">
        <f t="shared" si="5"/>
        <v>#REF!</v>
      </c>
      <c r="P39" s="288"/>
      <c r="Q39" s="290" t="e">
        <f t="shared" si="6"/>
        <v>#REF!</v>
      </c>
      <c r="R39" s="288"/>
      <c r="S39" s="290" t="e">
        <f t="shared" si="7"/>
        <v>#REF!</v>
      </c>
      <c r="T39" s="288">
        <f t="shared" si="8"/>
        <v>0</v>
      </c>
      <c r="U39" s="437"/>
      <c r="V39" s="290" t="e">
        <f t="shared" si="9"/>
        <v>#REF!</v>
      </c>
      <c r="W39" s="288"/>
      <c r="X39" s="290" t="e">
        <f t="shared" si="0"/>
        <v>#REF!</v>
      </c>
      <c r="Y39" s="288"/>
      <c r="Z39" s="290" t="e">
        <f t="shared" si="10"/>
        <v>#REF!</v>
      </c>
      <c r="AA39" s="288"/>
      <c r="AB39" s="290" t="e">
        <f t="shared" si="11"/>
        <v>#REF!</v>
      </c>
      <c r="AC39" s="288"/>
      <c r="AD39" s="290" t="e">
        <f t="shared" si="12"/>
        <v>#REF!</v>
      </c>
      <c r="AE39" s="288">
        <f t="shared" si="13"/>
        <v>0</v>
      </c>
      <c r="AF39" s="290" t="e">
        <f t="shared" si="14"/>
        <v>#REF!</v>
      </c>
      <c r="AG39" s="288">
        <f t="shared" si="1"/>
        <v>0</v>
      </c>
      <c r="AH39" s="290" t="e">
        <f t="shared" si="2"/>
        <v>#REF!</v>
      </c>
      <c r="AI39" s="288"/>
      <c r="AJ39" s="290" t="e">
        <f t="shared" si="15"/>
        <v>#REF!</v>
      </c>
      <c r="AK39" s="288"/>
      <c r="AL39" s="290" t="e">
        <f t="shared" si="16"/>
        <v>#REF!</v>
      </c>
      <c r="AM39" s="288">
        <f t="shared" si="17"/>
        <v>0</v>
      </c>
      <c r="AN39" s="290" t="e">
        <f t="shared" si="18"/>
        <v>#REF!</v>
      </c>
      <c r="AO39" s="349"/>
    </row>
    <row r="40" spans="2:41" s="345" customFormat="1" ht="30" hidden="1" customHeight="1">
      <c r="B40" s="346"/>
      <c r="C40" s="284">
        <f t="shared" si="19"/>
        <v>22</v>
      </c>
      <c r="D40" s="329" t="s">
        <v>404</v>
      </c>
      <c r="E40" s="329"/>
      <c r="F40" s="329" t="s">
        <v>404</v>
      </c>
      <c r="G40" s="294" t="s">
        <v>319</v>
      </c>
      <c r="H40" s="329" t="s">
        <v>28</v>
      </c>
      <c r="I40" s="289" t="e">
        <f>#REF!</f>
        <v>#REF!</v>
      </c>
      <c r="J40" s="288"/>
      <c r="K40" s="290" t="e">
        <f t="shared" si="3"/>
        <v>#REF!</v>
      </c>
      <c r="L40" s="288"/>
      <c r="M40" s="290" t="e">
        <f t="shared" si="4"/>
        <v>#REF!</v>
      </c>
      <c r="N40" s="288"/>
      <c r="O40" s="290" t="e">
        <f t="shared" si="5"/>
        <v>#REF!</v>
      </c>
      <c r="P40" s="288"/>
      <c r="Q40" s="290" t="e">
        <f t="shared" si="6"/>
        <v>#REF!</v>
      </c>
      <c r="R40" s="288"/>
      <c r="S40" s="290" t="e">
        <f t="shared" si="7"/>
        <v>#REF!</v>
      </c>
      <c r="T40" s="288">
        <f t="shared" si="8"/>
        <v>0</v>
      </c>
      <c r="U40" s="437"/>
      <c r="V40" s="290" t="e">
        <f t="shared" si="9"/>
        <v>#REF!</v>
      </c>
      <c r="W40" s="288"/>
      <c r="X40" s="290" t="e">
        <f t="shared" si="0"/>
        <v>#REF!</v>
      </c>
      <c r="Y40" s="288"/>
      <c r="Z40" s="290" t="e">
        <f t="shared" si="10"/>
        <v>#REF!</v>
      </c>
      <c r="AA40" s="288"/>
      <c r="AB40" s="290" t="e">
        <f t="shared" si="11"/>
        <v>#REF!</v>
      </c>
      <c r="AC40" s="288"/>
      <c r="AD40" s="290" t="e">
        <f t="shared" si="12"/>
        <v>#REF!</v>
      </c>
      <c r="AE40" s="288">
        <f t="shared" si="13"/>
        <v>0</v>
      </c>
      <c r="AF40" s="290" t="e">
        <f t="shared" si="14"/>
        <v>#REF!</v>
      </c>
      <c r="AG40" s="288">
        <f t="shared" si="1"/>
        <v>0</v>
      </c>
      <c r="AH40" s="290" t="e">
        <f t="shared" si="2"/>
        <v>#REF!</v>
      </c>
      <c r="AI40" s="288"/>
      <c r="AJ40" s="290" t="e">
        <f t="shared" si="15"/>
        <v>#REF!</v>
      </c>
      <c r="AK40" s="288"/>
      <c r="AL40" s="290" t="e">
        <f t="shared" si="16"/>
        <v>#REF!</v>
      </c>
      <c r="AM40" s="288">
        <f t="shared" si="17"/>
        <v>0</v>
      </c>
      <c r="AN40" s="290" t="e">
        <f t="shared" si="18"/>
        <v>#REF!</v>
      </c>
      <c r="AO40" s="349"/>
    </row>
    <row r="41" spans="2:41" s="345" customFormat="1" ht="30" hidden="1" customHeight="1">
      <c r="B41" s="346"/>
      <c r="C41" s="284">
        <f t="shared" si="19"/>
        <v>23</v>
      </c>
      <c r="D41" s="329" t="s">
        <v>403</v>
      </c>
      <c r="E41" s="329"/>
      <c r="F41" s="329" t="s">
        <v>403</v>
      </c>
      <c r="G41" s="294" t="s">
        <v>320</v>
      </c>
      <c r="H41" s="329" t="s">
        <v>28</v>
      </c>
      <c r="I41" s="289" t="e">
        <f>#REF!</f>
        <v>#REF!</v>
      </c>
      <c r="J41" s="288"/>
      <c r="K41" s="290" t="e">
        <f t="shared" si="3"/>
        <v>#REF!</v>
      </c>
      <c r="L41" s="288"/>
      <c r="M41" s="290" t="e">
        <f t="shared" si="4"/>
        <v>#REF!</v>
      </c>
      <c r="N41" s="288"/>
      <c r="O41" s="290" t="e">
        <f t="shared" si="5"/>
        <v>#REF!</v>
      </c>
      <c r="P41" s="288"/>
      <c r="Q41" s="290" t="e">
        <f t="shared" si="6"/>
        <v>#REF!</v>
      </c>
      <c r="R41" s="288"/>
      <c r="S41" s="290" t="e">
        <f t="shared" si="7"/>
        <v>#REF!</v>
      </c>
      <c r="T41" s="288">
        <f t="shared" si="8"/>
        <v>0</v>
      </c>
      <c r="U41" s="437"/>
      <c r="V41" s="290" t="e">
        <f t="shared" si="9"/>
        <v>#REF!</v>
      </c>
      <c r="W41" s="288"/>
      <c r="X41" s="290" t="e">
        <f t="shared" si="0"/>
        <v>#REF!</v>
      </c>
      <c r="Y41" s="288"/>
      <c r="Z41" s="290" t="e">
        <f t="shared" si="10"/>
        <v>#REF!</v>
      </c>
      <c r="AA41" s="288"/>
      <c r="AB41" s="290" t="e">
        <f t="shared" si="11"/>
        <v>#REF!</v>
      </c>
      <c r="AC41" s="288"/>
      <c r="AD41" s="290" t="e">
        <f t="shared" si="12"/>
        <v>#REF!</v>
      </c>
      <c r="AE41" s="288">
        <f t="shared" si="13"/>
        <v>0</v>
      </c>
      <c r="AF41" s="290" t="e">
        <f t="shared" si="14"/>
        <v>#REF!</v>
      </c>
      <c r="AG41" s="288">
        <f t="shared" si="1"/>
        <v>0</v>
      </c>
      <c r="AH41" s="290" t="e">
        <f t="shared" si="2"/>
        <v>#REF!</v>
      </c>
      <c r="AI41" s="288"/>
      <c r="AJ41" s="290" t="e">
        <f t="shared" si="15"/>
        <v>#REF!</v>
      </c>
      <c r="AK41" s="288"/>
      <c r="AL41" s="290" t="e">
        <f t="shared" si="16"/>
        <v>#REF!</v>
      </c>
      <c r="AM41" s="288">
        <f t="shared" si="17"/>
        <v>0</v>
      </c>
      <c r="AN41" s="290" t="e">
        <f t="shared" si="18"/>
        <v>#REF!</v>
      </c>
      <c r="AO41" s="349"/>
    </row>
    <row r="42" spans="2:41" s="345" customFormat="1" ht="30" hidden="1" customHeight="1">
      <c r="B42" s="346"/>
      <c r="C42" s="284">
        <f t="shared" si="19"/>
        <v>24</v>
      </c>
      <c r="D42" s="285" t="s">
        <v>148</v>
      </c>
      <c r="E42" s="286"/>
      <c r="F42" s="285" t="s">
        <v>148</v>
      </c>
      <c r="G42" s="287" t="s">
        <v>139</v>
      </c>
      <c r="H42" s="292" t="s">
        <v>111</v>
      </c>
      <c r="I42" s="289" t="e">
        <f>+#REF!</f>
        <v>#REF!</v>
      </c>
      <c r="J42" s="288"/>
      <c r="K42" s="290" t="e">
        <f t="shared" si="3"/>
        <v>#REF!</v>
      </c>
      <c r="L42" s="288"/>
      <c r="M42" s="290" t="e">
        <f t="shared" si="4"/>
        <v>#REF!</v>
      </c>
      <c r="N42" s="288"/>
      <c r="O42" s="290" t="e">
        <f t="shared" si="5"/>
        <v>#REF!</v>
      </c>
      <c r="P42" s="288"/>
      <c r="Q42" s="290" t="e">
        <f t="shared" si="6"/>
        <v>#REF!</v>
      </c>
      <c r="R42" s="288"/>
      <c r="S42" s="290" t="e">
        <f t="shared" si="7"/>
        <v>#REF!</v>
      </c>
      <c r="T42" s="288">
        <f t="shared" si="8"/>
        <v>0</v>
      </c>
      <c r="U42" s="437"/>
      <c r="V42" s="290" t="e">
        <f t="shared" si="9"/>
        <v>#REF!</v>
      </c>
      <c r="W42" s="288"/>
      <c r="X42" s="290" t="e">
        <f t="shared" si="0"/>
        <v>#REF!</v>
      </c>
      <c r="Y42" s="288"/>
      <c r="Z42" s="290" t="e">
        <f t="shared" si="10"/>
        <v>#REF!</v>
      </c>
      <c r="AA42" s="288"/>
      <c r="AB42" s="290" t="e">
        <f t="shared" si="11"/>
        <v>#REF!</v>
      </c>
      <c r="AC42" s="288"/>
      <c r="AD42" s="290" t="e">
        <f t="shared" si="12"/>
        <v>#REF!</v>
      </c>
      <c r="AE42" s="288">
        <f t="shared" si="13"/>
        <v>0</v>
      </c>
      <c r="AF42" s="290" t="e">
        <f t="shared" si="14"/>
        <v>#REF!</v>
      </c>
      <c r="AG42" s="288">
        <f t="shared" si="1"/>
        <v>0</v>
      </c>
      <c r="AH42" s="290" t="e">
        <f t="shared" si="2"/>
        <v>#REF!</v>
      </c>
      <c r="AI42" s="288"/>
      <c r="AJ42" s="290" t="e">
        <f t="shared" si="15"/>
        <v>#REF!</v>
      </c>
      <c r="AK42" s="288"/>
      <c r="AL42" s="290" t="e">
        <f t="shared" si="16"/>
        <v>#REF!</v>
      </c>
      <c r="AM42" s="288">
        <f t="shared" si="17"/>
        <v>0</v>
      </c>
      <c r="AN42" s="290" t="e">
        <f t="shared" si="18"/>
        <v>#REF!</v>
      </c>
      <c r="AO42" s="349"/>
    </row>
    <row r="43" spans="2:41" s="345" customFormat="1" ht="30" hidden="1" customHeight="1" thickBot="1">
      <c r="B43" s="346"/>
      <c r="C43" s="284">
        <f t="shared" si="19"/>
        <v>25</v>
      </c>
      <c r="D43" s="329" t="s">
        <v>321</v>
      </c>
      <c r="E43" s="286"/>
      <c r="F43" s="329" t="s">
        <v>321</v>
      </c>
      <c r="G43" s="343" t="s">
        <v>322</v>
      </c>
      <c r="H43" s="386" t="s">
        <v>111</v>
      </c>
      <c r="I43" s="289" t="e">
        <f>#REF!</f>
        <v>#REF!</v>
      </c>
      <c r="J43" s="288"/>
      <c r="K43" s="290" t="e">
        <f t="shared" si="3"/>
        <v>#REF!</v>
      </c>
      <c r="L43" s="288"/>
      <c r="M43" s="290" t="e">
        <f t="shared" si="4"/>
        <v>#REF!</v>
      </c>
      <c r="N43" s="288"/>
      <c r="O43" s="290" t="e">
        <f t="shared" si="5"/>
        <v>#REF!</v>
      </c>
      <c r="P43" s="288"/>
      <c r="Q43" s="290" t="e">
        <f t="shared" si="6"/>
        <v>#REF!</v>
      </c>
      <c r="R43" s="288"/>
      <c r="S43" s="290" t="e">
        <f t="shared" si="7"/>
        <v>#REF!</v>
      </c>
      <c r="T43" s="288">
        <f t="shared" si="8"/>
        <v>0</v>
      </c>
      <c r="U43" s="437"/>
      <c r="V43" s="290" t="e">
        <f t="shared" si="9"/>
        <v>#REF!</v>
      </c>
      <c r="W43" s="288"/>
      <c r="X43" s="290" t="e">
        <f t="shared" si="0"/>
        <v>#REF!</v>
      </c>
      <c r="Y43" s="288"/>
      <c r="Z43" s="290" t="e">
        <f t="shared" si="10"/>
        <v>#REF!</v>
      </c>
      <c r="AA43" s="288"/>
      <c r="AB43" s="290" t="e">
        <f t="shared" si="11"/>
        <v>#REF!</v>
      </c>
      <c r="AC43" s="288"/>
      <c r="AD43" s="290" t="e">
        <f t="shared" si="12"/>
        <v>#REF!</v>
      </c>
      <c r="AE43" s="288">
        <f t="shared" si="13"/>
        <v>0</v>
      </c>
      <c r="AF43" s="290" t="e">
        <f t="shared" si="14"/>
        <v>#REF!</v>
      </c>
      <c r="AG43" s="288">
        <f t="shared" si="1"/>
        <v>0</v>
      </c>
      <c r="AH43" s="290" t="e">
        <f t="shared" si="2"/>
        <v>#REF!</v>
      </c>
      <c r="AI43" s="288"/>
      <c r="AJ43" s="290" t="e">
        <f t="shared" si="15"/>
        <v>#REF!</v>
      </c>
      <c r="AK43" s="288"/>
      <c r="AL43" s="290" t="e">
        <f t="shared" si="16"/>
        <v>#REF!</v>
      </c>
      <c r="AM43" s="288">
        <f t="shared" si="17"/>
        <v>0</v>
      </c>
      <c r="AN43" s="290" t="e">
        <f t="shared" si="18"/>
        <v>#REF!</v>
      </c>
      <c r="AO43" s="349"/>
    </row>
    <row r="44" spans="2:41" s="345" customFormat="1" ht="30" customHeight="1" thickBot="1">
      <c r="B44" s="346"/>
      <c r="C44" s="295" t="s">
        <v>170</v>
      </c>
      <c r="D44" s="296"/>
      <c r="E44" s="297"/>
      <c r="F44" s="297"/>
      <c r="G44" s="298"/>
      <c r="H44" s="299"/>
      <c r="I44" s="300"/>
      <c r="J44" s="288"/>
      <c r="K44" s="301" t="e">
        <f>ROUND(SUM(K19:K43),0)</f>
        <v>#REF!</v>
      </c>
      <c r="L44" s="288"/>
      <c r="M44" s="301" t="e">
        <f>ROUND(SUM(M19:M43),0)</f>
        <v>#REF!</v>
      </c>
      <c r="N44" s="288"/>
      <c r="O44" s="301" t="e">
        <f>ROUND(SUM(O19:O43),0)</f>
        <v>#REF!</v>
      </c>
      <c r="P44" s="288"/>
      <c r="Q44" s="301" t="e">
        <f>ROUND(SUM(Q19:Q43),0)</f>
        <v>#REF!</v>
      </c>
      <c r="R44" s="288"/>
      <c r="S44" s="301" t="e">
        <f>ROUND(SUM(S19:S43),0)</f>
        <v>#REF!</v>
      </c>
      <c r="T44" s="288"/>
      <c r="U44" s="438"/>
      <c r="V44" s="301" t="e">
        <f>ROUND(SUM(V19:V43),0)</f>
        <v>#REF!</v>
      </c>
      <c r="W44" s="288"/>
      <c r="X44" s="301" t="e">
        <f>ROUND(SUM(X19:X43),0)</f>
        <v>#REF!</v>
      </c>
      <c r="Y44" s="288"/>
      <c r="Z44" s="301" t="e">
        <f>ROUND(SUM(Z19:Z43),0)</f>
        <v>#REF!</v>
      </c>
      <c r="AA44" s="288"/>
      <c r="AB44" s="301" t="e">
        <f>ROUND(SUM(AB19:AB43),0)</f>
        <v>#REF!</v>
      </c>
      <c r="AC44" s="288"/>
      <c r="AD44" s="301" t="e">
        <f>ROUND(SUM(AD19:AD43),0)</f>
        <v>#REF!</v>
      </c>
      <c r="AE44" s="288"/>
      <c r="AF44" s="301" t="e">
        <f>ROUND(SUM(AF19:AF43),0)</f>
        <v>#REF!</v>
      </c>
      <c r="AG44" s="288"/>
      <c r="AH44" s="301" t="e">
        <f>ROUND(SUM(AH19:AH43),0)</f>
        <v>#REF!</v>
      </c>
      <c r="AI44" s="288"/>
      <c r="AJ44" s="301" t="e">
        <f>ROUND(SUM(AJ19:AJ43),0)</f>
        <v>#REF!</v>
      </c>
      <c r="AK44" s="288"/>
      <c r="AL44" s="301" t="e">
        <f>ROUND(SUM(AL19:AL43),0)</f>
        <v>#REF!</v>
      </c>
      <c r="AM44" s="288"/>
      <c r="AN44" s="301" t="e">
        <f>ROUND(SUM(AN19:AN43),0)</f>
        <v>#REF!</v>
      </c>
      <c r="AO44" s="349"/>
    </row>
    <row r="45" spans="2:41" s="345" customFormat="1" ht="30" customHeight="1" thickBot="1">
      <c r="B45" s="346"/>
      <c r="C45" s="281" t="s">
        <v>161</v>
      </c>
      <c r="D45" s="282"/>
      <c r="E45" s="282"/>
      <c r="F45" s="282"/>
      <c r="G45" s="282"/>
      <c r="H45" s="282"/>
      <c r="I45" s="282"/>
      <c r="J45" s="282"/>
      <c r="K45" s="283"/>
      <c r="L45" s="282"/>
      <c r="M45" s="283"/>
      <c r="N45" s="282"/>
      <c r="O45" s="283"/>
      <c r="P45" s="282"/>
      <c r="Q45" s="283"/>
      <c r="R45" s="282"/>
      <c r="S45" s="283"/>
      <c r="T45" s="282"/>
      <c r="U45" s="282"/>
      <c r="V45" s="283"/>
      <c r="W45" s="282"/>
      <c r="X45" s="283"/>
      <c r="Y45" s="282"/>
      <c r="Z45" s="283"/>
      <c r="AA45" s="282"/>
      <c r="AB45" s="283"/>
      <c r="AC45" s="282"/>
      <c r="AD45" s="283"/>
      <c r="AE45" s="282"/>
      <c r="AF45" s="283"/>
      <c r="AG45" s="282"/>
      <c r="AH45" s="283"/>
      <c r="AI45" s="282"/>
      <c r="AJ45" s="283"/>
      <c r="AK45" s="282"/>
      <c r="AL45" s="283"/>
      <c r="AM45" s="282"/>
      <c r="AN45" s="283"/>
      <c r="AO45" s="349"/>
    </row>
    <row r="46" spans="2:41" s="345" customFormat="1" ht="30" hidden="1" customHeight="1">
      <c r="B46" s="346"/>
      <c r="C46" s="302">
        <f>C43+1</f>
        <v>26</v>
      </c>
      <c r="D46" s="303" t="s">
        <v>405</v>
      </c>
      <c r="E46" s="304" t="s">
        <v>442</v>
      </c>
      <c r="F46" s="305"/>
      <c r="G46" s="306" t="s">
        <v>128</v>
      </c>
      <c r="H46" s="307" t="s">
        <v>28</v>
      </c>
      <c r="I46" s="308" t="e">
        <f>+#REF!</f>
        <v>#REF!</v>
      </c>
      <c r="J46" s="288"/>
      <c r="K46" s="290" t="e">
        <f t="shared" ref="K46:K56" si="20">I46*J46</f>
        <v>#REF!</v>
      </c>
      <c r="L46" s="288"/>
      <c r="M46" s="290" t="e">
        <f t="shared" ref="M46:M56" si="21">L46*I46</f>
        <v>#REF!</v>
      </c>
      <c r="N46" s="288"/>
      <c r="O46" s="290" t="e">
        <f t="shared" ref="O46:O56" si="22">N46*I46</f>
        <v>#REF!</v>
      </c>
      <c r="P46" s="288"/>
      <c r="Q46" s="290" t="e">
        <f t="shared" ref="Q46:Q56" si="23">I46*P46</f>
        <v>#REF!</v>
      </c>
      <c r="R46" s="288"/>
      <c r="S46" s="290" t="e">
        <f t="shared" ref="S46:S56" si="24">R46*I46</f>
        <v>#REF!</v>
      </c>
      <c r="T46" s="288">
        <f t="shared" ref="T46:T56" si="25">J46+L46+N46+P46+R46</f>
        <v>0</v>
      </c>
      <c r="U46" s="437"/>
      <c r="V46" s="290" t="e">
        <f t="shared" ref="V46:V56" si="26">I46*T46</f>
        <v>#REF!</v>
      </c>
      <c r="W46" s="288"/>
      <c r="X46" s="290" t="e">
        <f t="shared" ref="X46:X56" si="27">W46*I46</f>
        <v>#REF!</v>
      </c>
      <c r="Y46" s="288"/>
      <c r="Z46" s="290" t="e">
        <f t="shared" ref="Z46:Z56" si="28">Y46*I46</f>
        <v>#REF!</v>
      </c>
      <c r="AA46" s="288"/>
      <c r="AB46" s="290" t="e">
        <f t="shared" ref="AB46:AB56" si="29">AA46*I46</f>
        <v>#REF!</v>
      </c>
      <c r="AC46" s="288"/>
      <c r="AD46" s="290" t="e">
        <f t="shared" ref="AD46:AD56" si="30">I46*AC46</f>
        <v>#REF!</v>
      </c>
      <c r="AE46" s="288">
        <f t="shared" ref="AE46:AE56" si="31">Y46+AA46+AC46+W46</f>
        <v>0</v>
      </c>
      <c r="AF46" s="290" t="e">
        <f t="shared" ref="AF46:AF56" si="32">AE46*I46</f>
        <v>#REF!</v>
      </c>
      <c r="AG46" s="288">
        <f t="shared" ref="AG46:AG56" si="33">T46+AE46</f>
        <v>0</v>
      </c>
      <c r="AH46" s="290" t="e">
        <f t="shared" ref="AH46:AH56" si="34">V46+AF46</f>
        <v>#REF!</v>
      </c>
      <c r="AI46" s="288"/>
      <c r="AJ46" s="290" t="e">
        <f t="shared" ref="AJ46:AJ56" si="35">AI46*I46</f>
        <v>#REF!</v>
      </c>
      <c r="AK46" s="288"/>
      <c r="AL46" s="290" t="e">
        <f t="shared" ref="AL46:AL56" si="36">AK46*I46</f>
        <v>#REF!</v>
      </c>
      <c r="AM46" s="288">
        <f t="shared" ref="AM46:AM56" si="37">AG46-AI46-AK46</f>
        <v>0</v>
      </c>
      <c r="AN46" s="290" t="e">
        <f t="shared" ref="AN46:AN56" si="38">AM46*I46</f>
        <v>#REF!</v>
      </c>
      <c r="AO46" s="349"/>
    </row>
    <row r="47" spans="2:41" s="345" customFormat="1" ht="30" hidden="1" customHeight="1">
      <c r="B47" s="346"/>
      <c r="C47" s="309">
        <f>C46+1</f>
        <v>27</v>
      </c>
      <c r="D47" s="327" t="s">
        <v>406</v>
      </c>
      <c r="E47" s="387" t="s">
        <v>443</v>
      </c>
      <c r="F47" s="291"/>
      <c r="G47" s="328" t="s">
        <v>323</v>
      </c>
      <c r="H47" s="329" t="s">
        <v>111</v>
      </c>
      <c r="I47" s="310" t="e">
        <f>#REF!</f>
        <v>#REF!</v>
      </c>
      <c r="J47" s="288"/>
      <c r="K47" s="290" t="e">
        <f t="shared" si="20"/>
        <v>#REF!</v>
      </c>
      <c r="L47" s="288"/>
      <c r="M47" s="290" t="e">
        <f t="shared" si="21"/>
        <v>#REF!</v>
      </c>
      <c r="N47" s="288"/>
      <c r="O47" s="290" t="e">
        <f t="shared" si="22"/>
        <v>#REF!</v>
      </c>
      <c r="P47" s="288"/>
      <c r="Q47" s="290" t="e">
        <f t="shared" si="23"/>
        <v>#REF!</v>
      </c>
      <c r="R47" s="288"/>
      <c r="S47" s="290" t="e">
        <f t="shared" si="24"/>
        <v>#REF!</v>
      </c>
      <c r="T47" s="288">
        <f t="shared" si="25"/>
        <v>0</v>
      </c>
      <c r="U47" s="437"/>
      <c r="V47" s="290" t="e">
        <f t="shared" si="26"/>
        <v>#REF!</v>
      </c>
      <c r="W47" s="288"/>
      <c r="X47" s="290" t="e">
        <f t="shared" si="27"/>
        <v>#REF!</v>
      </c>
      <c r="Y47" s="288"/>
      <c r="Z47" s="290" t="e">
        <f t="shared" si="28"/>
        <v>#REF!</v>
      </c>
      <c r="AA47" s="288"/>
      <c r="AB47" s="290" t="e">
        <f t="shared" si="29"/>
        <v>#REF!</v>
      </c>
      <c r="AC47" s="288"/>
      <c r="AD47" s="290" t="e">
        <f t="shared" si="30"/>
        <v>#REF!</v>
      </c>
      <c r="AE47" s="288">
        <f t="shared" si="31"/>
        <v>0</v>
      </c>
      <c r="AF47" s="290" t="e">
        <f t="shared" si="32"/>
        <v>#REF!</v>
      </c>
      <c r="AG47" s="288">
        <f t="shared" si="33"/>
        <v>0</v>
      </c>
      <c r="AH47" s="290" t="e">
        <f t="shared" si="34"/>
        <v>#REF!</v>
      </c>
      <c r="AI47" s="288"/>
      <c r="AJ47" s="290" t="e">
        <f t="shared" si="35"/>
        <v>#REF!</v>
      </c>
      <c r="AK47" s="288"/>
      <c r="AL47" s="290" t="e">
        <f t="shared" si="36"/>
        <v>#REF!</v>
      </c>
      <c r="AM47" s="288">
        <f t="shared" si="37"/>
        <v>0</v>
      </c>
      <c r="AN47" s="290" t="e">
        <f t="shared" si="38"/>
        <v>#REF!</v>
      </c>
      <c r="AO47" s="349"/>
    </row>
    <row r="48" spans="2:41" s="345" customFormat="1" ht="15.75">
      <c r="B48" s="346"/>
      <c r="C48" s="309">
        <f t="shared" ref="C48:C56" si="39">C47+1</f>
        <v>28</v>
      </c>
      <c r="D48" s="401" t="s">
        <v>296</v>
      </c>
      <c r="E48" s="312" t="s">
        <v>444</v>
      </c>
      <c r="F48" s="313"/>
      <c r="G48" s="402" t="s">
        <v>407</v>
      </c>
      <c r="H48" s="314" t="s">
        <v>111</v>
      </c>
      <c r="I48" s="310" t="e">
        <f>+#REF!</f>
        <v>#REF!</v>
      </c>
      <c r="J48" s="288"/>
      <c r="K48" s="290" t="e">
        <f t="shared" si="20"/>
        <v>#REF!</v>
      </c>
      <c r="L48" s="288"/>
      <c r="M48" s="290" t="e">
        <f t="shared" si="21"/>
        <v>#REF!</v>
      </c>
      <c r="N48" s="288"/>
      <c r="O48" s="290" t="e">
        <f t="shared" si="22"/>
        <v>#REF!</v>
      </c>
      <c r="P48" s="288"/>
      <c r="Q48" s="290" t="e">
        <f t="shared" si="23"/>
        <v>#REF!</v>
      </c>
      <c r="R48" s="288"/>
      <c r="S48" s="290" t="e">
        <f t="shared" si="24"/>
        <v>#REF!</v>
      </c>
      <c r="T48" s="288">
        <f t="shared" si="25"/>
        <v>0</v>
      </c>
      <c r="U48" s="437">
        <f>'[112]CANTIDADES TOTALIZADAS'!$BJ$83</f>
        <v>1493.8440000000001</v>
      </c>
      <c r="V48" s="290" t="e">
        <f t="shared" si="26"/>
        <v>#REF!</v>
      </c>
      <c r="W48" s="288"/>
      <c r="X48" s="290" t="e">
        <f t="shared" si="27"/>
        <v>#REF!</v>
      </c>
      <c r="Y48" s="288"/>
      <c r="Z48" s="290" t="e">
        <f t="shared" si="28"/>
        <v>#REF!</v>
      </c>
      <c r="AA48" s="288"/>
      <c r="AB48" s="290" t="e">
        <f t="shared" si="29"/>
        <v>#REF!</v>
      </c>
      <c r="AC48" s="288"/>
      <c r="AD48" s="290" t="e">
        <f t="shared" si="30"/>
        <v>#REF!</v>
      </c>
      <c r="AE48" s="288">
        <f t="shared" si="31"/>
        <v>0</v>
      </c>
      <c r="AF48" s="290" t="e">
        <f t="shared" si="32"/>
        <v>#REF!</v>
      </c>
      <c r="AG48" s="288">
        <f t="shared" si="33"/>
        <v>0</v>
      </c>
      <c r="AH48" s="290" t="e">
        <f t="shared" si="34"/>
        <v>#REF!</v>
      </c>
      <c r="AI48" s="288"/>
      <c r="AJ48" s="290" t="e">
        <f t="shared" si="35"/>
        <v>#REF!</v>
      </c>
      <c r="AK48" s="288"/>
      <c r="AL48" s="290" t="e">
        <f t="shared" si="36"/>
        <v>#REF!</v>
      </c>
      <c r="AM48" s="288">
        <f t="shared" si="37"/>
        <v>0</v>
      </c>
      <c r="AN48" s="290" t="e">
        <f t="shared" si="38"/>
        <v>#REF!</v>
      </c>
      <c r="AO48" s="349"/>
    </row>
    <row r="49" spans="2:43" s="345" customFormat="1" ht="30" customHeight="1">
      <c r="B49" s="346"/>
      <c r="C49" s="309">
        <f>C47+1</f>
        <v>28</v>
      </c>
      <c r="D49" s="293" t="s">
        <v>766</v>
      </c>
      <c r="E49" s="454"/>
      <c r="F49" s="293"/>
      <c r="G49" s="315" t="s">
        <v>765</v>
      </c>
      <c r="H49" s="293" t="s">
        <v>111</v>
      </c>
      <c r="I49" s="289" t="e">
        <f>#REF!</f>
        <v>#REF!</v>
      </c>
      <c r="J49" s="288"/>
      <c r="K49" s="290" t="e">
        <f t="shared" ref="K49" si="40">I49*J49</f>
        <v>#REF!</v>
      </c>
      <c r="L49" s="288">
        <f>'[112]CANTIDADES TOTALIZADAS'!$AQ$83</f>
        <v>768.83400000000006</v>
      </c>
      <c r="M49" s="290" t="e">
        <f t="shared" ref="M49" si="41">L49*I49</f>
        <v>#REF!</v>
      </c>
      <c r="N49" s="288">
        <f>'[112]CANTIDADES TOTALIZADAS'!$AU$83</f>
        <v>413.71000000000004</v>
      </c>
      <c r="O49" s="290" t="e">
        <f t="shared" ref="O49" si="42">N49*I49</f>
        <v>#REF!</v>
      </c>
      <c r="P49" s="288"/>
      <c r="Q49" s="290" t="e">
        <f t="shared" ref="Q49" si="43">I49*P49</f>
        <v>#REF!</v>
      </c>
      <c r="R49" s="288">
        <f>'[112]CANTIDADES TOTALIZADAS'!$BI$83</f>
        <v>311.3</v>
      </c>
      <c r="S49" s="290" t="e">
        <f t="shared" ref="S49" si="44">R49*I49</f>
        <v>#REF!</v>
      </c>
      <c r="T49" s="288">
        <f t="shared" ref="T49" si="45">J49+L49+N49+P49+R49</f>
        <v>1493.8440000000001</v>
      </c>
      <c r="U49" s="437">
        <f>'[112]CANTIDADES TOTALIZADAS'!$BJ$85</f>
        <v>33252.880896000002</v>
      </c>
      <c r="V49" s="290" t="e">
        <f t="shared" ref="V49" si="46">I49*T49</f>
        <v>#REF!</v>
      </c>
      <c r="W49" s="288"/>
      <c r="X49" s="290" t="e">
        <f t="shared" ref="X49" si="47">W49*I49</f>
        <v>#REF!</v>
      </c>
      <c r="Y49" s="288" t="e">
        <f>#REF!+#REF!</f>
        <v>#REF!</v>
      </c>
      <c r="Z49" s="290" t="e">
        <f t="shared" ref="Z49" si="48">Y49*I49</f>
        <v>#REF!</v>
      </c>
      <c r="AA49" s="288" t="e">
        <f>#REF!+#REF!+#REF!+#REF!+#REF!</f>
        <v>#REF!</v>
      </c>
      <c r="AB49" s="290" t="e">
        <f t="shared" ref="AB49" si="49">AA49*I49</f>
        <v>#REF!</v>
      </c>
      <c r="AC49" s="288" t="e">
        <f>#REF!+#REF!</f>
        <v>#REF!</v>
      </c>
      <c r="AD49" s="290" t="e">
        <f t="shared" ref="AD49" si="50">I49*AC49</f>
        <v>#REF!</v>
      </c>
      <c r="AE49" s="288" t="e">
        <f t="shared" ref="AE49" si="51">Y49+AA49+AC49+W49</f>
        <v>#REF!</v>
      </c>
      <c r="AF49" s="290" t="e">
        <f t="shared" ref="AF49" si="52">AE49*I49</f>
        <v>#REF!</v>
      </c>
      <c r="AG49" s="288" t="e">
        <f t="shared" ref="AG49" si="53">T49+AE49</f>
        <v>#REF!</v>
      </c>
      <c r="AH49" s="290" t="e">
        <f t="shared" ref="AH49" si="54">V49+AF49</f>
        <v>#REF!</v>
      </c>
      <c r="AI49" s="288"/>
      <c r="AJ49" s="290" t="e">
        <f t="shared" ref="AJ49" si="55">AI49*I49</f>
        <v>#REF!</v>
      </c>
      <c r="AK49" s="288"/>
      <c r="AL49" s="290" t="e">
        <f t="shared" si="36"/>
        <v>#REF!</v>
      </c>
      <c r="AM49" s="288" t="e">
        <f t="shared" si="37"/>
        <v>#REF!</v>
      </c>
      <c r="AN49" s="290" t="e">
        <f t="shared" ref="AN49" si="56">AM49*I49</f>
        <v>#REF!</v>
      </c>
      <c r="AO49" s="349"/>
      <c r="AP49" s="345">
        <f>(7.3+2.5+1)*1000*0.3</f>
        <v>3240</v>
      </c>
      <c r="AQ49" s="345" t="s">
        <v>730</v>
      </c>
    </row>
    <row r="50" spans="2:43" s="345" customFormat="1" ht="30" customHeight="1">
      <c r="B50" s="346"/>
      <c r="C50" s="309">
        <f>C48+1</f>
        <v>29</v>
      </c>
      <c r="D50" s="293" t="s">
        <v>90</v>
      </c>
      <c r="E50" s="293" t="s">
        <v>445</v>
      </c>
      <c r="F50" s="293"/>
      <c r="G50" s="315" t="s">
        <v>408</v>
      </c>
      <c r="H50" s="293" t="s">
        <v>111</v>
      </c>
      <c r="I50" s="289" t="e">
        <f>+#REF!</f>
        <v>#REF!</v>
      </c>
      <c r="J50" s="288"/>
      <c r="K50" s="290" t="e">
        <f t="shared" si="20"/>
        <v>#REF!</v>
      </c>
      <c r="L50" s="288">
        <f>'[112]CANTIDADES TOTALIZADAS'!$AQ$84</f>
        <v>698.94</v>
      </c>
      <c r="M50" s="290" t="e">
        <f t="shared" si="21"/>
        <v>#REF!</v>
      </c>
      <c r="N50" s="288">
        <f>'[112]CANTIDADES TOTALIZADAS'!$AU$84</f>
        <v>376.1</v>
      </c>
      <c r="O50" s="290" t="e">
        <f t="shared" si="22"/>
        <v>#REF!</v>
      </c>
      <c r="P50" s="288"/>
      <c r="Q50" s="290" t="e">
        <f t="shared" si="23"/>
        <v>#REF!</v>
      </c>
      <c r="R50" s="288">
        <f>'[112]CANTIDADES TOTALIZADAS'!$BI$84</f>
        <v>283</v>
      </c>
      <c r="S50" s="290" t="e">
        <f t="shared" si="24"/>
        <v>#REF!</v>
      </c>
      <c r="T50" s="288">
        <f t="shared" si="25"/>
        <v>1358.04</v>
      </c>
      <c r="U50" s="437">
        <f>'[112]CANTIDADES TOTALIZADAS'!$BJ$84</f>
        <v>1358.04</v>
      </c>
      <c r="V50" s="290" t="e">
        <f t="shared" si="26"/>
        <v>#REF!</v>
      </c>
      <c r="W50" s="288">
        <f>(175200*0.2*7.3)*0.1</f>
        <v>25579.200000000001</v>
      </c>
      <c r="X50" s="290" t="e">
        <f t="shared" si="27"/>
        <v>#REF!</v>
      </c>
      <c r="Y50" s="288"/>
      <c r="Z50" s="290" t="e">
        <f t="shared" si="28"/>
        <v>#REF!</v>
      </c>
      <c r="AA50" s="288"/>
      <c r="AB50" s="290" t="e">
        <f t="shared" si="29"/>
        <v>#REF!</v>
      </c>
      <c r="AC50" s="288"/>
      <c r="AD50" s="290" t="e">
        <f t="shared" si="30"/>
        <v>#REF!</v>
      </c>
      <c r="AE50" s="288">
        <f t="shared" si="31"/>
        <v>25579.200000000001</v>
      </c>
      <c r="AF50" s="290" t="e">
        <f t="shared" si="32"/>
        <v>#REF!</v>
      </c>
      <c r="AG50" s="288">
        <f t="shared" si="33"/>
        <v>26937.24</v>
      </c>
      <c r="AH50" s="290" t="e">
        <f t="shared" si="34"/>
        <v>#REF!</v>
      </c>
      <c r="AI50" s="288"/>
      <c r="AJ50" s="290" t="e">
        <f t="shared" si="35"/>
        <v>#REF!</v>
      </c>
      <c r="AK50" s="288"/>
      <c r="AL50" s="290" t="e">
        <f t="shared" si="36"/>
        <v>#REF!</v>
      </c>
      <c r="AM50" s="288">
        <f t="shared" si="37"/>
        <v>26937.24</v>
      </c>
      <c r="AN50" s="290" t="e">
        <f t="shared" si="38"/>
        <v>#REF!</v>
      </c>
      <c r="AO50" s="349"/>
    </row>
    <row r="51" spans="2:43" s="345" customFormat="1" ht="30" hidden="1" customHeight="1">
      <c r="B51" s="346"/>
      <c r="C51" s="309">
        <f t="shared" si="39"/>
        <v>30</v>
      </c>
      <c r="D51" s="293" t="s">
        <v>662</v>
      </c>
      <c r="E51" s="293" t="s">
        <v>445</v>
      </c>
      <c r="F51" s="293"/>
      <c r="G51" s="315" t="s">
        <v>661</v>
      </c>
      <c r="H51" s="293" t="s">
        <v>111</v>
      </c>
      <c r="I51" s="289" t="e">
        <f>#REF!</f>
        <v>#REF!</v>
      </c>
      <c r="J51" s="288"/>
      <c r="K51" s="290" t="e">
        <f t="shared" si="20"/>
        <v>#REF!</v>
      </c>
      <c r="L51" s="288"/>
      <c r="M51" s="290" t="e">
        <f t="shared" si="21"/>
        <v>#REF!</v>
      </c>
      <c r="N51" s="288"/>
      <c r="O51" s="290" t="e">
        <f t="shared" si="22"/>
        <v>#REF!</v>
      </c>
      <c r="P51" s="288"/>
      <c r="Q51" s="290" t="e">
        <f t="shared" si="23"/>
        <v>#REF!</v>
      </c>
      <c r="R51" s="288"/>
      <c r="S51" s="290" t="e">
        <f t="shared" si="24"/>
        <v>#REF!</v>
      </c>
      <c r="T51" s="288">
        <f t="shared" si="25"/>
        <v>0</v>
      </c>
      <c r="U51" s="437"/>
      <c r="V51" s="290" t="e">
        <f t="shared" si="26"/>
        <v>#REF!</v>
      </c>
      <c r="W51" s="288"/>
      <c r="X51" s="290" t="e">
        <f t="shared" si="27"/>
        <v>#REF!</v>
      </c>
      <c r="Y51" s="288"/>
      <c r="Z51" s="290" t="e">
        <f t="shared" si="28"/>
        <v>#REF!</v>
      </c>
      <c r="AA51" s="288"/>
      <c r="AB51" s="290" t="e">
        <f t="shared" si="29"/>
        <v>#REF!</v>
      </c>
      <c r="AC51" s="288"/>
      <c r="AD51" s="290" t="e">
        <f t="shared" si="30"/>
        <v>#REF!</v>
      </c>
      <c r="AE51" s="288">
        <f t="shared" si="31"/>
        <v>0</v>
      </c>
      <c r="AF51" s="290" t="e">
        <f t="shared" si="32"/>
        <v>#REF!</v>
      </c>
      <c r="AG51" s="288">
        <f t="shared" si="33"/>
        <v>0</v>
      </c>
      <c r="AH51" s="290" t="e">
        <f t="shared" si="34"/>
        <v>#REF!</v>
      </c>
      <c r="AI51" s="288"/>
      <c r="AJ51" s="290" t="e">
        <f t="shared" si="35"/>
        <v>#REF!</v>
      </c>
      <c r="AK51" s="288"/>
      <c r="AL51" s="290" t="e">
        <f t="shared" si="36"/>
        <v>#REF!</v>
      </c>
      <c r="AM51" s="288">
        <f t="shared" si="37"/>
        <v>0</v>
      </c>
      <c r="AN51" s="290" t="e">
        <f t="shared" si="38"/>
        <v>#REF!</v>
      </c>
      <c r="AO51" s="349"/>
    </row>
    <row r="52" spans="2:43" s="345" customFormat="1" ht="15.75">
      <c r="B52" s="346"/>
      <c r="C52" s="309">
        <f t="shared" si="39"/>
        <v>31</v>
      </c>
      <c r="D52" s="293" t="s">
        <v>496</v>
      </c>
      <c r="E52" s="293" t="s">
        <v>497</v>
      </c>
      <c r="F52" s="293"/>
      <c r="G52" s="315" t="s">
        <v>570</v>
      </c>
      <c r="H52" s="293" t="s">
        <v>111</v>
      </c>
      <c r="I52" s="289" t="e">
        <f>#REF!</f>
        <v>#REF!</v>
      </c>
      <c r="J52" s="288"/>
      <c r="K52" s="290" t="e">
        <f t="shared" si="20"/>
        <v>#REF!</v>
      </c>
      <c r="L52" s="288"/>
      <c r="M52" s="290" t="e">
        <f t="shared" si="21"/>
        <v>#REF!</v>
      </c>
      <c r="N52" s="288"/>
      <c r="O52" s="290" t="e">
        <f t="shared" si="22"/>
        <v>#REF!</v>
      </c>
      <c r="P52" s="288"/>
      <c r="Q52" s="290" t="e">
        <f t="shared" si="23"/>
        <v>#REF!</v>
      </c>
      <c r="R52" s="288"/>
      <c r="S52" s="290" t="e">
        <f t="shared" si="24"/>
        <v>#REF!</v>
      </c>
      <c r="T52" s="288">
        <f t="shared" si="25"/>
        <v>0</v>
      </c>
      <c r="U52" s="437"/>
      <c r="V52" s="290" t="e">
        <f t="shared" si="26"/>
        <v>#REF!</v>
      </c>
      <c r="W52" s="288"/>
      <c r="X52" s="290" t="e">
        <f t="shared" si="27"/>
        <v>#REF!</v>
      </c>
      <c r="Y52" s="288"/>
      <c r="Z52" s="290" t="e">
        <f t="shared" si="28"/>
        <v>#REF!</v>
      </c>
      <c r="AA52" s="288"/>
      <c r="AB52" s="290" t="e">
        <f t="shared" si="29"/>
        <v>#REF!</v>
      </c>
      <c r="AC52" s="288"/>
      <c r="AD52" s="290" t="e">
        <f t="shared" si="30"/>
        <v>#REF!</v>
      </c>
      <c r="AE52" s="288">
        <f t="shared" si="31"/>
        <v>0</v>
      </c>
      <c r="AF52" s="290" t="e">
        <f t="shared" si="32"/>
        <v>#REF!</v>
      </c>
      <c r="AG52" s="288">
        <f t="shared" si="33"/>
        <v>0</v>
      </c>
      <c r="AH52" s="290" t="e">
        <f t="shared" si="34"/>
        <v>#REF!</v>
      </c>
      <c r="AI52" s="288"/>
      <c r="AJ52" s="290" t="e">
        <f t="shared" si="35"/>
        <v>#REF!</v>
      </c>
      <c r="AK52" s="288"/>
      <c r="AL52" s="290" t="e">
        <f t="shared" si="36"/>
        <v>#REF!</v>
      </c>
      <c r="AM52" s="288">
        <f t="shared" si="37"/>
        <v>0</v>
      </c>
      <c r="AN52" s="290" t="e">
        <f t="shared" si="38"/>
        <v>#REF!</v>
      </c>
      <c r="AO52" s="349"/>
    </row>
    <row r="53" spans="2:43" s="345" customFormat="1" ht="30" customHeight="1">
      <c r="B53" s="346"/>
      <c r="C53" s="309">
        <f>C51+1</f>
        <v>31</v>
      </c>
      <c r="D53" s="293" t="s">
        <v>726</v>
      </c>
      <c r="E53" s="454"/>
      <c r="F53" s="293"/>
      <c r="G53" s="315" t="s">
        <v>727</v>
      </c>
      <c r="H53" s="293" t="s">
        <v>111</v>
      </c>
      <c r="I53" s="289">
        <f>'351.10'!N78</f>
        <v>148138</v>
      </c>
      <c r="J53" s="288">
        <f>'[112]CANTIDADES TOTALIZADAS'!$AF$85</f>
        <v>8009.5104000000001</v>
      </c>
      <c r="K53" s="290">
        <f t="shared" si="20"/>
        <v>1186512851.6352</v>
      </c>
      <c r="L53" s="288">
        <f>'[112]CANTIDADES TOTALIZADAS'!$AQ$85</f>
        <v>1698.3424</v>
      </c>
      <c r="M53" s="290">
        <f t="shared" si="21"/>
        <v>251589046.45120001</v>
      </c>
      <c r="N53" s="288">
        <f>'[112]CANTIDADES TOTALIZADAS'!$AU$85</f>
        <v>20081.072895999998</v>
      </c>
      <c r="O53" s="290">
        <f t="shared" si="22"/>
        <v>2974769976.6676478</v>
      </c>
      <c r="P53" s="288">
        <f>'[112]CANTIDADES TOTALIZADAS'!$BA$85</f>
        <v>485.74720000000002</v>
      </c>
      <c r="Q53" s="290">
        <f t="shared" si="23"/>
        <v>71957618.71360001</v>
      </c>
      <c r="R53" s="288">
        <f>'[112]CANTIDADES TOTALIZADAS'!$BI$85</f>
        <v>2978.2080000000001</v>
      </c>
      <c r="S53" s="290">
        <f t="shared" si="24"/>
        <v>441185776.704</v>
      </c>
      <c r="T53" s="288">
        <f t="shared" si="25"/>
        <v>33252.880896000002</v>
      </c>
      <c r="U53" s="437">
        <f>'[112]CANTIDADES TOTALIZADAS'!$BJ$85</f>
        <v>33252.880896000002</v>
      </c>
      <c r="V53" s="290">
        <f t="shared" si="26"/>
        <v>4926015270.171648</v>
      </c>
      <c r="W53" s="288"/>
      <c r="X53" s="290">
        <f t="shared" si="27"/>
        <v>0</v>
      </c>
      <c r="Y53" s="288" t="e">
        <f>#REF!+#REF!</f>
        <v>#REF!</v>
      </c>
      <c r="Z53" s="290" t="e">
        <f t="shared" si="28"/>
        <v>#REF!</v>
      </c>
      <c r="AA53" s="288" t="e">
        <f>#REF!+#REF!+#REF!+#REF!+#REF!</f>
        <v>#REF!</v>
      </c>
      <c r="AB53" s="290" t="e">
        <f t="shared" si="29"/>
        <v>#REF!</v>
      </c>
      <c r="AC53" s="288" t="e">
        <f>#REF!+#REF!</f>
        <v>#REF!</v>
      </c>
      <c r="AD53" s="290" t="e">
        <f t="shared" si="30"/>
        <v>#REF!</v>
      </c>
      <c r="AE53" s="288" t="e">
        <f t="shared" si="31"/>
        <v>#REF!</v>
      </c>
      <c r="AF53" s="290" t="e">
        <f t="shared" si="32"/>
        <v>#REF!</v>
      </c>
      <c r="AG53" s="288" t="e">
        <f t="shared" si="33"/>
        <v>#REF!</v>
      </c>
      <c r="AH53" s="290" t="e">
        <f t="shared" si="34"/>
        <v>#REF!</v>
      </c>
      <c r="AI53" s="288">
        <f>'CANTIDADES TOTALIZADAS'!AD85</f>
        <v>4818.4704000000002</v>
      </c>
      <c r="AJ53" s="290">
        <f t="shared" si="35"/>
        <v>713798568.11520004</v>
      </c>
      <c r="AK53" s="288"/>
      <c r="AL53" s="290">
        <f t="shared" si="36"/>
        <v>0</v>
      </c>
      <c r="AM53" s="288" t="e">
        <f t="shared" si="37"/>
        <v>#REF!</v>
      </c>
      <c r="AN53" s="290" t="e">
        <f t="shared" si="38"/>
        <v>#REF!</v>
      </c>
      <c r="AO53" s="349"/>
      <c r="AP53" s="345">
        <f>(7.3+2.5+1)*1000*0.3</f>
        <v>3240</v>
      </c>
      <c r="AQ53" s="345" t="s">
        <v>730</v>
      </c>
    </row>
    <row r="54" spans="2:43" s="345" customFormat="1" ht="30" hidden="1" customHeight="1">
      <c r="B54" s="346"/>
      <c r="C54" s="309">
        <f>C52+1</f>
        <v>32</v>
      </c>
      <c r="D54" s="293">
        <v>351.1</v>
      </c>
      <c r="E54" s="293" t="s">
        <v>725</v>
      </c>
      <c r="F54" s="293"/>
      <c r="G54" s="315" t="s">
        <v>724</v>
      </c>
      <c r="H54" s="293" t="s">
        <v>111</v>
      </c>
      <c r="I54" s="289" t="e">
        <f>#REF!</f>
        <v>#REF!</v>
      </c>
      <c r="J54" s="288"/>
      <c r="K54" s="290" t="e">
        <f t="shared" si="20"/>
        <v>#REF!</v>
      </c>
      <c r="L54" s="288"/>
      <c r="M54" s="290" t="e">
        <f t="shared" si="21"/>
        <v>#REF!</v>
      </c>
      <c r="N54" s="288"/>
      <c r="O54" s="290" t="e">
        <f t="shared" si="22"/>
        <v>#REF!</v>
      </c>
      <c r="P54" s="288"/>
      <c r="Q54" s="290" t="e">
        <f t="shared" si="23"/>
        <v>#REF!</v>
      </c>
      <c r="R54" s="288"/>
      <c r="S54" s="290" t="e">
        <f t="shared" si="24"/>
        <v>#REF!</v>
      </c>
      <c r="T54" s="288">
        <f t="shared" si="25"/>
        <v>0</v>
      </c>
      <c r="U54" s="437"/>
      <c r="V54" s="290" t="e">
        <f t="shared" si="26"/>
        <v>#REF!</v>
      </c>
      <c r="W54" s="288"/>
      <c r="X54" s="290" t="e">
        <f t="shared" si="27"/>
        <v>#REF!</v>
      </c>
      <c r="Y54" s="288"/>
      <c r="Z54" s="290" t="e">
        <f t="shared" si="28"/>
        <v>#REF!</v>
      </c>
      <c r="AA54" s="288"/>
      <c r="AB54" s="290" t="e">
        <f t="shared" si="29"/>
        <v>#REF!</v>
      </c>
      <c r="AC54" s="288"/>
      <c r="AD54" s="290" t="e">
        <f t="shared" si="30"/>
        <v>#REF!</v>
      </c>
      <c r="AE54" s="288">
        <f t="shared" si="31"/>
        <v>0</v>
      </c>
      <c r="AF54" s="290" t="e">
        <f t="shared" si="32"/>
        <v>#REF!</v>
      </c>
      <c r="AG54" s="288">
        <f t="shared" si="33"/>
        <v>0</v>
      </c>
      <c r="AH54" s="290" t="e">
        <f t="shared" si="34"/>
        <v>#REF!</v>
      </c>
      <c r="AI54" s="288"/>
      <c r="AJ54" s="290" t="e">
        <f t="shared" si="35"/>
        <v>#REF!</v>
      </c>
      <c r="AK54" s="288"/>
      <c r="AL54" s="290" t="e">
        <f t="shared" si="36"/>
        <v>#REF!</v>
      </c>
      <c r="AM54" s="288">
        <f t="shared" si="37"/>
        <v>0</v>
      </c>
      <c r="AN54" s="290" t="e">
        <f t="shared" si="38"/>
        <v>#REF!</v>
      </c>
      <c r="AO54" s="349"/>
    </row>
    <row r="55" spans="2:43" s="345" customFormat="1" ht="30" hidden="1" customHeight="1">
      <c r="B55" s="346"/>
      <c r="C55" s="309">
        <f>C52+1</f>
        <v>32</v>
      </c>
      <c r="D55" s="293" t="s">
        <v>524</v>
      </c>
      <c r="E55" s="293"/>
      <c r="F55" s="293" t="s">
        <v>524</v>
      </c>
      <c r="G55" s="315" t="s">
        <v>525</v>
      </c>
      <c r="H55" s="329" t="s">
        <v>111</v>
      </c>
      <c r="I55" s="289" t="e">
        <f>#REF!</f>
        <v>#REF!</v>
      </c>
      <c r="J55" s="288"/>
      <c r="K55" s="290" t="e">
        <f t="shared" si="20"/>
        <v>#REF!</v>
      </c>
      <c r="L55" s="288"/>
      <c r="M55" s="290" t="e">
        <f t="shared" si="21"/>
        <v>#REF!</v>
      </c>
      <c r="N55" s="288"/>
      <c r="O55" s="290" t="e">
        <f t="shared" si="22"/>
        <v>#REF!</v>
      </c>
      <c r="P55" s="288"/>
      <c r="Q55" s="290" t="e">
        <f t="shared" si="23"/>
        <v>#REF!</v>
      </c>
      <c r="R55" s="288"/>
      <c r="S55" s="290" t="e">
        <f t="shared" si="24"/>
        <v>#REF!</v>
      </c>
      <c r="T55" s="288">
        <f t="shared" si="25"/>
        <v>0</v>
      </c>
      <c r="U55" s="437"/>
      <c r="V55" s="290" t="e">
        <f t="shared" si="26"/>
        <v>#REF!</v>
      </c>
      <c r="W55" s="288"/>
      <c r="X55" s="290" t="e">
        <f t="shared" si="27"/>
        <v>#REF!</v>
      </c>
      <c r="Y55" s="288"/>
      <c r="Z55" s="290" t="e">
        <f t="shared" si="28"/>
        <v>#REF!</v>
      </c>
      <c r="AA55" s="288"/>
      <c r="AB55" s="290" t="e">
        <f t="shared" si="29"/>
        <v>#REF!</v>
      </c>
      <c r="AC55" s="288"/>
      <c r="AD55" s="290" t="e">
        <f t="shared" si="30"/>
        <v>#REF!</v>
      </c>
      <c r="AE55" s="288">
        <f t="shared" si="31"/>
        <v>0</v>
      </c>
      <c r="AF55" s="290" t="e">
        <f t="shared" si="32"/>
        <v>#REF!</v>
      </c>
      <c r="AG55" s="288">
        <f t="shared" si="33"/>
        <v>0</v>
      </c>
      <c r="AH55" s="290" t="e">
        <f t="shared" si="34"/>
        <v>#REF!</v>
      </c>
      <c r="AI55" s="288"/>
      <c r="AJ55" s="290" t="e">
        <f t="shared" si="35"/>
        <v>#REF!</v>
      </c>
      <c r="AK55" s="288"/>
      <c r="AL55" s="290" t="e">
        <f t="shared" si="36"/>
        <v>#REF!</v>
      </c>
      <c r="AM55" s="288">
        <f t="shared" si="37"/>
        <v>0</v>
      </c>
      <c r="AN55" s="290" t="e">
        <f t="shared" si="38"/>
        <v>#REF!</v>
      </c>
      <c r="AO55" s="349"/>
    </row>
    <row r="56" spans="2:43" s="345" customFormat="1" ht="30" hidden="1" customHeight="1" thickBot="1">
      <c r="B56" s="346"/>
      <c r="C56" s="309">
        <f t="shared" si="39"/>
        <v>33</v>
      </c>
      <c r="D56" s="293" t="s">
        <v>527</v>
      </c>
      <c r="E56" s="293"/>
      <c r="F56" s="293" t="s">
        <v>527</v>
      </c>
      <c r="G56" s="315" t="s">
        <v>526</v>
      </c>
      <c r="H56" s="329" t="s">
        <v>111</v>
      </c>
      <c r="I56" s="289" t="e">
        <f>#REF!</f>
        <v>#REF!</v>
      </c>
      <c r="J56" s="288"/>
      <c r="K56" s="290" t="e">
        <f t="shared" si="20"/>
        <v>#REF!</v>
      </c>
      <c r="L56" s="288"/>
      <c r="M56" s="290" t="e">
        <f t="shared" si="21"/>
        <v>#REF!</v>
      </c>
      <c r="N56" s="288"/>
      <c r="O56" s="290" t="e">
        <f t="shared" si="22"/>
        <v>#REF!</v>
      </c>
      <c r="P56" s="288"/>
      <c r="Q56" s="290" t="e">
        <f t="shared" si="23"/>
        <v>#REF!</v>
      </c>
      <c r="R56" s="288"/>
      <c r="S56" s="290" t="e">
        <f t="shared" si="24"/>
        <v>#REF!</v>
      </c>
      <c r="T56" s="288">
        <f t="shared" si="25"/>
        <v>0</v>
      </c>
      <c r="U56" s="437"/>
      <c r="V56" s="290" t="e">
        <f t="shared" si="26"/>
        <v>#REF!</v>
      </c>
      <c r="W56" s="288"/>
      <c r="X56" s="290" t="e">
        <f t="shared" si="27"/>
        <v>#REF!</v>
      </c>
      <c r="Y56" s="288"/>
      <c r="Z56" s="290" t="e">
        <f t="shared" si="28"/>
        <v>#REF!</v>
      </c>
      <c r="AA56" s="288"/>
      <c r="AB56" s="290" t="e">
        <f t="shared" si="29"/>
        <v>#REF!</v>
      </c>
      <c r="AC56" s="288"/>
      <c r="AD56" s="290" t="e">
        <f t="shared" si="30"/>
        <v>#REF!</v>
      </c>
      <c r="AE56" s="288">
        <f t="shared" si="31"/>
        <v>0</v>
      </c>
      <c r="AF56" s="290" t="e">
        <f t="shared" si="32"/>
        <v>#REF!</v>
      </c>
      <c r="AG56" s="288">
        <f t="shared" si="33"/>
        <v>0</v>
      </c>
      <c r="AH56" s="290" t="e">
        <f t="shared" si="34"/>
        <v>#REF!</v>
      </c>
      <c r="AI56" s="288"/>
      <c r="AJ56" s="290" t="e">
        <f t="shared" si="35"/>
        <v>#REF!</v>
      </c>
      <c r="AK56" s="288"/>
      <c r="AL56" s="290" t="e">
        <f t="shared" si="36"/>
        <v>#REF!</v>
      </c>
      <c r="AM56" s="288">
        <f t="shared" si="37"/>
        <v>0</v>
      </c>
      <c r="AN56" s="290" t="e">
        <f t="shared" si="38"/>
        <v>#REF!</v>
      </c>
      <c r="AO56" s="349"/>
    </row>
    <row r="57" spans="2:43" s="345" customFormat="1" ht="30" customHeight="1" thickBot="1">
      <c r="B57" s="346"/>
      <c r="C57" s="295" t="s">
        <v>170</v>
      </c>
      <c r="D57" s="316"/>
      <c r="E57" s="316"/>
      <c r="F57" s="316"/>
      <c r="G57" s="317"/>
      <c r="H57" s="316"/>
      <c r="I57" s="300"/>
      <c r="J57" s="288"/>
      <c r="K57" s="301" t="e">
        <f>ROUND(SUM(K46:K56),0)</f>
        <v>#REF!</v>
      </c>
      <c r="L57" s="288"/>
      <c r="M57" s="301" t="e">
        <f>ROUND(SUM(M46:M56),0)</f>
        <v>#REF!</v>
      </c>
      <c r="N57" s="288"/>
      <c r="O57" s="301" t="e">
        <f>ROUND(SUM(O46:O56),0)</f>
        <v>#REF!</v>
      </c>
      <c r="P57" s="288"/>
      <c r="Q57" s="301" t="e">
        <f>ROUND(SUM(Q46:Q56),0)</f>
        <v>#REF!</v>
      </c>
      <c r="R57" s="288"/>
      <c r="S57" s="301" t="e">
        <f>ROUND(SUM(S46:S56),0)</f>
        <v>#REF!</v>
      </c>
      <c r="T57" s="288"/>
      <c r="U57" s="438"/>
      <c r="V57" s="301" t="e">
        <f>ROUND(SUM(V46:V56),0)</f>
        <v>#REF!</v>
      </c>
      <c r="W57" s="288"/>
      <c r="X57" s="301" t="e">
        <f>ROUND(SUM(X46:X56),0)</f>
        <v>#REF!</v>
      </c>
      <c r="Y57" s="288"/>
      <c r="Z57" s="301" t="e">
        <f>ROUND(SUM(Z46:Z56),0)</f>
        <v>#REF!</v>
      </c>
      <c r="AA57" s="288"/>
      <c r="AB57" s="301" t="e">
        <f>ROUND(SUM(AB46:AB56),0)</f>
        <v>#REF!</v>
      </c>
      <c r="AC57" s="288"/>
      <c r="AD57" s="301" t="e">
        <f>ROUND(SUM(AD46:AD56),0)</f>
        <v>#REF!</v>
      </c>
      <c r="AE57" s="288"/>
      <c r="AF57" s="301" t="e">
        <f>ROUND(SUM(AF46:AF56),0)</f>
        <v>#REF!</v>
      </c>
      <c r="AG57" s="288"/>
      <c r="AH57" s="301" t="e">
        <f>ROUND(SUM(AH46:AH56),0)</f>
        <v>#REF!</v>
      </c>
      <c r="AI57" s="288"/>
      <c r="AJ57" s="301" t="e">
        <f>ROUND(SUM(AJ46:AJ56),0)</f>
        <v>#REF!</v>
      </c>
      <c r="AK57" s="288"/>
      <c r="AL57" s="301" t="e">
        <f>ROUND(SUM(AL46:AL56),0)</f>
        <v>#REF!</v>
      </c>
      <c r="AM57" s="288"/>
      <c r="AN57" s="301" t="e">
        <f>ROUND(SUM(AN46:AN56),0)</f>
        <v>#REF!</v>
      </c>
      <c r="AO57" s="349"/>
    </row>
    <row r="58" spans="2:43" s="345" customFormat="1" ht="30" customHeight="1" thickBot="1">
      <c r="B58" s="346"/>
      <c r="C58" s="281" t="s">
        <v>297</v>
      </c>
      <c r="D58" s="282"/>
      <c r="E58" s="282"/>
      <c r="F58" s="282"/>
      <c r="G58" s="282"/>
      <c r="H58" s="282"/>
      <c r="I58" s="282"/>
      <c r="J58" s="282"/>
      <c r="K58" s="283"/>
      <c r="L58" s="282"/>
      <c r="M58" s="283"/>
      <c r="N58" s="282"/>
      <c r="O58" s="283"/>
      <c r="P58" s="282"/>
      <c r="Q58" s="283"/>
      <c r="R58" s="282"/>
      <c r="S58" s="283"/>
      <c r="T58" s="282"/>
      <c r="U58" s="282"/>
      <c r="V58" s="283"/>
      <c r="W58" s="282"/>
      <c r="X58" s="283"/>
      <c r="Y58" s="282"/>
      <c r="Z58" s="283"/>
      <c r="AA58" s="282"/>
      <c r="AB58" s="283"/>
      <c r="AC58" s="282"/>
      <c r="AD58" s="283"/>
      <c r="AE58" s="282"/>
      <c r="AF58" s="283"/>
      <c r="AG58" s="282"/>
      <c r="AH58" s="283"/>
      <c r="AI58" s="282"/>
      <c r="AJ58" s="283"/>
      <c r="AK58" s="282"/>
      <c r="AL58" s="283"/>
      <c r="AM58" s="282"/>
      <c r="AN58" s="283"/>
      <c r="AO58" s="349"/>
    </row>
    <row r="59" spans="2:43" s="345" customFormat="1" ht="30" hidden="1" customHeight="1">
      <c r="B59" s="346"/>
      <c r="C59" s="302">
        <f>C56+1</f>
        <v>34</v>
      </c>
      <c r="D59" s="347" t="s">
        <v>610</v>
      </c>
      <c r="E59" s="347" t="s">
        <v>611</v>
      </c>
      <c r="F59" s="347"/>
      <c r="G59" s="348" t="s">
        <v>612</v>
      </c>
      <c r="H59" s="347" t="s">
        <v>204</v>
      </c>
      <c r="I59" s="289" t="e">
        <f>#REF!</f>
        <v>#REF!</v>
      </c>
      <c r="J59" s="288"/>
      <c r="K59" s="290" t="e">
        <f t="shared" ref="K59:K75" si="57">I59*J59</f>
        <v>#REF!</v>
      </c>
      <c r="L59" s="288"/>
      <c r="M59" s="290" t="e">
        <f t="shared" ref="M59:M75" si="58">L59*I59</f>
        <v>#REF!</v>
      </c>
      <c r="N59" s="288"/>
      <c r="O59" s="290" t="e">
        <f t="shared" ref="O59:O75" si="59">N59*I59</f>
        <v>#REF!</v>
      </c>
      <c r="P59" s="288"/>
      <c r="Q59" s="290" t="e">
        <f t="shared" ref="Q59:Q75" si="60">I59*P59</f>
        <v>#REF!</v>
      </c>
      <c r="R59" s="288"/>
      <c r="S59" s="290" t="e">
        <f t="shared" ref="S59:S75" si="61">R59*I59</f>
        <v>#REF!</v>
      </c>
      <c r="T59" s="288">
        <f t="shared" ref="T59:T75" si="62">J59+L59+N59+P59+R59</f>
        <v>0</v>
      </c>
      <c r="U59" s="437"/>
      <c r="V59" s="290" t="e">
        <f t="shared" ref="V59:V75" si="63">I59*T59</f>
        <v>#REF!</v>
      </c>
      <c r="W59" s="288"/>
      <c r="X59" s="290" t="e">
        <f t="shared" ref="X59:X75" si="64">W59*I59</f>
        <v>#REF!</v>
      </c>
      <c r="Y59" s="288"/>
      <c r="Z59" s="290" t="e">
        <f t="shared" ref="Z59" si="65">Y59*K59</f>
        <v>#REF!</v>
      </c>
      <c r="AA59" s="288"/>
      <c r="AB59" s="290" t="e">
        <f t="shared" ref="AB59:AB75" si="66">AA59*I59</f>
        <v>#REF!</v>
      </c>
      <c r="AC59" s="288"/>
      <c r="AD59" s="290" t="e">
        <f t="shared" ref="AD59:AD75" si="67">I59*AC59</f>
        <v>#REF!</v>
      </c>
      <c r="AE59" s="288">
        <f t="shared" ref="AE59:AE75" si="68">Y59+AA59+AC59+W59</f>
        <v>0</v>
      </c>
      <c r="AF59" s="290" t="e">
        <f t="shared" ref="AF59:AF75" si="69">AE59*I59</f>
        <v>#REF!</v>
      </c>
      <c r="AG59" s="288">
        <f t="shared" ref="AG59:AG75" si="70">T59+AE59</f>
        <v>0</v>
      </c>
      <c r="AH59" s="290" t="e">
        <f t="shared" ref="AH59:AH75" si="71">V59+AF59</f>
        <v>#REF!</v>
      </c>
      <c r="AI59" s="288"/>
      <c r="AJ59" s="290" t="e">
        <f t="shared" ref="AJ59:AJ75" si="72">AI59*I59</f>
        <v>#REF!</v>
      </c>
      <c r="AK59" s="288"/>
      <c r="AL59" s="290" t="e">
        <f t="shared" ref="AL59:AL75" si="73">AK59*I59</f>
        <v>#REF!</v>
      </c>
      <c r="AM59" s="288">
        <f t="shared" ref="AM59:AM75" si="74">AG59-AI59-AK59</f>
        <v>0</v>
      </c>
      <c r="AN59" s="290" t="e">
        <f t="shared" ref="AN59:AN75" si="75">AM59*I59</f>
        <v>#REF!</v>
      </c>
      <c r="AO59" s="349"/>
    </row>
    <row r="60" spans="2:43" s="345" customFormat="1" ht="30" customHeight="1">
      <c r="B60" s="346"/>
      <c r="C60" s="309">
        <f>C59+1</f>
        <v>35</v>
      </c>
      <c r="D60" s="293" t="s">
        <v>411</v>
      </c>
      <c r="E60" s="454" t="s">
        <v>447</v>
      </c>
      <c r="F60" s="293"/>
      <c r="G60" s="318" t="s">
        <v>410</v>
      </c>
      <c r="H60" s="293" t="s">
        <v>28</v>
      </c>
      <c r="I60" s="289">
        <f>+'420.2'!N77</f>
        <v>2946</v>
      </c>
      <c r="J60" s="288">
        <f>'[112]CANTIDADES TOTALIZADAS'!$AF$88</f>
        <v>24442.38</v>
      </c>
      <c r="K60" s="290">
        <f t="shared" si="57"/>
        <v>72007251.480000004</v>
      </c>
      <c r="L60" s="288">
        <f>'[112]CANTIDADES TOTALIZADAS'!$AQ$88</f>
        <v>15732.28</v>
      </c>
      <c r="M60" s="290">
        <f t="shared" si="58"/>
        <v>46347296.880000003</v>
      </c>
      <c r="N60" s="288">
        <f>'[112]CANTIDADES TOTALIZADAS'!$AU$88</f>
        <v>61280.801200000002</v>
      </c>
      <c r="O60" s="290">
        <f t="shared" si="59"/>
        <v>180533240.33520001</v>
      </c>
      <c r="P60" s="288">
        <f>'[112]CANTIDADES TOTALIZADAS'!$BA$88</f>
        <v>1536.44</v>
      </c>
      <c r="Q60" s="290">
        <f t="shared" si="60"/>
        <v>4526352.24</v>
      </c>
      <c r="R60" s="288">
        <f>'[112]CANTIDADES TOTALIZADAS'!$BI$88</f>
        <v>10387.200000000003</v>
      </c>
      <c r="S60" s="290">
        <f t="shared" si="61"/>
        <v>30600691.200000007</v>
      </c>
      <c r="T60" s="288">
        <f t="shared" si="62"/>
        <v>113379.1012</v>
      </c>
      <c r="U60" s="437">
        <f>'[112]CANTIDADES TOTALIZADAS'!$BJ$88</f>
        <v>113379.1012</v>
      </c>
      <c r="V60" s="290">
        <f t="shared" si="63"/>
        <v>334014832.13520002</v>
      </c>
      <c r="W60" s="288">
        <f>(175200*7.3)*0.3</f>
        <v>383688</v>
      </c>
      <c r="X60" s="290">
        <f t="shared" si="64"/>
        <v>1130344848</v>
      </c>
      <c r="Y60" s="288" t="e">
        <f>#REF!+#REF!</f>
        <v>#REF!</v>
      </c>
      <c r="Z60" s="290" t="e">
        <f t="shared" ref="Z60:Z75" si="76">Y60*I60</f>
        <v>#REF!</v>
      </c>
      <c r="AA60" s="288" t="e">
        <f>#REF!+#REF!+#REF!+#REF!+#REF!</f>
        <v>#REF!</v>
      </c>
      <c r="AB60" s="290" t="e">
        <f t="shared" si="66"/>
        <v>#REF!</v>
      </c>
      <c r="AC60" s="288" t="e">
        <f>#REF!+#REF!</f>
        <v>#REF!</v>
      </c>
      <c r="AD60" s="290" t="e">
        <f t="shared" si="67"/>
        <v>#REF!</v>
      </c>
      <c r="AE60" s="288" t="e">
        <f t="shared" si="68"/>
        <v>#REF!</v>
      </c>
      <c r="AF60" s="290" t="e">
        <f t="shared" si="69"/>
        <v>#REF!</v>
      </c>
      <c r="AG60" s="288" t="e">
        <f t="shared" si="70"/>
        <v>#REF!</v>
      </c>
      <c r="AH60" s="290" t="e">
        <f t="shared" si="71"/>
        <v>#REF!</v>
      </c>
      <c r="AI60" s="288">
        <f>'CANTIDADES TOTALIZADAS'!AD88</f>
        <v>14704.380000000001</v>
      </c>
      <c r="AJ60" s="290">
        <f t="shared" si="72"/>
        <v>43319103.480000004</v>
      </c>
      <c r="AK60" s="288"/>
      <c r="AL60" s="290">
        <f t="shared" si="73"/>
        <v>0</v>
      </c>
      <c r="AM60" s="288" t="e">
        <f t="shared" si="74"/>
        <v>#REF!</v>
      </c>
      <c r="AN60" s="290" t="e">
        <f t="shared" si="75"/>
        <v>#REF!</v>
      </c>
      <c r="AO60" s="349"/>
    </row>
    <row r="61" spans="2:43" s="345" customFormat="1" ht="30" customHeight="1">
      <c r="B61" s="346"/>
      <c r="C61" s="309">
        <f t="shared" ref="C61:C75" si="77">C60+1</f>
        <v>36</v>
      </c>
      <c r="D61" s="329" t="s">
        <v>325</v>
      </c>
      <c r="E61" s="455" t="s">
        <v>448</v>
      </c>
      <c r="F61" s="329"/>
      <c r="G61" s="343" t="s">
        <v>326</v>
      </c>
      <c r="H61" s="329" t="s">
        <v>28</v>
      </c>
      <c r="I61" s="289">
        <f>'421.1'!N77</f>
        <v>1819</v>
      </c>
      <c r="J61" s="288">
        <f>'[112]CANTIDADES TOTALIZADAS'!$AF$90</f>
        <v>24442.38</v>
      </c>
      <c r="K61" s="290">
        <f t="shared" si="57"/>
        <v>44460689.219999999</v>
      </c>
      <c r="L61" s="288">
        <f>'[112]CANTIDADES TOTALIZADAS'!$AQ$90</f>
        <v>19226.980000000003</v>
      </c>
      <c r="M61" s="290">
        <f t="shared" si="58"/>
        <v>34973876.620000005</v>
      </c>
      <c r="N61" s="288">
        <f>'[112]CANTIDADES TOTALIZADAS'!$AU$90</f>
        <v>63161.301200000002</v>
      </c>
      <c r="O61" s="290">
        <f t="shared" si="59"/>
        <v>114890406.8828</v>
      </c>
      <c r="P61" s="288">
        <f>'[112]CANTIDADES TOTALIZADAS'!$BA$90</f>
        <v>3250.92</v>
      </c>
      <c r="Q61" s="290">
        <f t="shared" si="60"/>
        <v>5913423.4800000004</v>
      </c>
      <c r="R61" s="288">
        <f>'[112]CANTIDADES TOTALIZADAS'!$BI$90</f>
        <v>11802.2</v>
      </c>
      <c r="S61" s="290">
        <f t="shared" si="61"/>
        <v>21468201.800000001</v>
      </c>
      <c r="T61" s="288">
        <f t="shared" si="62"/>
        <v>121883.7812</v>
      </c>
      <c r="U61" s="437">
        <f>'[112]CANTIDADES TOTALIZADAS'!$BJ$90</f>
        <v>121883.7812</v>
      </c>
      <c r="V61" s="290">
        <f t="shared" si="63"/>
        <v>221706598.00279999</v>
      </c>
      <c r="W61" s="288">
        <f>W60</f>
        <v>383688</v>
      </c>
      <c r="X61" s="290">
        <f t="shared" si="64"/>
        <v>697928472</v>
      </c>
      <c r="Y61" s="288" t="e">
        <f>#REF!+#REF!</f>
        <v>#REF!</v>
      </c>
      <c r="Z61" s="290" t="e">
        <f t="shared" si="76"/>
        <v>#REF!</v>
      </c>
      <c r="AA61" s="288" t="e">
        <f>AA60</f>
        <v>#REF!</v>
      </c>
      <c r="AB61" s="290" t="e">
        <f t="shared" si="66"/>
        <v>#REF!</v>
      </c>
      <c r="AC61" s="288" t="e">
        <f>#REF!+#REF!</f>
        <v>#REF!</v>
      </c>
      <c r="AD61" s="290" t="e">
        <f t="shared" si="67"/>
        <v>#REF!</v>
      </c>
      <c r="AE61" s="288" t="e">
        <f t="shared" si="68"/>
        <v>#REF!</v>
      </c>
      <c r="AF61" s="290" t="e">
        <f t="shared" si="69"/>
        <v>#REF!</v>
      </c>
      <c r="AG61" s="288" t="e">
        <f t="shared" si="70"/>
        <v>#REF!</v>
      </c>
      <c r="AH61" s="290" t="e">
        <f t="shared" si="71"/>
        <v>#REF!</v>
      </c>
      <c r="AI61" s="288">
        <f>'CANTIDADES TOTALIZADAS'!AD90</f>
        <v>14704.380000000001</v>
      </c>
      <c r="AJ61" s="290">
        <f t="shared" si="72"/>
        <v>26747267.220000003</v>
      </c>
      <c r="AK61" s="288"/>
      <c r="AL61" s="290">
        <f t="shared" si="73"/>
        <v>0</v>
      </c>
      <c r="AM61" s="288" t="e">
        <f t="shared" si="74"/>
        <v>#REF!</v>
      </c>
      <c r="AN61" s="290" t="e">
        <f t="shared" si="75"/>
        <v>#REF!</v>
      </c>
      <c r="AO61" s="349"/>
      <c r="AP61" s="345">
        <f>(7.3+2.5+1)*900</f>
        <v>9720</v>
      </c>
    </row>
    <row r="62" spans="2:43" s="345" customFormat="1" ht="30" hidden="1" customHeight="1">
      <c r="B62" s="346"/>
      <c r="C62" s="309">
        <f t="shared" si="77"/>
        <v>37</v>
      </c>
      <c r="D62" s="329" t="s">
        <v>529</v>
      </c>
      <c r="E62" s="329"/>
      <c r="F62" s="329" t="s">
        <v>529</v>
      </c>
      <c r="G62" s="343" t="s">
        <v>528</v>
      </c>
      <c r="H62" s="329" t="s">
        <v>111</v>
      </c>
      <c r="I62" s="289" t="e">
        <f>#REF!</f>
        <v>#REF!</v>
      </c>
      <c r="J62" s="288"/>
      <c r="K62" s="290" t="e">
        <f t="shared" si="57"/>
        <v>#REF!</v>
      </c>
      <c r="L62" s="288"/>
      <c r="M62" s="290" t="e">
        <f t="shared" si="58"/>
        <v>#REF!</v>
      </c>
      <c r="N62" s="288"/>
      <c r="O62" s="290" t="e">
        <f t="shared" si="59"/>
        <v>#REF!</v>
      </c>
      <c r="P62" s="288"/>
      <c r="Q62" s="290" t="e">
        <f t="shared" si="60"/>
        <v>#REF!</v>
      </c>
      <c r="R62" s="288"/>
      <c r="S62" s="290" t="e">
        <f t="shared" si="61"/>
        <v>#REF!</v>
      </c>
      <c r="T62" s="288">
        <f t="shared" si="62"/>
        <v>0</v>
      </c>
      <c r="U62" s="437"/>
      <c r="V62" s="290" t="e">
        <f t="shared" si="63"/>
        <v>#REF!</v>
      </c>
      <c r="W62" s="288"/>
      <c r="X62" s="290" t="e">
        <f t="shared" si="64"/>
        <v>#REF!</v>
      </c>
      <c r="Y62" s="288"/>
      <c r="Z62" s="290" t="e">
        <f t="shared" si="76"/>
        <v>#REF!</v>
      </c>
      <c r="AA62" s="288"/>
      <c r="AB62" s="290" t="e">
        <f t="shared" si="66"/>
        <v>#REF!</v>
      </c>
      <c r="AC62" s="288"/>
      <c r="AD62" s="290" t="e">
        <f t="shared" si="67"/>
        <v>#REF!</v>
      </c>
      <c r="AE62" s="288">
        <f t="shared" si="68"/>
        <v>0</v>
      </c>
      <c r="AF62" s="290" t="e">
        <f t="shared" si="69"/>
        <v>#REF!</v>
      </c>
      <c r="AG62" s="288">
        <f t="shared" si="70"/>
        <v>0</v>
      </c>
      <c r="AH62" s="290" t="e">
        <f t="shared" si="71"/>
        <v>#REF!</v>
      </c>
      <c r="AI62" s="288"/>
      <c r="AJ62" s="290" t="e">
        <f t="shared" si="72"/>
        <v>#REF!</v>
      </c>
      <c r="AK62" s="288"/>
      <c r="AL62" s="290" t="e">
        <f t="shared" si="73"/>
        <v>#REF!</v>
      </c>
      <c r="AM62" s="288">
        <f t="shared" si="74"/>
        <v>0</v>
      </c>
      <c r="AN62" s="290" t="e">
        <f t="shared" si="75"/>
        <v>#REF!</v>
      </c>
      <c r="AO62" s="349"/>
    </row>
    <row r="63" spans="2:43" s="345" customFormat="1" ht="30" hidden="1" customHeight="1">
      <c r="B63" s="346"/>
      <c r="C63" s="309">
        <f t="shared" si="77"/>
        <v>38</v>
      </c>
      <c r="D63" s="329" t="s">
        <v>605</v>
      </c>
      <c r="E63" s="329"/>
      <c r="F63" s="329" t="s">
        <v>605</v>
      </c>
      <c r="G63" s="343" t="s">
        <v>412</v>
      </c>
      <c r="H63" s="329" t="s">
        <v>111</v>
      </c>
      <c r="I63" s="289">
        <f>'450.2P'!N78</f>
        <v>698453</v>
      </c>
      <c r="J63" s="288"/>
      <c r="K63" s="290">
        <f t="shared" si="57"/>
        <v>0</v>
      </c>
      <c r="L63" s="288"/>
      <c r="M63" s="290">
        <f t="shared" si="58"/>
        <v>0</v>
      </c>
      <c r="N63" s="288"/>
      <c r="O63" s="290">
        <f t="shared" si="59"/>
        <v>0</v>
      </c>
      <c r="P63" s="288"/>
      <c r="Q63" s="290">
        <f t="shared" si="60"/>
        <v>0</v>
      </c>
      <c r="R63" s="288"/>
      <c r="S63" s="290">
        <f t="shared" si="61"/>
        <v>0</v>
      </c>
      <c r="T63" s="288">
        <f t="shared" si="62"/>
        <v>0</v>
      </c>
      <c r="U63" s="437"/>
      <c r="V63" s="290">
        <f t="shared" si="63"/>
        <v>0</v>
      </c>
      <c r="W63" s="288"/>
      <c r="X63" s="290">
        <f t="shared" si="64"/>
        <v>0</v>
      </c>
      <c r="Y63" s="288"/>
      <c r="Z63" s="290">
        <f t="shared" si="76"/>
        <v>0</v>
      </c>
      <c r="AA63" s="288"/>
      <c r="AB63" s="290">
        <f t="shared" si="66"/>
        <v>0</v>
      </c>
      <c r="AC63" s="288"/>
      <c r="AD63" s="290">
        <f t="shared" si="67"/>
        <v>0</v>
      </c>
      <c r="AE63" s="288">
        <f t="shared" si="68"/>
        <v>0</v>
      </c>
      <c r="AF63" s="290">
        <f t="shared" si="69"/>
        <v>0</v>
      </c>
      <c r="AG63" s="288">
        <f t="shared" si="70"/>
        <v>0</v>
      </c>
      <c r="AH63" s="290">
        <f t="shared" si="71"/>
        <v>0</v>
      </c>
      <c r="AI63" s="288"/>
      <c r="AJ63" s="290">
        <f t="shared" si="72"/>
        <v>0</v>
      </c>
      <c r="AK63" s="288"/>
      <c r="AL63" s="290">
        <f t="shared" si="73"/>
        <v>0</v>
      </c>
      <c r="AM63" s="288">
        <f t="shared" si="74"/>
        <v>0</v>
      </c>
      <c r="AN63" s="290">
        <f t="shared" si="75"/>
        <v>0</v>
      </c>
      <c r="AO63" s="349"/>
    </row>
    <row r="64" spans="2:43" s="345" customFormat="1" ht="30" hidden="1" customHeight="1">
      <c r="B64" s="346"/>
      <c r="C64" s="309">
        <f t="shared" si="77"/>
        <v>39</v>
      </c>
      <c r="D64" s="293" t="s">
        <v>298</v>
      </c>
      <c r="E64" s="293"/>
      <c r="F64" s="293" t="s">
        <v>298</v>
      </c>
      <c r="G64" s="318" t="s">
        <v>413</v>
      </c>
      <c r="H64" s="293" t="s">
        <v>111</v>
      </c>
      <c r="I64" s="289" t="e">
        <f>+#REF!</f>
        <v>#REF!</v>
      </c>
      <c r="J64" s="288"/>
      <c r="K64" s="290" t="e">
        <f t="shared" si="57"/>
        <v>#REF!</v>
      </c>
      <c r="L64" s="288"/>
      <c r="M64" s="290" t="e">
        <f t="shared" si="58"/>
        <v>#REF!</v>
      </c>
      <c r="N64" s="288"/>
      <c r="O64" s="290" t="e">
        <f t="shared" si="59"/>
        <v>#REF!</v>
      </c>
      <c r="P64" s="288"/>
      <c r="Q64" s="290" t="e">
        <f t="shared" si="60"/>
        <v>#REF!</v>
      </c>
      <c r="R64" s="288"/>
      <c r="S64" s="290" t="e">
        <f t="shared" si="61"/>
        <v>#REF!</v>
      </c>
      <c r="T64" s="288">
        <f t="shared" si="62"/>
        <v>0</v>
      </c>
      <c r="U64" s="437"/>
      <c r="V64" s="290" t="e">
        <f t="shared" si="63"/>
        <v>#REF!</v>
      </c>
      <c r="W64" s="288"/>
      <c r="X64" s="290" t="e">
        <f t="shared" si="64"/>
        <v>#REF!</v>
      </c>
      <c r="Y64" s="288"/>
      <c r="Z64" s="290" t="e">
        <f t="shared" si="76"/>
        <v>#REF!</v>
      </c>
      <c r="AA64" s="288"/>
      <c r="AB64" s="290" t="e">
        <f t="shared" si="66"/>
        <v>#REF!</v>
      </c>
      <c r="AC64" s="288"/>
      <c r="AD64" s="290" t="e">
        <f t="shared" si="67"/>
        <v>#REF!</v>
      </c>
      <c r="AE64" s="288">
        <f t="shared" si="68"/>
        <v>0</v>
      </c>
      <c r="AF64" s="290" t="e">
        <f t="shared" si="69"/>
        <v>#REF!</v>
      </c>
      <c r="AG64" s="288">
        <f t="shared" si="70"/>
        <v>0</v>
      </c>
      <c r="AH64" s="290" t="e">
        <f t="shared" si="71"/>
        <v>#REF!</v>
      </c>
      <c r="AI64" s="288"/>
      <c r="AJ64" s="290" t="e">
        <f t="shared" si="72"/>
        <v>#REF!</v>
      </c>
      <c r="AK64" s="288"/>
      <c r="AL64" s="290" t="e">
        <f t="shared" si="73"/>
        <v>#REF!</v>
      </c>
      <c r="AM64" s="288">
        <f t="shared" si="74"/>
        <v>0</v>
      </c>
      <c r="AN64" s="290" t="e">
        <f t="shared" si="75"/>
        <v>#REF!</v>
      </c>
      <c r="AO64" s="349"/>
    </row>
    <row r="65" spans="2:42" s="345" customFormat="1" ht="30" customHeight="1">
      <c r="B65" s="346"/>
      <c r="C65" s="309">
        <f t="shared" si="77"/>
        <v>40</v>
      </c>
      <c r="D65" s="293" t="s">
        <v>728</v>
      </c>
      <c r="E65" s="454"/>
      <c r="F65" s="293" t="s">
        <v>728</v>
      </c>
      <c r="G65" s="428" t="s">
        <v>729</v>
      </c>
      <c r="H65" s="293" t="s">
        <v>111</v>
      </c>
      <c r="I65" s="289">
        <f>'450.2.1P'!N78</f>
        <v>808073</v>
      </c>
      <c r="J65" s="288">
        <f>'[112]CANTIDADES TOTALIZADAS'!$AF$93</f>
        <v>2199.8142000000003</v>
      </c>
      <c r="K65" s="290">
        <f t="shared" si="57"/>
        <v>1777610460.0366001</v>
      </c>
      <c r="L65" s="288">
        <f>'[112]CANTIDADES TOTALIZADAS'!$AQ$93</f>
        <v>2006.3414</v>
      </c>
      <c r="M65" s="290">
        <f t="shared" si="58"/>
        <v>1621270314.1222</v>
      </c>
      <c r="N65" s="288">
        <f>'[112]CANTIDADES TOTALIZADAS'!$AU$93</f>
        <v>5646.9071080000003</v>
      </c>
      <c r="O65" s="290">
        <f t="shared" si="59"/>
        <v>4563113167.4828844</v>
      </c>
      <c r="P65" s="288">
        <f>'[112]CANTIDADES TOTALIZADAS'!$BA$93</f>
        <v>258.29319999999996</v>
      </c>
      <c r="Q65" s="290">
        <f t="shared" si="60"/>
        <v>208719761.00359997</v>
      </c>
      <c r="R65" s="288">
        <f>'[112]CANTIDADES TOTALIZADAS'!$BI$93</f>
        <v>1033.8980000000001</v>
      </c>
      <c r="S65" s="290">
        <f t="shared" si="61"/>
        <v>835465058.55400014</v>
      </c>
      <c r="T65" s="288">
        <f t="shared" si="62"/>
        <v>11145.253908000002</v>
      </c>
      <c r="U65" s="437">
        <f>'[112]CANTIDADES TOTALIZADAS'!$BJ$93</f>
        <v>11145.253908000002</v>
      </c>
      <c r="V65" s="290">
        <f t="shared" si="63"/>
        <v>9006178761.1992855</v>
      </c>
      <c r="W65" s="288"/>
      <c r="X65" s="290">
        <f t="shared" si="64"/>
        <v>0</v>
      </c>
      <c r="Y65" s="288" t="e">
        <f>#REF!+#REF!</f>
        <v>#REF!</v>
      </c>
      <c r="Z65" s="290" t="e">
        <f t="shared" si="76"/>
        <v>#REF!</v>
      </c>
      <c r="AA65" s="288" t="e">
        <f>#REF!+#REF!+#REF!+#REF!+#REF!</f>
        <v>#REF!</v>
      </c>
      <c r="AB65" s="290" t="e">
        <f t="shared" si="66"/>
        <v>#REF!</v>
      </c>
      <c r="AC65" s="288" t="e">
        <f>#REF!+#REF!</f>
        <v>#REF!</v>
      </c>
      <c r="AD65" s="290" t="e">
        <f t="shared" si="67"/>
        <v>#REF!</v>
      </c>
      <c r="AE65" s="288" t="e">
        <f t="shared" si="68"/>
        <v>#REF!</v>
      </c>
      <c r="AF65" s="290" t="e">
        <f t="shared" si="69"/>
        <v>#REF!</v>
      </c>
      <c r="AG65" s="288" t="e">
        <f t="shared" si="70"/>
        <v>#REF!</v>
      </c>
      <c r="AH65" s="290" t="e">
        <f t="shared" si="71"/>
        <v>#REF!</v>
      </c>
      <c r="AI65" s="288">
        <f>'CANTIDADES TOTALIZADAS'!AD93</f>
        <v>1323.3942000000002</v>
      </c>
      <c r="AJ65" s="290">
        <f t="shared" si="72"/>
        <v>1069399121.3766001</v>
      </c>
      <c r="AK65" s="288"/>
      <c r="AL65" s="290">
        <f t="shared" si="73"/>
        <v>0</v>
      </c>
      <c r="AM65" s="288" t="e">
        <f t="shared" si="74"/>
        <v>#REF!</v>
      </c>
      <c r="AN65" s="290" t="e">
        <f t="shared" si="75"/>
        <v>#REF!</v>
      </c>
      <c r="AO65" s="349"/>
      <c r="AP65" s="345">
        <f>(7.3+2.5+1)*900*0.09</f>
        <v>874.8</v>
      </c>
    </row>
    <row r="66" spans="2:42" s="345" customFormat="1" ht="30" customHeight="1">
      <c r="B66" s="346"/>
      <c r="C66" s="309">
        <f>C64+1</f>
        <v>40</v>
      </c>
      <c r="D66" s="293" t="s">
        <v>487</v>
      </c>
      <c r="E66" s="293"/>
      <c r="F66" s="293" t="s">
        <v>487</v>
      </c>
      <c r="G66" s="318" t="s">
        <v>486</v>
      </c>
      <c r="H66" s="293" t="s">
        <v>111</v>
      </c>
      <c r="I66" s="289">
        <f>'450.9 P'!N78</f>
        <v>746617</v>
      </c>
      <c r="J66" s="288"/>
      <c r="K66" s="290">
        <f t="shared" si="57"/>
        <v>0</v>
      </c>
      <c r="L66" s="288"/>
      <c r="M66" s="290">
        <f t="shared" si="58"/>
        <v>0</v>
      </c>
      <c r="N66" s="288"/>
      <c r="O66" s="290">
        <f t="shared" si="59"/>
        <v>0</v>
      </c>
      <c r="P66" s="288"/>
      <c r="Q66" s="290">
        <f t="shared" si="60"/>
        <v>0</v>
      </c>
      <c r="R66" s="288"/>
      <c r="S66" s="290">
        <f t="shared" si="61"/>
        <v>0</v>
      </c>
      <c r="T66" s="288">
        <f t="shared" si="62"/>
        <v>0</v>
      </c>
      <c r="U66" s="437"/>
      <c r="V66" s="290">
        <f t="shared" si="63"/>
        <v>0</v>
      </c>
      <c r="W66" s="288">
        <f>(175200*0.05*7.3)*0.3</f>
        <v>19184.399999999998</v>
      </c>
      <c r="X66" s="290">
        <f t="shared" si="64"/>
        <v>14323399174.799999</v>
      </c>
      <c r="Y66" s="288"/>
      <c r="Z66" s="290">
        <f t="shared" si="76"/>
        <v>0</v>
      </c>
      <c r="AA66" s="288"/>
      <c r="AB66" s="290">
        <f t="shared" si="66"/>
        <v>0</v>
      </c>
      <c r="AC66" s="288"/>
      <c r="AD66" s="290">
        <f t="shared" si="67"/>
        <v>0</v>
      </c>
      <c r="AE66" s="288">
        <f t="shared" si="68"/>
        <v>19184.399999999998</v>
      </c>
      <c r="AF66" s="290">
        <f t="shared" si="69"/>
        <v>14323399174.799999</v>
      </c>
      <c r="AG66" s="288">
        <f t="shared" si="70"/>
        <v>19184.399999999998</v>
      </c>
      <c r="AH66" s="290">
        <f t="shared" si="71"/>
        <v>14323399174.799999</v>
      </c>
      <c r="AI66" s="288"/>
      <c r="AJ66" s="290">
        <f t="shared" si="72"/>
        <v>0</v>
      </c>
      <c r="AK66" s="288"/>
      <c r="AL66" s="290">
        <f t="shared" si="73"/>
        <v>0</v>
      </c>
      <c r="AM66" s="288">
        <f t="shared" si="74"/>
        <v>19184.399999999998</v>
      </c>
      <c r="AN66" s="290">
        <f t="shared" si="75"/>
        <v>14323399174.799999</v>
      </c>
      <c r="AO66" s="349"/>
    </row>
    <row r="67" spans="2:42" s="345" customFormat="1" ht="30" hidden="1" customHeight="1">
      <c r="B67" s="346"/>
      <c r="C67" s="309">
        <f t="shared" si="77"/>
        <v>41</v>
      </c>
      <c r="D67" s="293" t="s">
        <v>665</v>
      </c>
      <c r="E67" s="293"/>
      <c r="F67" s="293" t="s">
        <v>665</v>
      </c>
      <c r="G67" s="318" t="s">
        <v>666</v>
      </c>
      <c r="H67" s="293" t="s">
        <v>111</v>
      </c>
      <c r="I67" s="289" t="e">
        <f>#REF!</f>
        <v>#REF!</v>
      </c>
      <c r="J67" s="288"/>
      <c r="K67" s="290" t="e">
        <f t="shared" si="57"/>
        <v>#REF!</v>
      </c>
      <c r="L67" s="288"/>
      <c r="M67" s="290" t="e">
        <f t="shared" si="58"/>
        <v>#REF!</v>
      </c>
      <c r="N67" s="288"/>
      <c r="O67" s="290" t="e">
        <f t="shared" si="59"/>
        <v>#REF!</v>
      </c>
      <c r="P67" s="288"/>
      <c r="Q67" s="290" t="e">
        <f t="shared" si="60"/>
        <v>#REF!</v>
      </c>
      <c r="R67" s="288"/>
      <c r="S67" s="290" t="e">
        <f t="shared" si="61"/>
        <v>#REF!</v>
      </c>
      <c r="T67" s="288">
        <f t="shared" si="62"/>
        <v>0</v>
      </c>
      <c r="U67" s="437"/>
      <c r="V67" s="290" t="e">
        <f t="shared" si="63"/>
        <v>#REF!</v>
      </c>
      <c r="W67" s="288"/>
      <c r="X67" s="290" t="e">
        <f t="shared" si="64"/>
        <v>#REF!</v>
      </c>
      <c r="Y67" s="288"/>
      <c r="Z67" s="290" t="e">
        <f t="shared" si="76"/>
        <v>#REF!</v>
      </c>
      <c r="AA67" s="288"/>
      <c r="AB67" s="290" t="e">
        <f t="shared" si="66"/>
        <v>#REF!</v>
      </c>
      <c r="AC67" s="288"/>
      <c r="AD67" s="290" t="e">
        <f t="shared" si="67"/>
        <v>#REF!</v>
      </c>
      <c r="AE67" s="288">
        <f t="shared" si="68"/>
        <v>0</v>
      </c>
      <c r="AF67" s="290" t="e">
        <f t="shared" si="69"/>
        <v>#REF!</v>
      </c>
      <c r="AG67" s="288">
        <f t="shared" si="70"/>
        <v>0</v>
      </c>
      <c r="AH67" s="290" t="e">
        <f t="shared" si="71"/>
        <v>#REF!</v>
      </c>
      <c r="AI67" s="288"/>
      <c r="AJ67" s="290" t="e">
        <f t="shared" si="72"/>
        <v>#REF!</v>
      </c>
      <c r="AK67" s="288"/>
      <c r="AL67" s="290" t="e">
        <f t="shared" si="73"/>
        <v>#REF!</v>
      </c>
      <c r="AM67" s="288">
        <f t="shared" si="74"/>
        <v>0</v>
      </c>
      <c r="AN67" s="290" t="e">
        <f t="shared" si="75"/>
        <v>#REF!</v>
      </c>
      <c r="AO67" s="349"/>
    </row>
    <row r="68" spans="2:42" s="345" customFormat="1" ht="30" hidden="1" customHeight="1">
      <c r="B68" s="346"/>
      <c r="C68" s="309">
        <f t="shared" si="77"/>
        <v>42</v>
      </c>
      <c r="D68" s="329" t="s">
        <v>327</v>
      </c>
      <c r="E68" s="329"/>
      <c r="F68" s="329" t="s">
        <v>327</v>
      </c>
      <c r="G68" s="343" t="s">
        <v>328</v>
      </c>
      <c r="H68" s="329" t="s">
        <v>111</v>
      </c>
      <c r="I68" s="289" t="e">
        <f>#REF!</f>
        <v>#REF!</v>
      </c>
      <c r="J68" s="288"/>
      <c r="K68" s="290" t="e">
        <f t="shared" si="57"/>
        <v>#REF!</v>
      </c>
      <c r="L68" s="288"/>
      <c r="M68" s="290" t="e">
        <f t="shared" si="58"/>
        <v>#REF!</v>
      </c>
      <c r="N68" s="288"/>
      <c r="O68" s="290" t="e">
        <f t="shared" si="59"/>
        <v>#REF!</v>
      </c>
      <c r="P68" s="288"/>
      <c r="Q68" s="290" t="e">
        <f t="shared" si="60"/>
        <v>#REF!</v>
      </c>
      <c r="R68" s="288"/>
      <c r="S68" s="290" t="e">
        <f t="shared" si="61"/>
        <v>#REF!</v>
      </c>
      <c r="T68" s="288">
        <f t="shared" si="62"/>
        <v>0</v>
      </c>
      <c r="U68" s="437"/>
      <c r="V68" s="290" t="e">
        <f t="shared" si="63"/>
        <v>#REF!</v>
      </c>
      <c r="W68" s="288"/>
      <c r="X68" s="290" t="e">
        <f t="shared" si="64"/>
        <v>#REF!</v>
      </c>
      <c r="Y68" s="288"/>
      <c r="Z68" s="290" t="e">
        <f t="shared" si="76"/>
        <v>#REF!</v>
      </c>
      <c r="AA68" s="288"/>
      <c r="AB68" s="290" t="e">
        <f t="shared" si="66"/>
        <v>#REF!</v>
      </c>
      <c r="AC68" s="288"/>
      <c r="AD68" s="290" t="e">
        <f t="shared" si="67"/>
        <v>#REF!</v>
      </c>
      <c r="AE68" s="288">
        <f t="shared" si="68"/>
        <v>0</v>
      </c>
      <c r="AF68" s="290" t="e">
        <f t="shared" si="69"/>
        <v>#REF!</v>
      </c>
      <c r="AG68" s="288">
        <f t="shared" si="70"/>
        <v>0</v>
      </c>
      <c r="AH68" s="290" t="e">
        <f t="shared" si="71"/>
        <v>#REF!</v>
      </c>
      <c r="AI68" s="288"/>
      <c r="AJ68" s="290" t="e">
        <f t="shared" si="72"/>
        <v>#REF!</v>
      </c>
      <c r="AK68" s="288"/>
      <c r="AL68" s="290" t="e">
        <f t="shared" si="73"/>
        <v>#REF!</v>
      </c>
      <c r="AM68" s="288">
        <f t="shared" si="74"/>
        <v>0</v>
      </c>
      <c r="AN68" s="290" t="e">
        <f t="shared" si="75"/>
        <v>#REF!</v>
      </c>
      <c r="AO68" s="349"/>
    </row>
    <row r="69" spans="2:42" s="345" customFormat="1" ht="15.75">
      <c r="B69" s="346"/>
      <c r="C69" s="309">
        <f t="shared" si="77"/>
        <v>43</v>
      </c>
      <c r="D69" s="329" t="s">
        <v>394</v>
      </c>
      <c r="E69" s="329"/>
      <c r="F69" s="329" t="s">
        <v>394</v>
      </c>
      <c r="G69" s="343" t="s">
        <v>329</v>
      </c>
      <c r="H69" s="329" t="s">
        <v>28</v>
      </c>
      <c r="I69" s="289" t="e">
        <f>#REF!</f>
        <v>#REF!</v>
      </c>
      <c r="J69" s="288"/>
      <c r="K69" s="290" t="e">
        <f t="shared" si="57"/>
        <v>#REF!</v>
      </c>
      <c r="L69" s="288"/>
      <c r="M69" s="290" t="e">
        <f t="shared" si="58"/>
        <v>#REF!</v>
      </c>
      <c r="N69" s="288"/>
      <c r="O69" s="290" t="e">
        <f t="shared" si="59"/>
        <v>#REF!</v>
      </c>
      <c r="P69" s="288"/>
      <c r="Q69" s="290" t="e">
        <f t="shared" si="60"/>
        <v>#REF!</v>
      </c>
      <c r="R69" s="288"/>
      <c r="S69" s="290" t="e">
        <f t="shared" si="61"/>
        <v>#REF!</v>
      </c>
      <c r="T69" s="288">
        <f t="shared" si="62"/>
        <v>0</v>
      </c>
      <c r="U69" s="437"/>
      <c r="V69" s="290" t="e">
        <f t="shared" si="63"/>
        <v>#REF!</v>
      </c>
      <c r="W69" s="288"/>
      <c r="X69" s="290" t="e">
        <f t="shared" si="64"/>
        <v>#REF!</v>
      </c>
      <c r="Y69" s="288"/>
      <c r="Z69" s="290" t="e">
        <f t="shared" si="76"/>
        <v>#REF!</v>
      </c>
      <c r="AA69" s="288"/>
      <c r="AB69" s="290" t="e">
        <f t="shared" si="66"/>
        <v>#REF!</v>
      </c>
      <c r="AC69" s="288"/>
      <c r="AD69" s="290" t="e">
        <f t="shared" si="67"/>
        <v>#REF!</v>
      </c>
      <c r="AE69" s="288">
        <f t="shared" si="68"/>
        <v>0</v>
      </c>
      <c r="AF69" s="290" t="e">
        <f t="shared" si="69"/>
        <v>#REF!</v>
      </c>
      <c r="AG69" s="288">
        <f t="shared" si="70"/>
        <v>0</v>
      </c>
      <c r="AH69" s="290" t="e">
        <f t="shared" si="71"/>
        <v>#REF!</v>
      </c>
      <c r="AI69" s="288"/>
      <c r="AJ69" s="290" t="e">
        <f t="shared" si="72"/>
        <v>#REF!</v>
      </c>
      <c r="AK69" s="288"/>
      <c r="AL69" s="290" t="e">
        <f t="shared" si="73"/>
        <v>#REF!</v>
      </c>
      <c r="AM69" s="288">
        <f t="shared" si="74"/>
        <v>0</v>
      </c>
      <c r="AN69" s="290" t="e">
        <f t="shared" si="75"/>
        <v>#REF!</v>
      </c>
      <c r="AO69" s="349"/>
    </row>
    <row r="70" spans="2:42" s="345" customFormat="1" ht="30" customHeight="1">
      <c r="B70" s="346"/>
      <c r="C70" s="309">
        <f t="shared" si="77"/>
        <v>44</v>
      </c>
      <c r="D70" s="329" t="s">
        <v>330</v>
      </c>
      <c r="E70" s="329"/>
      <c r="F70" s="329" t="s">
        <v>330</v>
      </c>
      <c r="G70" s="343" t="s">
        <v>331</v>
      </c>
      <c r="H70" s="329" t="s">
        <v>111</v>
      </c>
      <c r="I70" s="289">
        <f>'460.1P'!N78</f>
        <v>48963</v>
      </c>
      <c r="J70" s="288"/>
      <c r="K70" s="290">
        <f t="shared" si="57"/>
        <v>0</v>
      </c>
      <c r="L70" s="288"/>
      <c r="M70" s="290">
        <f t="shared" si="58"/>
        <v>0</v>
      </c>
      <c r="N70" s="288"/>
      <c r="O70" s="290">
        <f t="shared" si="59"/>
        <v>0</v>
      </c>
      <c r="P70" s="288"/>
      <c r="Q70" s="290">
        <f t="shared" si="60"/>
        <v>0</v>
      </c>
      <c r="R70" s="288"/>
      <c r="S70" s="290">
        <f t="shared" si="61"/>
        <v>0</v>
      </c>
      <c r="T70" s="288">
        <f t="shared" si="62"/>
        <v>0</v>
      </c>
      <c r="U70" s="437"/>
      <c r="V70" s="290">
        <f t="shared" si="63"/>
        <v>0</v>
      </c>
      <c r="W70" s="288">
        <f>(175200*0.05*7.3)*0.3</f>
        <v>19184.399999999998</v>
      </c>
      <c r="X70" s="290">
        <f t="shared" si="64"/>
        <v>939325777.19999993</v>
      </c>
      <c r="Y70" s="288"/>
      <c r="Z70" s="290">
        <f t="shared" si="76"/>
        <v>0</v>
      </c>
      <c r="AA70" s="288"/>
      <c r="AB70" s="290">
        <f t="shared" si="66"/>
        <v>0</v>
      </c>
      <c r="AC70" s="288"/>
      <c r="AD70" s="290">
        <f t="shared" si="67"/>
        <v>0</v>
      </c>
      <c r="AE70" s="288">
        <f t="shared" si="68"/>
        <v>19184.399999999998</v>
      </c>
      <c r="AF70" s="290">
        <f t="shared" si="69"/>
        <v>939325777.19999993</v>
      </c>
      <c r="AG70" s="288">
        <f t="shared" si="70"/>
        <v>19184.399999999998</v>
      </c>
      <c r="AH70" s="290">
        <f t="shared" si="71"/>
        <v>939325777.19999993</v>
      </c>
      <c r="AI70" s="288"/>
      <c r="AJ70" s="290">
        <f t="shared" si="72"/>
        <v>0</v>
      </c>
      <c r="AK70" s="288"/>
      <c r="AL70" s="290">
        <f t="shared" si="73"/>
        <v>0</v>
      </c>
      <c r="AM70" s="288">
        <f t="shared" si="74"/>
        <v>19184.399999999998</v>
      </c>
      <c r="AN70" s="290">
        <f t="shared" si="75"/>
        <v>939325777.19999993</v>
      </c>
      <c r="AO70" s="349"/>
    </row>
    <row r="71" spans="2:42" s="345" customFormat="1" ht="30" hidden="1" customHeight="1">
      <c r="B71" s="346"/>
      <c r="C71" s="309">
        <f t="shared" si="77"/>
        <v>45</v>
      </c>
      <c r="D71" s="329" t="s">
        <v>332</v>
      </c>
      <c r="E71" s="329"/>
      <c r="F71" s="329" t="s">
        <v>332</v>
      </c>
      <c r="G71" s="328" t="s">
        <v>333</v>
      </c>
      <c r="H71" s="329" t="s">
        <v>111</v>
      </c>
      <c r="I71" s="289" t="e">
        <f>#REF!</f>
        <v>#REF!</v>
      </c>
      <c r="J71" s="288"/>
      <c r="K71" s="290" t="e">
        <f t="shared" si="57"/>
        <v>#REF!</v>
      </c>
      <c r="L71" s="288"/>
      <c r="M71" s="290" t="e">
        <f t="shared" si="58"/>
        <v>#REF!</v>
      </c>
      <c r="N71" s="288"/>
      <c r="O71" s="290" t="e">
        <f t="shared" si="59"/>
        <v>#REF!</v>
      </c>
      <c r="P71" s="288"/>
      <c r="Q71" s="290" t="e">
        <f t="shared" si="60"/>
        <v>#REF!</v>
      </c>
      <c r="R71" s="288"/>
      <c r="S71" s="290" t="e">
        <f t="shared" si="61"/>
        <v>#REF!</v>
      </c>
      <c r="T71" s="288">
        <f t="shared" si="62"/>
        <v>0</v>
      </c>
      <c r="U71" s="437"/>
      <c r="V71" s="290" t="e">
        <f t="shared" si="63"/>
        <v>#REF!</v>
      </c>
      <c r="W71" s="288"/>
      <c r="X71" s="290" t="e">
        <f t="shared" si="64"/>
        <v>#REF!</v>
      </c>
      <c r="Y71" s="288"/>
      <c r="Z71" s="290" t="e">
        <f t="shared" si="76"/>
        <v>#REF!</v>
      </c>
      <c r="AA71" s="288"/>
      <c r="AB71" s="290" t="e">
        <f t="shared" si="66"/>
        <v>#REF!</v>
      </c>
      <c r="AC71" s="288"/>
      <c r="AD71" s="290" t="e">
        <f t="shared" si="67"/>
        <v>#REF!</v>
      </c>
      <c r="AE71" s="288">
        <f t="shared" si="68"/>
        <v>0</v>
      </c>
      <c r="AF71" s="290" t="e">
        <f t="shared" si="69"/>
        <v>#REF!</v>
      </c>
      <c r="AG71" s="288">
        <f t="shared" si="70"/>
        <v>0</v>
      </c>
      <c r="AH71" s="290" t="e">
        <f t="shared" si="71"/>
        <v>#REF!</v>
      </c>
      <c r="AI71" s="288"/>
      <c r="AJ71" s="290" t="e">
        <f t="shared" si="72"/>
        <v>#REF!</v>
      </c>
      <c r="AK71" s="288"/>
      <c r="AL71" s="290" t="e">
        <f t="shared" si="73"/>
        <v>#REF!</v>
      </c>
      <c r="AM71" s="288">
        <f t="shared" si="74"/>
        <v>0</v>
      </c>
      <c r="AN71" s="290" t="e">
        <f t="shared" si="75"/>
        <v>#REF!</v>
      </c>
      <c r="AO71" s="349"/>
    </row>
    <row r="72" spans="2:42" s="345" customFormat="1" ht="30" hidden="1" customHeight="1">
      <c r="B72" s="346"/>
      <c r="C72" s="309">
        <f t="shared" si="77"/>
        <v>46</v>
      </c>
      <c r="D72" s="329" t="s">
        <v>668</v>
      </c>
      <c r="E72" s="329" t="s">
        <v>669</v>
      </c>
      <c r="F72" s="329"/>
      <c r="G72" s="328" t="s">
        <v>667</v>
      </c>
      <c r="H72" s="329" t="s">
        <v>28</v>
      </c>
      <c r="I72" s="289" t="e">
        <f>#REF!</f>
        <v>#REF!</v>
      </c>
      <c r="J72" s="288"/>
      <c r="K72" s="290" t="e">
        <f t="shared" si="57"/>
        <v>#REF!</v>
      </c>
      <c r="L72" s="288"/>
      <c r="M72" s="290" t="e">
        <f t="shared" si="58"/>
        <v>#REF!</v>
      </c>
      <c r="N72" s="288"/>
      <c r="O72" s="290" t="e">
        <f t="shared" si="59"/>
        <v>#REF!</v>
      </c>
      <c r="P72" s="288"/>
      <c r="Q72" s="290" t="e">
        <f t="shared" si="60"/>
        <v>#REF!</v>
      </c>
      <c r="R72" s="288"/>
      <c r="S72" s="290" t="e">
        <f t="shared" si="61"/>
        <v>#REF!</v>
      </c>
      <c r="T72" s="288">
        <f t="shared" si="62"/>
        <v>0</v>
      </c>
      <c r="U72" s="437"/>
      <c r="V72" s="290" t="e">
        <f t="shared" si="63"/>
        <v>#REF!</v>
      </c>
      <c r="W72" s="288"/>
      <c r="X72" s="290" t="e">
        <f t="shared" si="64"/>
        <v>#REF!</v>
      </c>
      <c r="Y72" s="288"/>
      <c r="Z72" s="290" t="e">
        <f t="shared" si="76"/>
        <v>#REF!</v>
      </c>
      <c r="AA72" s="288"/>
      <c r="AB72" s="290" t="e">
        <f t="shared" si="66"/>
        <v>#REF!</v>
      </c>
      <c r="AC72" s="288"/>
      <c r="AD72" s="290" t="e">
        <f t="shared" si="67"/>
        <v>#REF!</v>
      </c>
      <c r="AE72" s="288">
        <f t="shared" si="68"/>
        <v>0</v>
      </c>
      <c r="AF72" s="290" t="e">
        <f t="shared" si="69"/>
        <v>#REF!</v>
      </c>
      <c r="AG72" s="288">
        <f t="shared" si="70"/>
        <v>0</v>
      </c>
      <c r="AH72" s="290" t="e">
        <f t="shared" si="71"/>
        <v>#REF!</v>
      </c>
      <c r="AI72" s="288"/>
      <c r="AJ72" s="290" t="e">
        <f t="shared" si="72"/>
        <v>#REF!</v>
      </c>
      <c r="AK72" s="288"/>
      <c r="AL72" s="290" t="e">
        <f t="shared" si="73"/>
        <v>#REF!</v>
      </c>
      <c r="AM72" s="288">
        <f t="shared" si="74"/>
        <v>0</v>
      </c>
      <c r="AN72" s="290" t="e">
        <f t="shared" si="75"/>
        <v>#REF!</v>
      </c>
      <c r="AO72" s="349"/>
    </row>
    <row r="73" spans="2:42" s="345" customFormat="1" ht="38.25" customHeight="1">
      <c r="B73" s="346"/>
      <c r="C73" s="309">
        <f t="shared" si="77"/>
        <v>47</v>
      </c>
      <c r="D73" s="329" t="s">
        <v>414</v>
      </c>
      <c r="E73" s="286" t="s">
        <v>449</v>
      </c>
      <c r="F73" s="286"/>
      <c r="G73" s="343" t="s">
        <v>599</v>
      </c>
      <c r="H73" s="386" t="s">
        <v>111</v>
      </c>
      <c r="I73" s="289" t="e">
        <f>#REF!</f>
        <v>#REF!</v>
      </c>
      <c r="J73" s="288"/>
      <c r="K73" s="290" t="e">
        <f t="shared" si="57"/>
        <v>#REF!</v>
      </c>
      <c r="L73" s="288"/>
      <c r="M73" s="290" t="e">
        <f t="shared" si="58"/>
        <v>#REF!</v>
      </c>
      <c r="N73" s="288"/>
      <c r="O73" s="290" t="e">
        <f t="shared" si="59"/>
        <v>#REF!</v>
      </c>
      <c r="P73" s="288"/>
      <c r="Q73" s="290" t="e">
        <f t="shared" si="60"/>
        <v>#REF!</v>
      </c>
      <c r="R73" s="288"/>
      <c r="S73" s="290" t="e">
        <f t="shared" si="61"/>
        <v>#REF!</v>
      </c>
      <c r="T73" s="288">
        <f t="shared" si="62"/>
        <v>0</v>
      </c>
      <c r="U73" s="437"/>
      <c r="V73" s="290" t="e">
        <f t="shared" si="63"/>
        <v>#REF!</v>
      </c>
      <c r="W73" s="288">
        <f>(175200*0.2*7.3)*0.05</f>
        <v>12789.6</v>
      </c>
      <c r="X73" s="290" t="e">
        <f t="shared" si="64"/>
        <v>#REF!</v>
      </c>
      <c r="Y73" s="288"/>
      <c r="Z73" s="290" t="e">
        <f t="shared" si="76"/>
        <v>#REF!</v>
      </c>
      <c r="AA73" s="288"/>
      <c r="AB73" s="290" t="e">
        <f t="shared" si="66"/>
        <v>#REF!</v>
      </c>
      <c r="AC73" s="288"/>
      <c r="AD73" s="290" t="e">
        <f t="shared" si="67"/>
        <v>#REF!</v>
      </c>
      <c r="AE73" s="288">
        <f t="shared" si="68"/>
        <v>12789.6</v>
      </c>
      <c r="AF73" s="290" t="e">
        <f t="shared" si="69"/>
        <v>#REF!</v>
      </c>
      <c r="AG73" s="288">
        <f t="shared" si="70"/>
        <v>12789.6</v>
      </c>
      <c r="AH73" s="290" t="e">
        <f t="shared" si="71"/>
        <v>#REF!</v>
      </c>
      <c r="AI73" s="288"/>
      <c r="AJ73" s="290" t="e">
        <f t="shared" si="72"/>
        <v>#REF!</v>
      </c>
      <c r="AK73" s="288"/>
      <c r="AL73" s="290" t="e">
        <f t="shared" si="73"/>
        <v>#REF!</v>
      </c>
      <c r="AM73" s="288">
        <f t="shared" si="74"/>
        <v>12789.6</v>
      </c>
      <c r="AN73" s="290" t="e">
        <f t="shared" si="75"/>
        <v>#REF!</v>
      </c>
      <c r="AO73" s="349"/>
    </row>
    <row r="74" spans="2:42" s="345" customFormat="1" ht="30" customHeight="1">
      <c r="B74" s="346"/>
      <c r="C74" s="309">
        <f t="shared" si="77"/>
        <v>48</v>
      </c>
      <c r="D74" s="329" t="s">
        <v>613</v>
      </c>
      <c r="E74" s="329" t="s">
        <v>614</v>
      </c>
      <c r="F74" s="329"/>
      <c r="G74" s="348" t="s">
        <v>615</v>
      </c>
      <c r="H74" s="329" t="s">
        <v>81</v>
      </c>
      <c r="I74" s="289">
        <f>'466.1P'!N79</f>
        <v>3806</v>
      </c>
      <c r="J74" s="288"/>
      <c r="K74" s="290">
        <f t="shared" si="57"/>
        <v>0</v>
      </c>
      <c r="L74" s="288"/>
      <c r="M74" s="290">
        <f t="shared" si="58"/>
        <v>0</v>
      </c>
      <c r="N74" s="288"/>
      <c r="O74" s="290">
        <f t="shared" si="59"/>
        <v>0</v>
      </c>
      <c r="P74" s="288"/>
      <c r="Q74" s="290">
        <f t="shared" si="60"/>
        <v>0</v>
      </c>
      <c r="R74" s="288"/>
      <c r="S74" s="290">
        <f t="shared" si="61"/>
        <v>0</v>
      </c>
      <c r="T74" s="288">
        <f t="shared" si="62"/>
        <v>0</v>
      </c>
      <c r="U74" s="437"/>
      <c r="V74" s="290">
        <f t="shared" si="63"/>
        <v>0</v>
      </c>
      <c r="W74" s="288">
        <f>175200*0.2</f>
        <v>35040</v>
      </c>
      <c r="X74" s="290">
        <f t="shared" si="64"/>
        <v>133362240</v>
      </c>
      <c r="Y74" s="288"/>
      <c r="Z74" s="290">
        <f t="shared" si="76"/>
        <v>0</v>
      </c>
      <c r="AA74" s="288"/>
      <c r="AB74" s="290">
        <f t="shared" si="66"/>
        <v>0</v>
      </c>
      <c r="AC74" s="288"/>
      <c r="AD74" s="290">
        <f t="shared" si="67"/>
        <v>0</v>
      </c>
      <c r="AE74" s="288">
        <f t="shared" si="68"/>
        <v>35040</v>
      </c>
      <c r="AF74" s="290">
        <f t="shared" si="69"/>
        <v>133362240</v>
      </c>
      <c r="AG74" s="288">
        <f t="shared" si="70"/>
        <v>35040</v>
      </c>
      <c r="AH74" s="290">
        <f t="shared" si="71"/>
        <v>133362240</v>
      </c>
      <c r="AI74" s="288"/>
      <c r="AJ74" s="290">
        <f t="shared" si="72"/>
        <v>0</v>
      </c>
      <c r="AK74" s="288"/>
      <c r="AL74" s="290">
        <f t="shared" si="73"/>
        <v>0</v>
      </c>
      <c r="AM74" s="288">
        <f t="shared" si="74"/>
        <v>35040</v>
      </c>
      <c r="AN74" s="290">
        <f t="shared" si="75"/>
        <v>133362240</v>
      </c>
      <c r="AO74" s="349"/>
    </row>
    <row r="75" spans="2:42" s="345" customFormat="1" ht="35.25" hidden="1" customHeight="1" thickBot="1">
      <c r="B75" s="346"/>
      <c r="C75" s="309">
        <f t="shared" si="77"/>
        <v>49</v>
      </c>
      <c r="D75" s="347" t="s">
        <v>616</v>
      </c>
      <c r="E75" s="347"/>
      <c r="F75" s="347" t="s">
        <v>616</v>
      </c>
      <c r="G75" s="344" t="s">
        <v>617</v>
      </c>
      <c r="H75" s="347" t="s">
        <v>111</v>
      </c>
      <c r="I75" s="289" t="e">
        <f>#REF!</f>
        <v>#REF!</v>
      </c>
      <c r="J75" s="288"/>
      <c r="K75" s="290" t="e">
        <f t="shared" si="57"/>
        <v>#REF!</v>
      </c>
      <c r="L75" s="288"/>
      <c r="M75" s="290" t="e">
        <f t="shared" si="58"/>
        <v>#REF!</v>
      </c>
      <c r="N75" s="288"/>
      <c r="O75" s="290" t="e">
        <f t="shared" si="59"/>
        <v>#REF!</v>
      </c>
      <c r="P75" s="288"/>
      <c r="Q75" s="290" t="e">
        <f t="shared" si="60"/>
        <v>#REF!</v>
      </c>
      <c r="R75" s="288"/>
      <c r="S75" s="290" t="e">
        <f t="shared" si="61"/>
        <v>#REF!</v>
      </c>
      <c r="T75" s="288">
        <f t="shared" si="62"/>
        <v>0</v>
      </c>
      <c r="U75" s="437"/>
      <c r="V75" s="290" t="e">
        <f t="shared" si="63"/>
        <v>#REF!</v>
      </c>
      <c r="W75" s="288"/>
      <c r="X75" s="290" t="e">
        <f t="shared" si="64"/>
        <v>#REF!</v>
      </c>
      <c r="Y75" s="288"/>
      <c r="Z75" s="290" t="e">
        <f t="shared" si="76"/>
        <v>#REF!</v>
      </c>
      <c r="AA75" s="288"/>
      <c r="AB75" s="290" t="e">
        <f t="shared" si="66"/>
        <v>#REF!</v>
      </c>
      <c r="AC75" s="288"/>
      <c r="AD75" s="290" t="e">
        <f t="shared" si="67"/>
        <v>#REF!</v>
      </c>
      <c r="AE75" s="288">
        <f t="shared" si="68"/>
        <v>0</v>
      </c>
      <c r="AF75" s="290" t="e">
        <f t="shared" si="69"/>
        <v>#REF!</v>
      </c>
      <c r="AG75" s="288">
        <f t="shared" si="70"/>
        <v>0</v>
      </c>
      <c r="AH75" s="290" t="e">
        <f t="shared" si="71"/>
        <v>#REF!</v>
      </c>
      <c r="AI75" s="288"/>
      <c r="AJ75" s="290" t="e">
        <f t="shared" si="72"/>
        <v>#REF!</v>
      </c>
      <c r="AK75" s="288"/>
      <c r="AL75" s="290" t="e">
        <f t="shared" si="73"/>
        <v>#REF!</v>
      </c>
      <c r="AM75" s="288">
        <f t="shared" si="74"/>
        <v>0</v>
      </c>
      <c r="AN75" s="290" t="e">
        <f t="shared" si="75"/>
        <v>#REF!</v>
      </c>
      <c r="AO75" s="349"/>
    </row>
    <row r="76" spans="2:42" s="345" customFormat="1" ht="30" customHeight="1" thickBot="1">
      <c r="B76" s="346"/>
      <c r="C76" s="295" t="s">
        <v>170</v>
      </c>
      <c r="D76" s="319"/>
      <c r="E76" s="320"/>
      <c r="F76" s="319"/>
      <c r="G76" s="319"/>
      <c r="H76" s="319"/>
      <c r="I76" s="319"/>
      <c r="J76" s="288"/>
      <c r="K76" s="301" t="e">
        <f>ROUND(SUM(K59:K75),0)</f>
        <v>#REF!</v>
      </c>
      <c r="L76" s="288"/>
      <c r="M76" s="301" t="e">
        <f>ROUND(SUM(M59:M75),0)</f>
        <v>#REF!</v>
      </c>
      <c r="N76" s="288"/>
      <c r="O76" s="301" t="e">
        <f>ROUND(SUM(O59:O75),0)</f>
        <v>#REF!</v>
      </c>
      <c r="P76" s="288"/>
      <c r="Q76" s="301" t="e">
        <f>ROUND(SUM(Q59:Q75),0)</f>
        <v>#REF!</v>
      </c>
      <c r="R76" s="288"/>
      <c r="S76" s="301" t="e">
        <f>ROUND(SUM(S59:S75),0)</f>
        <v>#REF!</v>
      </c>
      <c r="T76" s="288"/>
      <c r="U76" s="438"/>
      <c r="V76" s="301" t="e">
        <f>ROUND(SUM(V59:V75),0)</f>
        <v>#REF!</v>
      </c>
      <c r="W76" s="288"/>
      <c r="X76" s="301" t="e">
        <f>ROUND(SUM(X59:X75),0)</f>
        <v>#REF!</v>
      </c>
      <c r="Y76" s="288"/>
      <c r="Z76" s="301" t="e">
        <f>ROUND(SUM(Z59:Z75),0)</f>
        <v>#REF!</v>
      </c>
      <c r="AA76" s="288"/>
      <c r="AB76" s="301" t="e">
        <f>ROUND(SUM(AB59:AB75),0)</f>
        <v>#REF!</v>
      </c>
      <c r="AC76" s="288"/>
      <c r="AD76" s="301" t="e">
        <f>ROUND(SUM(AD59:AD75),0)</f>
        <v>#REF!</v>
      </c>
      <c r="AE76" s="288"/>
      <c r="AF76" s="301" t="e">
        <f>ROUND(SUM(AF59:AF75),0)</f>
        <v>#REF!</v>
      </c>
      <c r="AG76" s="288"/>
      <c r="AH76" s="301" t="e">
        <f>ROUND(SUM(AH59:AH75),0)</f>
        <v>#REF!</v>
      </c>
      <c r="AI76" s="288"/>
      <c r="AJ76" s="301" t="e">
        <f>ROUND(SUM(AJ59:AJ75),0)</f>
        <v>#REF!</v>
      </c>
      <c r="AK76" s="288"/>
      <c r="AL76" s="301" t="e">
        <f>ROUND(SUM(AL59:AL75),0)</f>
        <v>#REF!</v>
      </c>
      <c r="AM76" s="288"/>
      <c r="AN76" s="301" t="e">
        <f>ROUND(SUM(AN59:AN75),0)</f>
        <v>#REF!</v>
      </c>
      <c r="AO76" s="349"/>
    </row>
    <row r="77" spans="2:42" s="345" customFormat="1" ht="30" customHeight="1" thickBot="1">
      <c r="B77" s="346"/>
      <c r="C77" s="281" t="s">
        <v>162</v>
      </c>
      <c r="D77" s="282"/>
      <c r="E77" s="282"/>
      <c r="F77" s="282"/>
      <c r="G77" s="282"/>
      <c r="H77" s="282"/>
      <c r="I77" s="282"/>
      <c r="J77" s="282"/>
      <c r="K77" s="283"/>
      <c r="L77" s="282"/>
      <c r="M77" s="283"/>
      <c r="N77" s="282"/>
      <c r="O77" s="283"/>
      <c r="P77" s="282"/>
      <c r="Q77" s="283"/>
      <c r="R77" s="282"/>
      <c r="S77" s="283"/>
      <c r="T77" s="282"/>
      <c r="U77" s="282"/>
      <c r="V77" s="283"/>
      <c r="W77" s="282"/>
      <c r="X77" s="283"/>
      <c r="Y77" s="282"/>
      <c r="Z77" s="283"/>
      <c r="AA77" s="282"/>
      <c r="AB77" s="283"/>
      <c r="AC77" s="282"/>
      <c r="AD77" s="283"/>
      <c r="AE77" s="282"/>
      <c r="AF77" s="283"/>
      <c r="AG77" s="282"/>
      <c r="AH77" s="283"/>
      <c r="AI77" s="282"/>
      <c r="AJ77" s="283"/>
      <c r="AK77" s="282"/>
      <c r="AL77" s="283"/>
      <c r="AM77" s="282"/>
      <c r="AN77" s="283"/>
      <c r="AO77" s="349"/>
    </row>
    <row r="78" spans="2:42" s="345" customFormat="1" ht="30" hidden="1" customHeight="1">
      <c r="B78" s="346"/>
      <c r="C78" s="302">
        <f>C75+1</f>
        <v>50</v>
      </c>
      <c r="D78" s="293" t="s">
        <v>91</v>
      </c>
      <c r="E78" s="293" t="s">
        <v>450</v>
      </c>
      <c r="F78" s="293"/>
      <c r="G78" s="318" t="s">
        <v>163</v>
      </c>
      <c r="H78" s="293" t="s">
        <v>111</v>
      </c>
      <c r="I78" s="289" t="e">
        <f>+#REF!</f>
        <v>#REF!</v>
      </c>
      <c r="J78" s="288"/>
      <c r="K78" s="290" t="e">
        <f t="shared" ref="K78:K82" si="78">I78*J78</f>
        <v>#REF!</v>
      </c>
      <c r="L78" s="288"/>
      <c r="M78" s="290" t="e">
        <f t="shared" ref="M78:M82" si="79">L78*I78</f>
        <v>#REF!</v>
      </c>
      <c r="N78" s="288"/>
      <c r="O78" s="290" t="e">
        <f t="shared" ref="O78:O82" si="80">N78*I78</f>
        <v>#REF!</v>
      </c>
      <c r="P78" s="288"/>
      <c r="Q78" s="290" t="e">
        <f t="shared" ref="Q78:Q82" si="81">I78*P78</f>
        <v>#REF!</v>
      </c>
      <c r="R78" s="288"/>
      <c r="S78" s="290" t="e">
        <f t="shared" ref="S78:S82" si="82">R78*I78</f>
        <v>#REF!</v>
      </c>
      <c r="T78" s="288">
        <f t="shared" ref="T78:T82" si="83">J78+L78+N78+P78+R78</f>
        <v>0</v>
      </c>
      <c r="U78" s="437"/>
      <c r="V78" s="290" t="e">
        <f t="shared" ref="V78:V82" si="84">I78*T78</f>
        <v>#REF!</v>
      </c>
      <c r="W78" s="288"/>
      <c r="X78" s="290" t="e">
        <f t="shared" ref="X78:X82" si="85">W78*I78</f>
        <v>#REF!</v>
      </c>
      <c r="Y78" s="288"/>
      <c r="Z78" s="290" t="e">
        <f t="shared" ref="Z78:Z82" si="86">Y78*I78</f>
        <v>#REF!</v>
      </c>
      <c r="AA78" s="288"/>
      <c r="AB78" s="290" t="e">
        <f t="shared" ref="AB78:AB82" si="87">AA78*I78</f>
        <v>#REF!</v>
      </c>
      <c r="AC78" s="288"/>
      <c r="AD78" s="290" t="e">
        <f t="shared" ref="AD78:AD82" si="88">I78*AC78</f>
        <v>#REF!</v>
      </c>
      <c r="AE78" s="288">
        <f t="shared" ref="AE78:AE82" si="89">Y78+AA78+AC78+W78</f>
        <v>0</v>
      </c>
      <c r="AF78" s="290" t="e">
        <f t="shared" ref="AF78:AF82" si="90">AE78*I78</f>
        <v>#REF!</v>
      </c>
      <c r="AG78" s="288">
        <f>T78+AE78</f>
        <v>0</v>
      </c>
      <c r="AH78" s="290" t="e">
        <f>V78+AF78</f>
        <v>#REF!</v>
      </c>
      <c r="AI78" s="288"/>
      <c r="AJ78" s="290" t="e">
        <f t="shared" ref="AJ78:AJ82" si="91">AI78*I78</f>
        <v>#REF!</v>
      </c>
      <c r="AK78" s="288"/>
      <c r="AL78" s="290" t="e">
        <f t="shared" ref="AL78:AL82" si="92">AK78*I78</f>
        <v>#REF!</v>
      </c>
      <c r="AM78" s="288">
        <f t="shared" ref="AM78:AM82" si="93">AG78-AI78-AK78</f>
        <v>0</v>
      </c>
      <c r="AN78" s="290" t="e">
        <f t="shared" ref="AN78:AN82" si="94">AM78*I78</f>
        <v>#REF!</v>
      </c>
      <c r="AO78" s="349"/>
    </row>
    <row r="79" spans="2:42" s="345" customFormat="1" ht="30" hidden="1" customHeight="1">
      <c r="B79" s="346"/>
      <c r="C79" s="309">
        <f>C78+1</f>
        <v>51</v>
      </c>
      <c r="D79" s="347" t="s">
        <v>504</v>
      </c>
      <c r="E79" s="347" t="s">
        <v>450</v>
      </c>
      <c r="F79" s="347"/>
      <c r="G79" s="344" t="s">
        <v>505</v>
      </c>
      <c r="H79" s="347" t="s">
        <v>111</v>
      </c>
      <c r="I79" s="388" t="e">
        <f>#REF!</f>
        <v>#REF!</v>
      </c>
      <c r="J79" s="288"/>
      <c r="K79" s="290" t="e">
        <f t="shared" si="78"/>
        <v>#REF!</v>
      </c>
      <c r="L79" s="288"/>
      <c r="M79" s="290" t="e">
        <f t="shared" si="79"/>
        <v>#REF!</v>
      </c>
      <c r="N79" s="288"/>
      <c r="O79" s="290" t="e">
        <f t="shared" si="80"/>
        <v>#REF!</v>
      </c>
      <c r="P79" s="288"/>
      <c r="Q79" s="290" t="e">
        <f t="shared" si="81"/>
        <v>#REF!</v>
      </c>
      <c r="R79" s="288"/>
      <c r="S79" s="290" t="e">
        <f t="shared" si="82"/>
        <v>#REF!</v>
      </c>
      <c r="T79" s="288">
        <f t="shared" si="83"/>
        <v>0</v>
      </c>
      <c r="U79" s="437"/>
      <c r="V79" s="290" t="e">
        <f t="shared" si="84"/>
        <v>#REF!</v>
      </c>
      <c r="W79" s="288"/>
      <c r="X79" s="290" t="e">
        <f t="shared" si="85"/>
        <v>#REF!</v>
      </c>
      <c r="Y79" s="288"/>
      <c r="Z79" s="290" t="e">
        <f t="shared" si="86"/>
        <v>#REF!</v>
      </c>
      <c r="AA79" s="288"/>
      <c r="AB79" s="290" t="e">
        <f t="shared" si="87"/>
        <v>#REF!</v>
      </c>
      <c r="AC79" s="288"/>
      <c r="AD79" s="290" t="e">
        <f t="shared" si="88"/>
        <v>#REF!</v>
      </c>
      <c r="AE79" s="288">
        <f t="shared" si="89"/>
        <v>0</v>
      </c>
      <c r="AF79" s="290" t="e">
        <f t="shared" si="90"/>
        <v>#REF!</v>
      </c>
      <c r="AG79" s="288">
        <f>T79+AE79</f>
        <v>0</v>
      </c>
      <c r="AH79" s="290" t="e">
        <f>V79+AF79</f>
        <v>#REF!</v>
      </c>
      <c r="AI79" s="288"/>
      <c r="AJ79" s="290" t="e">
        <f t="shared" si="91"/>
        <v>#REF!</v>
      </c>
      <c r="AK79" s="288"/>
      <c r="AL79" s="290" t="e">
        <f t="shared" si="92"/>
        <v>#REF!</v>
      </c>
      <c r="AM79" s="288">
        <f t="shared" si="93"/>
        <v>0</v>
      </c>
      <c r="AN79" s="290" t="e">
        <f t="shared" si="94"/>
        <v>#REF!</v>
      </c>
      <c r="AO79" s="349"/>
    </row>
    <row r="80" spans="2:42" s="345" customFormat="1" ht="30" hidden="1" customHeight="1">
      <c r="B80" s="346"/>
      <c r="C80" s="309">
        <f t="shared" ref="C80:C82" si="95">C79+1</f>
        <v>52</v>
      </c>
      <c r="D80" s="329" t="s">
        <v>334</v>
      </c>
      <c r="E80" s="329"/>
      <c r="F80" s="329" t="s">
        <v>334</v>
      </c>
      <c r="G80" s="328" t="s">
        <v>335</v>
      </c>
      <c r="H80" s="329" t="s">
        <v>111</v>
      </c>
      <c r="I80" s="289" t="e">
        <f>#REF!</f>
        <v>#REF!</v>
      </c>
      <c r="J80" s="288"/>
      <c r="K80" s="290" t="e">
        <f t="shared" si="78"/>
        <v>#REF!</v>
      </c>
      <c r="L80" s="288"/>
      <c r="M80" s="290" t="e">
        <f t="shared" si="79"/>
        <v>#REF!</v>
      </c>
      <c r="N80" s="288"/>
      <c r="O80" s="290" t="e">
        <f t="shared" si="80"/>
        <v>#REF!</v>
      </c>
      <c r="P80" s="288"/>
      <c r="Q80" s="290" t="e">
        <f t="shared" si="81"/>
        <v>#REF!</v>
      </c>
      <c r="R80" s="288"/>
      <c r="S80" s="290" t="e">
        <f t="shared" si="82"/>
        <v>#REF!</v>
      </c>
      <c r="T80" s="288">
        <f t="shared" si="83"/>
        <v>0</v>
      </c>
      <c r="U80" s="437"/>
      <c r="V80" s="290" t="e">
        <f t="shared" si="84"/>
        <v>#REF!</v>
      </c>
      <c r="W80" s="288"/>
      <c r="X80" s="290" t="e">
        <f t="shared" si="85"/>
        <v>#REF!</v>
      </c>
      <c r="Y80" s="288"/>
      <c r="Z80" s="290" t="e">
        <f t="shared" si="86"/>
        <v>#REF!</v>
      </c>
      <c r="AA80" s="288"/>
      <c r="AB80" s="290" t="e">
        <f t="shared" si="87"/>
        <v>#REF!</v>
      </c>
      <c r="AC80" s="288"/>
      <c r="AD80" s="290" t="e">
        <f t="shared" si="88"/>
        <v>#REF!</v>
      </c>
      <c r="AE80" s="288">
        <f t="shared" si="89"/>
        <v>0</v>
      </c>
      <c r="AF80" s="290" t="e">
        <f t="shared" si="90"/>
        <v>#REF!</v>
      </c>
      <c r="AG80" s="288">
        <f>T80+AE80</f>
        <v>0</v>
      </c>
      <c r="AH80" s="290" t="e">
        <f>V80+AF80</f>
        <v>#REF!</v>
      </c>
      <c r="AI80" s="288"/>
      <c r="AJ80" s="290" t="e">
        <f t="shared" si="91"/>
        <v>#REF!</v>
      </c>
      <c r="AK80" s="288"/>
      <c r="AL80" s="290" t="e">
        <f t="shared" si="92"/>
        <v>#REF!</v>
      </c>
      <c r="AM80" s="288">
        <f t="shared" si="93"/>
        <v>0</v>
      </c>
      <c r="AN80" s="290" t="e">
        <f t="shared" si="94"/>
        <v>#REF!</v>
      </c>
      <c r="AO80" s="349"/>
    </row>
    <row r="81" spans="2:41" s="345" customFormat="1" ht="30" hidden="1" customHeight="1">
      <c r="B81" s="346"/>
      <c r="C81" s="309">
        <f t="shared" si="95"/>
        <v>53</v>
      </c>
      <c r="D81" s="347" t="s">
        <v>573</v>
      </c>
      <c r="E81" s="347"/>
      <c r="F81" s="347" t="s">
        <v>573</v>
      </c>
      <c r="G81" s="328" t="s">
        <v>513</v>
      </c>
      <c r="H81" s="329" t="s">
        <v>111</v>
      </c>
      <c r="I81" s="289" t="e">
        <f>#REF!</f>
        <v>#REF!</v>
      </c>
      <c r="J81" s="288"/>
      <c r="K81" s="290" t="e">
        <f t="shared" si="78"/>
        <v>#REF!</v>
      </c>
      <c r="L81" s="288"/>
      <c r="M81" s="290" t="e">
        <f t="shared" si="79"/>
        <v>#REF!</v>
      </c>
      <c r="N81" s="288"/>
      <c r="O81" s="290" t="e">
        <f t="shared" si="80"/>
        <v>#REF!</v>
      </c>
      <c r="P81" s="288"/>
      <c r="Q81" s="290" t="e">
        <f t="shared" si="81"/>
        <v>#REF!</v>
      </c>
      <c r="R81" s="288"/>
      <c r="S81" s="290" t="e">
        <f t="shared" si="82"/>
        <v>#REF!</v>
      </c>
      <c r="T81" s="288">
        <f t="shared" si="83"/>
        <v>0</v>
      </c>
      <c r="U81" s="437"/>
      <c r="V81" s="290" t="e">
        <f t="shared" si="84"/>
        <v>#REF!</v>
      </c>
      <c r="W81" s="288"/>
      <c r="X81" s="290" t="e">
        <f t="shared" si="85"/>
        <v>#REF!</v>
      </c>
      <c r="Y81" s="288"/>
      <c r="Z81" s="290" t="e">
        <f t="shared" si="86"/>
        <v>#REF!</v>
      </c>
      <c r="AA81" s="288"/>
      <c r="AB81" s="290" t="e">
        <f t="shared" si="87"/>
        <v>#REF!</v>
      </c>
      <c r="AC81" s="288"/>
      <c r="AD81" s="290" t="e">
        <f t="shared" si="88"/>
        <v>#REF!</v>
      </c>
      <c r="AE81" s="288">
        <f t="shared" si="89"/>
        <v>0</v>
      </c>
      <c r="AF81" s="290" t="e">
        <f t="shared" si="90"/>
        <v>#REF!</v>
      </c>
      <c r="AG81" s="288">
        <f>T81+AE81</f>
        <v>0</v>
      </c>
      <c r="AH81" s="290" t="e">
        <f>V81+AF81</f>
        <v>#REF!</v>
      </c>
      <c r="AI81" s="288"/>
      <c r="AJ81" s="290" t="e">
        <f t="shared" si="91"/>
        <v>#REF!</v>
      </c>
      <c r="AK81" s="288"/>
      <c r="AL81" s="290" t="e">
        <f t="shared" si="92"/>
        <v>#REF!</v>
      </c>
      <c r="AM81" s="288">
        <f t="shared" si="93"/>
        <v>0</v>
      </c>
      <c r="AN81" s="290" t="e">
        <f t="shared" si="94"/>
        <v>#REF!</v>
      </c>
      <c r="AO81" s="349"/>
    </row>
    <row r="82" spans="2:41" s="345" customFormat="1" ht="30" customHeight="1">
      <c r="B82" s="346"/>
      <c r="C82" s="309">
        <f t="shared" si="95"/>
        <v>54</v>
      </c>
      <c r="D82" s="329" t="s">
        <v>409</v>
      </c>
      <c r="E82" s="455" t="s">
        <v>446</v>
      </c>
      <c r="F82" s="329"/>
      <c r="G82" s="343" t="s">
        <v>324</v>
      </c>
      <c r="H82" s="329" t="s">
        <v>79</v>
      </c>
      <c r="I82" s="289">
        <f>'351.12'!N77</f>
        <v>691</v>
      </c>
      <c r="J82" s="288">
        <f>'[112]CANTIDADES TOTALIZADAS'!$AF$87</f>
        <v>354060.40723200003</v>
      </c>
      <c r="K82" s="290">
        <f t="shared" si="78"/>
        <v>244655741.39731202</v>
      </c>
      <c r="L82" s="288">
        <f>'[112]CANTIDADES TOTALIZADAS'!$AQ$87</f>
        <v>75075.225792000012</v>
      </c>
      <c r="M82" s="290">
        <f t="shared" si="79"/>
        <v>51876981.022272006</v>
      </c>
      <c r="N82" s="288">
        <f>'[112]CANTIDADES TOTALIZADAS'!$AU$87</f>
        <v>887683.82736768015</v>
      </c>
      <c r="O82" s="290">
        <f t="shared" si="80"/>
        <v>613389524.71106696</v>
      </c>
      <c r="P82" s="288">
        <f>'[112]CANTIDADES TOTALIZADAS'!$BA$87</f>
        <v>21472.454976000001</v>
      </c>
      <c r="Q82" s="290">
        <f t="shared" si="81"/>
        <v>14837466.388416</v>
      </c>
      <c r="R82" s="288">
        <f>'[112]CANTIDADES TOTALIZADAS'!$BI$87</f>
        <v>131651.68464000002</v>
      </c>
      <c r="S82" s="290">
        <f t="shared" si="82"/>
        <v>90971314.086240008</v>
      </c>
      <c r="T82" s="288">
        <f t="shared" si="83"/>
        <v>1469943.6000076802</v>
      </c>
      <c r="U82" s="437">
        <f>'[112]CANTIDADES TOTALIZADAS'!$BJ$87</f>
        <v>1469943.6000076802</v>
      </c>
      <c r="V82" s="290">
        <f t="shared" si="84"/>
        <v>1015731027.6053071</v>
      </c>
      <c r="W82" s="288"/>
      <c r="X82" s="290">
        <f t="shared" si="85"/>
        <v>0</v>
      </c>
      <c r="Y82" s="288" t="e">
        <f>((Y53*90)+(Y49*70))*1.2</f>
        <v>#REF!</v>
      </c>
      <c r="Z82" s="290" t="e">
        <f t="shared" si="86"/>
        <v>#REF!</v>
      </c>
      <c r="AA82" s="288" t="e">
        <f>((AA53*90)+(AA49*70))*1.2</f>
        <v>#REF!</v>
      </c>
      <c r="AB82" s="290" t="e">
        <f t="shared" si="87"/>
        <v>#REF!</v>
      </c>
      <c r="AC82" s="288" t="e">
        <f>((AC53*90)+(AC49*70))*1.2</f>
        <v>#REF!</v>
      </c>
      <c r="AD82" s="290" t="e">
        <f t="shared" si="88"/>
        <v>#REF!</v>
      </c>
      <c r="AE82" s="288" t="e">
        <f t="shared" si="89"/>
        <v>#REF!</v>
      </c>
      <c r="AF82" s="290" t="e">
        <f t="shared" si="90"/>
        <v>#REF!</v>
      </c>
      <c r="AG82" s="288" t="e">
        <f>T82+AE82</f>
        <v>#REF!</v>
      </c>
      <c r="AH82" s="290" t="e">
        <f>V82+AF82</f>
        <v>#REF!</v>
      </c>
      <c r="AI82" s="288">
        <f>'CANTIDADES TOTALIZADAS'!AD87</f>
        <v>213000.48403200001</v>
      </c>
      <c r="AJ82" s="290">
        <f t="shared" si="91"/>
        <v>147183334.46611202</v>
      </c>
      <c r="AK82" s="288"/>
      <c r="AL82" s="290">
        <f t="shared" si="92"/>
        <v>0</v>
      </c>
      <c r="AM82" s="288" t="e">
        <f t="shared" si="93"/>
        <v>#REF!</v>
      </c>
      <c r="AN82" s="290" t="e">
        <f t="shared" si="94"/>
        <v>#REF!</v>
      </c>
      <c r="AO82" s="349"/>
    </row>
    <row r="83" spans="2:41" s="345" customFormat="1" ht="30" customHeight="1" thickBot="1">
      <c r="B83" s="346"/>
      <c r="C83" s="295" t="s">
        <v>170</v>
      </c>
      <c r="D83" s="319"/>
      <c r="E83" s="320"/>
      <c r="F83" s="319"/>
      <c r="G83" s="319"/>
      <c r="H83" s="319"/>
      <c r="I83" s="319"/>
      <c r="J83" s="288"/>
      <c r="K83" s="301" t="e">
        <f>ROUND(SUM(K78:K82),0)</f>
        <v>#REF!</v>
      </c>
      <c r="L83" s="288"/>
      <c r="M83" s="301" t="e">
        <f>ROUND(SUM(M78:M82),0)</f>
        <v>#REF!</v>
      </c>
      <c r="N83" s="288"/>
      <c r="O83" s="301" t="e">
        <f>ROUND(SUM(O78:O82),0)</f>
        <v>#REF!</v>
      </c>
      <c r="P83" s="288"/>
      <c r="Q83" s="301" t="e">
        <f>ROUND(SUM(Q78:Q82),0)</f>
        <v>#REF!</v>
      </c>
      <c r="R83" s="288"/>
      <c r="S83" s="301" t="e">
        <f>ROUND(SUM(S78:S82),0)</f>
        <v>#REF!</v>
      </c>
      <c r="T83" s="288"/>
      <c r="U83" s="438"/>
      <c r="V83" s="301" t="e">
        <f>ROUND(SUM(V78:V82),0)</f>
        <v>#REF!</v>
      </c>
      <c r="W83" s="288"/>
      <c r="X83" s="301" t="e">
        <f>ROUND(SUM(X78:X82),0)</f>
        <v>#REF!</v>
      </c>
      <c r="Y83" s="288"/>
      <c r="Z83" s="301" t="e">
        <f>ROUND(SUM(Z78:Z82),0)</f>
        <v>#REF!</v>
      </c>
      <c r="AA83" s="288"/>
      <c r="AB83" s="301" t="e">
        <f>ROUND(SUM(AB78:AB82),0)</f>
        <v>#REF!</v>
      </c>
      <c r="AC83" s="288"/>
      <c r="AD83" s="301" t="e">
        <f>ROUND(SUM(AD78:AD82),0)</f>
        <v>#REF!</v>
      </c>
      <c r="AE83" s="288"/>
      <c r="AF83" s="301" t="e">
        <f>ROUND(SUM(AF78:AF82),0)</f>
        <v>#REF!</v>
      </c>
      <c r="AG83" s="288"/>
      <c r="AH83" s="301" t="e">
        <f>ROUND(SUM(AH78:AH82),0)</f>
        <v>#REF!</v>
      </c>
      <c r="AI83" s="288"/>
      <c r="AJ83" s="301" t="e">
        <f>ROUND(SUM(AJ78:AJ82),0)</f>
        <v>#REF!</v>
      </c>
      <c r="AK83" s="288"/>
      <c r="AL83" s="301" t="e">
        <f>ROUND(SUM(AL78:AL82),0)</f>
        <v>#REF!</v>
      </c>
      <c r="AM83" s="288"/>
      <c r="AN83" s="301" t="e">
        <f>ROUND(SUM(AN78:AN82),0)</f>
        <v>#REF!</v>
      </c>
      <c r="AO83" s="349"/>
    </row>
    <row r="84" spans="2:41" s="345" customFormat="1" ht="30" customHeight="1" thickBot="1">
      <c r="B84" s="346"/>
      <c r="C84" s="281" t="s">
        <v>164</v>
      </c>
      <c r="D84" s="282"/>
      <c r="E84" s="282"/>
      <c r="F84" s="282"/>
      <c r="G84" s="282"/>
      <c r="H84" s="282"/>
      <c r="I84" s="282"/>
      <c r="J84" s="282"/>
      <c r="K84" s="283"/>
      <c r="L84" s="282"/>
      <c r="M84" s="283"/>
      <c r="N84" s="282"/>
      <c r="O84" s="283"/>
      <c r="P84" s="282"/>
      <c r="Q84" s="283"/>
      <c r="R84" s="282"/>
      <c r="S84" s="283"/>
      <c r="T84" s="282"/>
      <c r="U84" s="282"/>
      <c r="V84" s="283"/>
      <c r="W84" s="282"/>
      <c r="X84" s="283"/>
      <c r="Y84" s="282"/>
      <c r="Z84" s="283"/>
      <c r="AA84" s="282"/>
      <c r="AB84" s="283"/>
      <c r="AC84" s="282"/>
      <c r="AD84" s="283"/>
      <c r="AE84" s="282"/>
      <c r="AF84" s="283"/>
      <c r="AG84" s="282"/>
      <c r="AH84" s="283"/>
      <c r="AI84" s="282"/>
      <c r="AJ84" s="283"/>
      <c r="AK84" s="282"/>
      <c r="AL84" s="283"/>
      <c r="AM84" s="282"/>
      <c r="AN84" s="283"/>
      <c r="AO84" s="349"/>
    </row>
    <row r="85" spans="2:41" s="345" customFormat="1" ht="30" customHeight="1">
      <c r="B85" s="346"/>
      <c r="C85" s="302">
        <f>C82+1</f>
        <v>55</v>
      </c>
      <c r="D85" s="285" t="s">
        <v>415</v>
      </c>
      <c r="E85" s="456" t="s">
        <v>451</v>
      </c>
      <c r="F85" s="285"/>
      <c r="G85" s="287" t="s">
        <v>130</v>
      </c>
      <c r="H85" s="285" t="s">
        <v>111</v>
      </c>
      <c r="I85" s="289">
        <f>+'600.1.1'!N79</f>
        <v>14489</v>
      </c>
      <c r="J85" s="288">
        <f>+'[113]CANTIDADES TOTALIZADAS'!$AF$62+'[113]CANTIDADES TOTALIZADAS'!$AF$69</f>
        <v>2156.2679000000003</v>
      </c>
      <c r="K85" s="290">
        <f t="shared" ref="K85:K148" si="96">I85*J85</f>
        <v>31242165.603100006</v>
      </c>
      <c r="L85" s="288">
        <f>'[112]CANTIDADES TOTALIZADAS'!$AQ$69+'[112]CANTIDADES TOTALIZADAS'!$AQ$62</f>
        <v>4519.1621800000021</v>
      </c>
      <c r="M85" s="290">
        <f t="shared" ref="M85:M148" si="97">L85*I85</f>
        <v>65478140.826020032</v>
      </c>
      <c r="N85" s="288">
        <f>'[112]CANTIDADES TOTALIZADAS'!$AU$62+'[112]CANTIDADES TOTALIZADAS'!$AU$69</f>
        <v>331.03021399999994</v>
      </c>
      <c r="O85" s="290">
        <f t="shared" ref="O85:O148" si="98">N85*I85</f>
        <v>4796296.7706459993</v>
      </c>
      <c r="P85" s="288">
        <f>'[112]CANTIDADES TOTALIZADAS'!$BA$62+'[112]CANTIDADES TOTALIZADAS'!$BA$69</f>
        <v>8.9817999999999998</v>
      </c>
      <c r="Q85" s="290">
        <f t="shared" ref="Q85:Q148" si="99">I85*P85</f>
        <v>130137.3002</v>
      </c>
      <c r="R85" s="288">
        <f>'[112]CANTIDADES TOTALIZADAS'!$BI$62+'[112]CANTIDADES TOTALIZADAS'!$BI$69</f>
        <v>1975.96288</v>
      </c>
      <c r="S85" s="290">
        <f t="shared" ref="S85:S148" si="100">R85*I85</f>
        <v>28629726.16832</v>
      </c>
      <c r="T85" s="288">
        <f t="shared" ref="T85:T148" si="101">J85+L85+N85+P85+R85</f>
        <v>8991.4049740000009</v>
      </c>
      <c r="U85" s="437">
        <f>'[112]CANTIDADES TOTALIZADAS'!$BJ$62+'[112]CANTIDADES TOTALIZADAS'!$BJ$69</f>
        <v>8991.4049740000009</v>
      </c>
      <c r="V85" s="290">
        <f t="shared" ref="V85:V148" si="102">I85*T85</f>
        <v>130276466.66828601</v>
      </c>
      <c r="W85" s="288"/>
      <c r="X85" s="290">
        <f t="shared" ref="X85:X148" si="103">W85*I85</f>
        <v>0</v>
      </c>
      <c r="Y85" s="288" t="e">
        <f>#REF!+(10*(1.5*0.4*15))</f>
        <v>#REF!</v>
      </c>
      <c r="Z85" s="290" t="e">
        <f t="shared" ref="Z85:Z148" si="104">Y85*I85</f>
        <v>#REF!</v>
      </c>
      <c r="AA85" s="288">
        <v>2000</v>
      </c>
      <c r="AB85" s="290">
        <f t="shared" ref="AB85:AB148" si="105">AA85*I85</f>
        <v>28978000</v>
      </c>
      <c r="AC85" s="288" t="e">
        <f>#REF!+#REF!+(1.5*1*12)</f>
        <v>#REF!</v>
      </c>
      <c r="AD85" s="290" t="e">
        <f t="shared" ref="AD85:AD148" si="106">I85*AC85</f>
        <v>#REF!</v>
      </c>
      <c r="AE85" s="288" t="e">
        <f t="shared" ref="AE85:AE148" si="107">Y85+AA85+AC85+W85</f>
        <v>#REF!</v>
      </c>
      <c r="AF85" s="290" t="e">
        <f t="shared" ref="AF85:AF148" si="108">AE85*I85</f>
        <v>#REF!</v>
      </c>
      <c r="AG85" s="288" t="e">
        <f t="shared" ref="AG85:AG116" si="109">T85+AE85</f>
        <v>#REF!</v>
      </c>
      <c r="AH85" s="290" t="e">
        <f t="shared" ref="AH85:AH116" si="110">V85+AF85</f>
        <v>#REF!</v>
      </c>
      <c r="AI85" s="288">
        <f>'CANTIDADES TOTALIZADAS'!AD69+'CANTIDADES TOTALIZADAS'!AD62</f>
        <v>1389.0179000000003</v>
      </c>
      <c r="AJ85" s="290">
        <f t="shared" ref="AJ85:AJ148" si="111">AI85*I85</f>
        <v>20125480.353100006</v>
      </c>
      <c r="AK85" s="288">
        <f>'CANTIDADES TOTALIZADAS'!AT62+'CANTIDADES TOTALIZADAS'!AT69</f>
        <v>30.681999999999999</v>
      </c>
      <c r="AL85" s="290">
        <f t="shared" ref="AL85:AL148" si="112">AK85*I85</f>
        <v>444551.49799999996</v>
      </c>
      <c r="AM85" s="288" t="e">
        <f t="shared" ref="AM85:AM148" si="113">AG85-AI85-AK85</f>
        <v>#REF!</v>
      </c>
      <c r="AN85" s="290" t="e">
        <f t="shared" ref="AN85:AN148" si="114">AM85*I85</f>
        <v>#REF!</v>
      </c>
      <c r="AO85" s="349"/>
    </row>
    <row r="86" spans="2:41" s="345" customFormat="1" ht="30" hidden="1" customHeight="1">
      <c r="B86" s="346"/>
      <c r="C86" s="309">
        <f>C85+1</f>
        <v>56</v>
      </c>
      <c r="D86" s="285" t="s">
        <v>416</v>
      </c>
      <c r="E86" s="285" t="s">
        <v>451</v>
      </c>
      <c r="F86" s="285"/>
      <c r="G86" s="287" t="s">
        <v>153</v>
      </c>
      <c r="H86" s="285" t="s">
        <v>111</v>
      </c>
      <c r="I86" s="289">
        <f>+'600.2.1'!N83</f>
        <v>53717</v>
      </c>
      <c r="J86" s="288"/>
      <c r="K86" s="290">
        <f t="shared" si="96"/>
        <v>0</v>
      </c>
      <c r="L86" s="288"/>
      <c r="M86" s="290">
        <f t="shared" si="97"/>
        <v>0</v>
      </c>
      <c r="N86" s="288"/>
      <c r="O86" s="290">
        <f t="shared" si="98"/>
        <v>0</v>
      </c>
      <c r="P86" s="288"/>
      <c r="Q86" s="290">
        <f t="shared" si="99"/>
        <v>0</v>
      </c>
      <c r="R86" s="288"/>
      <c r="S86" s="290">
        <f t="shared" si="100"/>
        <v>0</v>
      </c>
      <c r="T86" s="288">
        <f t="shared" si="101"/>
        <v>0</v>
      </c>
      <c r="U86" s="437"/>
      <c r="V86" s="290">
        <f t="shared" si="102"/>
        <v>0</v>
      </c>
      <c r="W86" s="288"/>
      <c r="X86" s="290">
        <f t="shared" si="103"/>
        <v>0</v>
      </c>
      <c r="Y86" s="288"/>
      <c r="Z86" s="290">
        <f t="shared" si="104"/>
        <v>0</v>
      </c>
      <c r="AA86" s="288"/>
      <c r="AB86" s="290">
        <f t="shared" si="105"/>
        <v>0</v>
      </c>
      <c r="AC86" s="288"/>
      <c r="AD86" s="290">
        <f t="shared" si="106"/>
        <v>0</v>
      </c>
      <c r="AE86" s="288">
        <f t="shared" si="107"/>
        <v>0</v>
      </c>
      <c r="AF86" s="290">
        <f t="shared" si="108"/>
        <v>0</v>
      </c>
      <c r="AG86" s="288">
        <f t="shared" si="109"/>
        <v>0</v>
      </c>
      <c r="AH86" s="290">
        <f t="shared" si="110"/>
        <v>0</v>
      </c>
      <c r="AI86" s="288"/>
      <c r="AJ86" s="290">
        <f t="shared" si="111"/>
        <v>0</v>
      </c>
      <c r="AK86" s="288"/>
      <c r="AL86" s="290">
        <f t="shared" si="112"/>
        <v>0</v>
      </c>
      <c r="AM86" s="288">
        <f t="shared" si="113"/>
        <v>0</v>
      </c>
      <c r="AN86" s="290">
        <f t="shared" si="114"/>
        <v>0</v>
      </c>
      <c r="AO86" s="349"/>
    </row>
    <row r="87" spans="2:41" s="345" customFormat="1" ht="30" hidden="1" customHeight="1">
      <c r="B87" s="346"/>
      <c r="C87" s="309">
        <f t="shared" ref="C87:C150" si="115">C86+1</f>
        <v>57</v>
      </c>
      <c r="D87" s="329" t="s">
        <v>419</v>
      </c>
      <c r="E87" s="285"/>
      <c r="F87" s="329" t="s">
        <v>419</v>
      </c>
      <c r="G87" s="343" t="s">
        <v>337</v>
      </c>
      <c r="H87" s="386" t="s">
        <v>111</v>
      </c>
      <c r="I87" s="289" t="e">
        <f>#REF!</f>
        <v>#REF!</v>
      </c>
      <c r="J87" s="288"/>
      <c r="K87" s="290" t="e">
        <f t="shared" si="96"/>
        <v>#REF!</v>
      </c>
      <c r="L87" s="288"/>
      <c r="M87" s="290" t="e">
        <f t="shared" si="97"/>
        <v>#REF!</v>
      </c>
      <c r="N87" s="288"/>
      <c r="O87" s="290" t="e">
        <f t="shared" si="98"/>
        <v>#REF!</v>
      </c>
      <c r="P87" s="288"/>
      <c r="Q87" s="290" t="e">
        <f t="shared" si="99"/>
        <v>#REF!</v>
      </c>
      <c r="R87" s="288"/>
      <c r="S87" s="290" t="e">
        <f t="shared" si="100"/>
        <v>#REF!</v>
      </c>
      <c r="T87" s="288">
        <f t="shared" si="101"/>
        <v>0</v>
      </c>
      <c r="U87" s="437"/>
      <c r="V87" s="290" t="e">
        <f t="shared" si="102"/>
        <v>#REF!</v>
      </c>
      <c r="W87" s="288"/>
      <c r="X87" s="290" t="e">
        <f t="shared" si="103"/>
        <v>#REF!</v>
      </c>
      <c r="Y87" s="288"/>
      <c r="Z87" s="290" t="e">
        <f t="shared" si="104"/>
        <v>#REF!</v>
      </c>
      <c r="AA87" s="288"/>
      <c r="AB87" s="290" t="e">
        <f t="shared" si="105"/>
        <v>#REF!</v>
      </c>
      <c r="AC87" s="288"/>
      <c r="AD87" s="290" t="e">
        <f t="shared" si="106"/>
        <v>#REF!</v>
      </c>
      <c r="AE87" s="288">
        <f t="shared" si="107"/>
        <v>0</v>
      </c>
      <c r="AF87" s="290" t="e">
        <f t="shared" si="108"/>
        <v>#REF!</v>
      </c>
      <c r="AG87" s="288">
        <f t="shared" si="109"/>
        <v>0</v>
      </c>
      <c r="AH87" s="290" t="e">
        <f t="shared" si="110"/>
        <v>#REF!</v>
      </c>
      <c r="AI87" s="288"/>
      <c r="AJ87" s="290" t="e">
        <f t="shared" si="111"/>
        <v>#REF!</v>
      </c>
      <c r="AK87" s="288"/>
      <c r="AL87" s="290" t="e">
        <f t="shared" si="112"/>
        <v>#REF!</v>
      </c>
      <c r="AM87" s="288">
        <f t="shared" si="113"/>
        <v>0</v>
      </c>
      <c r="AN87" s="290" t="e">
        <f t="shared" si="114"/>
        <v>#REF!</v>
      </c>
      <c r="AO87" s="349"/>
    </row>
    <row r="88" spans="2:41" s="345" customFormat="1" ht="30" hidden="1" customHeight="1">
      <c r="B88" s="346"/>
      <c r="C88" s="309">
        <f t="shared" si="115"/>
        <v>58</v>
      </c>
      <c r="D88" s="329" t="s">
        <v>420</v>
      </c>
      <c r="E88" s="285"/>
      <c r="F88" s="329" t="s">
        <v>420</v>
      </c>
      <c r="G88" s="343" t="s">
        <v>336</v>
      </c>
      <c r="H88" s="386" t="s">
        <v>111</v>
      </c>
      <c r="I88" s="289" t="e">
        <f>#REF!</f>
        <v>#REF!</v>
      </c>
      <c r="J88" s="288"/>
      <c r="K88" s="290" t="e">
        <f t="shared" si="96"/>
        <v>#REF!</v>
      </c>
      <c r="L88" s="288"/>
      <c r="M88" s="290" t="e">
        <f t="shared" si="97"/>
        <v>#REF!</v>
      </c>
      <c r="N88" s="288"/>
      <c r="O88" s="290" t="e">
        <f t="shared" si="98"/>
        <v>#REF!</v>
      </c>
      <c r="P88" s="288"/>
      <c r="Q88" s="290" t="e">
        <f t="shared" si="99"/>
        <v>#REF!</v>
      </c>
      <c r="R88" s="288"/>
      <c r="S88" s="290" t="e">
        <f t="shared" si="100"/>
        <v>#REF!</v>
      </c>
      <c r="T88" s="288">
        <f t="shared" si="101"/>
        <v>0</v>
      </c>
      <c r="U88" s="437"/>
      <c r="V88" s="290" t="e">
        <f t="shared" si="102"/>
        <v>#REF!</v>
      </c>
      <c r="W88" s="288"/>
      <c r="X88" s="290" t="e">
        <f t="shared" si="103"/>
        <v>#REF!</v>
      </c>
      <c r="Y88" s="288"/>
      <c r="Z88" s="290" t="e">
        <f t="shared" si="104"/>
        <v>#REF!</v>
      </c>
      <c r="AA88" s="288"/>
      <c r="AB88" s="290" t="e">
        <f t="shared" si="105"/>
        <v>#REF!</v>
      </c>
      <c r="AC88" s="288"/>
      <c r="AD88" s="290" t="e">
        <f t="shared" si="106"/>
        <v>#REF!</v>
      </c>
      <c r="AE88" s="288">
        <f t="shared" si="107"/>
        <v>0</v>
      </c>
      <c r="AF88" s="290" t="e">
        <f t="shared" si="108"/>
        <v>#REF!</v>
      </c>
      <c r="AG88" s="288">
        <f t="shared" si="109"/>
        <v>0</v>
      </c>
      <c r="AH88" s="290" t="e">
        <f t="shared" si="110"/>
        <v>#REF!</v>
      </c>
      <c r="AI88" s="288"/>
      <c r="AJ88" s="290" t="e">
        <f t="shared" si="111"/>
        <v>#REF!</v>
      </c>
      <c r="AK88" s="288"/>
      <c r="AL88" s="290" t="e">
        <f t="shared" si="112"/>
        <v>#REF!</v>
      </c>
      <c r="AM88" s="288">
        <f t="shared" si="113"/>
        <v>0</v>
      </c>
      <c r="AN88" s="290" t="e">
        <f t="shared" si="114"/>
        <v>#REF!</v>
      </c>
      <c r="AO88" s="349"/>
    </row>
    <row r="89" spans="2:41" s="345" customFormat="1" ht="30" hidden="1" customHeight="1">
      <c r="B89" s="346"/>
      <c r="C89" s="309">
        <f t="shared" si="115"/>
        <v>59</v>
      </c>
      <c r="D89" s="285" t="s">
        <v>417</v>
      </c>
      <c r="E89" s="285" t="s">
        <v>451</v>
      </c>
      <c r="F89" s="285"/>
      <c r="G89" s="287" t="s">
        <v>165</v>
      </c>
      <c r="H89" s="285" t="s">
        <v>111</v>
      </c>
      <c r="I89" s="289">
        <f>+'600.2.3'!N82</f>
        <v>13139</v>
      </c>
      <c r="J89" s="288"/>
      <c r="K89" s="290">
        <f t="shared" si="96"/>
        <v>0</v>
      </c>
      <c r="L89" s="288"/>
      <c r="M89" s="290">
        <f t="shared" si="97"/>
        <v>0</v>
      </c>
      <c r="N89" s="288"/>
      <c r="O89" s="290">
        <f t="shared" si="98"/>
        <v>0</v>
      </c>
      <c r="P89" s="288"/>
      <c r="Q89" s="290">
        <f t="shared" si="99"/>
        <v>0</v>
      </c>
      <c r="R89" s="288"/>
      <c r="S89" s="290">
        <f t="shared" si="100"/>
        <v>0</v>
      </c>
      <c r="T89" s="288">
        <f t="shared" si="101"/>
        <v>0</v>
      </c>
      <c r="U89" s="437"/>
      <c r="V89" s="290">
        <f t="shared" si="102"/>
        <v>0</v>
      </c>
      <c r="W89" s="288"/>
      <c r="X89" s="290">
        <f t="shared" si="103"/>
        <v>0</v>
      </c>
      <c r="Y89" s="288"/>
      <c r="Z89" s="290">
        <f t="shared" si="104"/>
        <v>0</v>
      </c>
      <c r="AA89" s="288"/>
      <c r="AB89" s="290">
        <f t="shared" si="105"/>
        <v>0</v>
      </c>
      <c r="AC89" s="288"/>
      <c r="AD89" s="290">
        <f t="shared" si="106"/>
        <v>0</v>
      </c>
      <c r="AE89" s="288">
        <f t="shared" si="107"/>
        <v>0</v>
      </c>
      <c r="AF89" s="290">
        <f t="shared" si="108"/>
        <v>0</v>
      </c>
      <c r="AG89" s="288">
        <f t="shared" si="109"/>
        <v>0</v>
      </c>
      <c r="AH89" s="290">
        <f t="shared" si="110"/>
        <v>0</v>
      </c>
      <c r="AI89" s="288"/>
      <c r="AJ89" s="290">
        <f t="shared" si="111"/>
        <v>0</v>
      </c>
      <c r="AK89" s="288"/>
      <c r="AL89" s="290">
        <f t="shared" si="112"/>
        <v>0</v>
      </c>
      <c r="AM89" s="288">
        <f t="shared" si="113"/>
        <v>0</v>
      </c>
      <c r="AN89" s="290">
        <f t="shared" si="114"/>
        <v>0</v>
      </c>
      <c r="AO89" s="349"/>
    </row>
    <row r="90" spans="2:41" s="345" customFormat="1" ht="30" hidden="1" customHeight="1">
      <c r="B90" s="346"/>
      <c r="C90" s="309">
        <f t="shared" si="115"/>
        <v>60</v>
      </c>
      <c r="D90" s="285" t="s">
        <v>418</v>
      </c>
      <c r="E90" s="285" t="s">
        <v>451</v>
      </c>
      <c r="F90" s="285"/>
      <c r="G90" s="287" t="s">
        <v>154</v>
      </c>
      <c r="H90" s="285" t="s">
        <v>111</v>
      </c>
      <c r="I90" s="289" t="e">
        <f>+#REF!</f>
        <v>#REF!</v>
      </c>
      <c r="J90" s="288"/>
      <c r="K90" s="290" t="e">
        <f t="shared" si="96"/>
        <v>#REF!</v>
      </c>
      <c r="L90" s="288"/>
      <c r="M90" s="290" t="e">
        <f t="shared" si="97"/>
        <v>#REF!</v>
      </c>
      <c r="N90" s="288"/>
      <c r="O90" s="290" t="e">
        <f t="shared" si="98"/>
        <v>#REF!</v>
      </c>
      <c r="P90" s="288"/>
      <c r="Q90" s="290" t="e">
        <f t="shared" si="99"/>
        <v>#REF!</v>
      </c>
      <c r="R90" s="288"/>
      <c r="S90" s="290" t="e">
        <f t="shared" si="100"/>
        <v>#REF!</v>
      </c>
      <c r="T90" s="288">
        <f t="shared" si="101"/>
        <v>0</v>
      </c>
      <c r="U90" s="437"/>
      <c r="V90" s="290" t="e">
        <f t="shared" si="102"/>
        <v>#REF!</v>
      </c>
      <c r="W90" s="288"/>
      <c r="X90" s="290" t="e">
        <f t="shared" si="103"/>
        <v>#REF!</v>
      </c>
      <c r="Y90" s="288"/>
      <c r="Z90" s="290" t="e">
        <f t="shared" si="104"/>
        <v>#REF!</v>
      </c>
      <c r="AA90" s="288"/>
      <c r="AB90" s="290" t="e">
        <f t="shared" si="105"/>
        <v>#REF!</v>
      </c>
      <c r="AC90" s="288"/>
      <c r="AD90" s="290" t="e">
        <f t="shared" si="106"/>
        <v>#REF!</v>
      </c>
      <c r="AE90" s="288">
        <f t="shared" si="107"/>
        <v>0</v>
      </c>
      <c r="AF90" s="290" t="e">
        <f t="shared" si="108"/>
        <v>#REF!</v>
      </c>
      <c r="AG90" s="288">
        <f t="shared" si="109"/>
        <v>0</v>
      </c>
      <c r="AH90" s="290" t="e">
        <f t="shared" si="110"/>
        <v>#REF!</v>
      </c>
      <c r="AI90" s="288"/>
      <c r="AJ90" s="290" t="e">
        <f t="shared" si="111"/>
        <v>#REF!</v>
      </c>
      <c r="AK90" s="288"/>
      <c r="AL90" s="290" t="e">
        <f t="shared" si="112"/>
        <v>#REF!</v>
      </c>
      <c r="AM90" s="288">
        <f t="shared" si="113"/>
        <v>0</v>
      </c>
      <c r="AN90" s="290" t="e">
        <f t="shared" si="114"/>
        <v>#REF!</v>
      </c>
      <c r="AO90" s="349"/>
    </row>
    <row r="91" spans="2:41" s="345" customFormat="1" ht="30" hidden="1" customHeight="1">
      <c r="B91" s="346"/>
      <c r="C91" s="309">
        <f t="shared" si="115"/>
        <v>61</v>
      </c>
      <c r="D91" s="329" t="s">
        <v>396</v>
      </c>
      <c r="E91" s="329"/>
      <c r="F91" s="329" t="s">
        <v>396</v>
      </c>
      <c r="G91" s="343" t="s">
        <v>338</v>
      </c>
      <c r="H91" s="386" t="s">
        <v>111</v>
      </c>
      <c r="I91" s="289" t="e">
        <f>#REF!</f>
        <v>#REF!</v>
      </c>
      <c r="J91" s="288"/>
      <c r="K91" s="290" t="e">
        <f t="shared" si="96"/>
        <v>#REF!</v>
      </c>
      <c r="L91" s="288"/>
      <c r="M91" s="290" t="e">
        <f t="shared" si="97"/>
        <v>#REF!</v>
      </c>
      <c r="N91" s="288"/>
      <c r="O91" s="290" t="e">
        <f t="shared" si="98"/>
        <v>#REF!</v>
      </c>
      <c r="P91" s="288"/>
      <c r="Q91" s="290" t="e">
        <f t="shared" si="99"/>
        <v>#REF!</v>
      </c>
      <c r="R91" s="288"/>
      <c r="S91" s="290" t="e">
        <f t="shared" si="100"/>
        <v>#REF!</v>
      </c>
      <c r="T91" s="288">
        <f t="shared" si="101"/>
        <v>0</v>
      </c>
      <c r="U91" s="437"/>
      <c r="V91" s="290" t="e">
        <f t="shared" si="102"/>
        <v>#REF!</v>
      </c>
      <c r="W91" s="288"/>
      <c r="X91" s="290" t="e">
        <f t="shared" si="103"/>
        <v>#REF!</v>
      </c>
      <c r="Y91" s="288"/>
      <c r="Z91" s="290" t="e">
        <f t="shared" si="104"/>
        <v>#REF!</v>
      </c>
      <c r="AA91" s="288"/>
      <c r="AB91" s="290" t="e">
        <f t="shared" si="105"/>
        <v>#REF!</v>
      </c>
      <c r="AC91" s="288"/>
      <c r="AD91" s="290" t="e">
        <f t="shared" si="106"/>
        <v>#REF!</v>
      </c>
      <c r="AE91" s="288">
        <f t="shared" si="107"/>
        <v>0</v>
      </c>
      <c r="AF91" s="290" t="e">
        <f t="shared" si="108"/>
        <v>#REF!</v>
      </c>
      <c r="AG91" s="288">
        <f t="shared" si="109"/>
        <v>0</v>
      </c>
      <c r="AH91" s="290" t="e">
        <f t="shared" si="110"/>
        <v>#REF!</v>
      </c>
      <c r="AI91" s="288"/>
      <c r="AJ91" s="290" t="e">
        <f t="shared" si="111"/>
        <v>#REF!</v>
      </c>
      <c r="AK91" s="288"/>
      <c r="AL91" s="290" t="e">
        <f t="shared" si="112"/>
        <v>#REF!</v>
      </c>
      <c r="AM91" s="288">
        <f t="shared" si="113"/>
        <v>0</v>
      </c>
      <c r="AN91" s="290" t="e">
        <f t="shared" si="114"/>
        <v>#REF!</v>
      </c>
      <c r="AO91" s="349"/>
    </row>
    <row r="92" spans="2:41" s="345" customFormat="1" ht="30" hidden="1" customHeight="1">
      <c r="B92" s="346"/>
      <c r="C92" s="309">
        <f t="shared" si="115"/>
        <v>62</v>
      </c>
      <c r="D92" s="285" t="s">
        <v>92</v>
      </c>
      <c r="E92" s="285" t="s">
        <v>452</v>
      </c>
      <c r="F92" s="286"/>
      <c r="G92" s="287" t="s">
        <v>548</v>
      </c>
      <c r="H92" s="292" t="s">
        <v>111</v>
      </c>
      <c r="I92" s="289">
        <f>+'610.1'!N81</f>
        <v>31198</v>
      </c>
      <c r="J92" s="288"/>
      <c r="K92" s="290">
        <f t="shared" si="96"/>
        <v>0</v>
      </c>
      <c r="L92" s="288"/>
      <c r="M92" s="290">
        <f t="shared" si="97"/>
        <v>0</v>
      </c>
      <c r="N92" s="288"/>
      <c r="O92" s="290">
        <f t="shared" si="98"/>
        <v>0</v>
      </c>
      <c r="P92" s="288"/>
      <c r="Q92" s="290">
        <f t="shared" si="99"/>
        <v>0</v>
      </c>
      <c r="R92" s="288"/>
      <c r="S92" s="290">
        <f t="shared" si="100"/>
        <v>0</v>
      </c>
      <c r="T92" s="288">
        <f t="shared" si="101"/>
        <v>0</v>
      </c>
      <c r="U92" s="437"/>
      <c r="V92" s="290">
        <f t="shared" si="102"/>
        <v>0</v>
      </c>
      <c r="W92" s="288"/>
      <c r="X92" s="290">
        <f t="shared" si="103"/>
        <v>0</v>
      </c>
      <c r="Y92" s="288"/>
      <c r="Z92" s="290">
        <f t="shared" si="104"/>
        <v>0</v>
      </c>
      <c r="AA92" s="288"/>
      <c r="AB92" s="290">
        <f t="shared" si="105"/>
        <v>0</v>
      </c>
      <c r="AC92" s="288"/>
      <c r="AD92" s="290">
        <f t="shared" si="106"/>
        <v>0</v>
      </c>
      <c r="AE92" s="288">
        <f t="shared" si="107"/>
        <v>0</v>
      </c>
      <c r="AF92" s="290">
        <f t="shared" si="108"/>
        <v>0</v>
      </c>
      <c r="AG92" s="288">
        <f t="shared" si="109"/>
        <v>0</v>
      </c>
      <c r="AH92" s="290">
        <f t="shared" si="110"/>
        <v>0</v>
      </c>
      <c r="AI92" s="288"/>
      <c r="AJ92" s="290">
        <f t="shared" si="111"/>
        <v>0</v>
      </c>
      <c r="AK92" s="288"/>
      <c r="AL92" s="290">
        <f t="shared" si="112"/>
        <v>0</v>
      </c>
      <c r="AM92" s="288">
        <f t="shared" si="113"/>
        <v>0</v>
      </c>
      <c r="AN92" s="290">
        <f t="shared" si="114"/>
        <v>0</v>
      </c>
      <c r="AO92" s="349"/>
    </row>
    <row r="93" spans="2:41" s="345" customFormat="1" ht="30" hidden="1" customHeight="1">
      <c r="B93" s="346"/>
      <c r="C93" s="309">
        <f t="shared" si="115"/>
        <v>63</v>
      </c>
      <c r="D93" s="347" t="s">
        <v>618</v>
      </c>
      <c r="E93" s="347" t="s">
        <v>452</v>
      </c>
      <c r="F93" s="286"/>
      <c r="G93" s="344" t="s">
        <v>619</v>
      </c>
      <c r="H93" s="350" t="s">
        <v>111</v>
      </c>
      <c r="I93" s="289" t="e">
        <f>#REF!</f>
        <v>#REF!</v>
      </c>
      <c r="J93" s="288"/>
      <c r="K93" s="290" t="e">
        <f t="shared" si="96"/>
        <v>#REF!</v>
      </c>
      <c r="L93" s="288"/>
      <c r="M93" s="290" t="e">
        <f t="shared" si="97"/>
        <v>#REF!</v>
      </c>
      <c r="N93" s="288"/>
      <c r="O93" s="290" t="e">
        <f t="shared" si="98"/>
        <v>#REF!</v>
      </c>
      <c r="P93" s="288"/>
      <c r="Q93" s="290" t="e">
        <f t="shared" si="99"/>
        <v>#REF!</v>
      </c>
      <c r="R93" s="288"/>
      <c r="S93" s="290" t="e">
        <f t="shared" si="100"/>
        <v>#REF!</v>
      </c>
      <c r="T93" s="288">
        <f t="shared" si="101"/>
        <v>0</v>
      </c>
      <c r="U93" s="437"/>
      <c r="V93" s="290" t="e">
        <f t="shared" si="102"/>
        <v>#REF!</v>
      </c>
      <c r="W93" s="288"/>
      <c r="X93" s="290" t="e">
        <f t="shared" si="103"/>
        <v>#REF!</v>
      </c>
      <c r="Y93" s="288"/>
      <c r="Z93" s="290" t="e">
        <f t="shared" si="104"/>
        <v>#REF!</v>
      </c>
      <c r="AA93" s="288"/>
      <c r="AB93" s="290" t="e">
        <f t="shared" si="105"/>
        <v>#REF!</v>
      </c>
      <c r="AC93" s="288"/>
      <c r="AD93" s="290" t="e">
        <f t="shared" si="106"/>
        <v>#REF!</v>
      </c>
      <c r="AE93" s="288">
        <f t="shared" si="107"/>
        <v>0</v>
      </c>
      <c r="AF93" s="290" t="e">
        <f t="shared" si="108"/>
        <v>#REF!</v>
      </c>
      <c r="AG93" s="288">
        <f t="shared" si="109"/>
        <v>0</v>
      </c>
      <c r="AH93" s="290" t="e">
        <f t="shared" si="110"/>
        <v>#REF!</v>
      </c>
      <c r="AI93" s="288"/>
      <c r="AJ93" s="290" t="e">
        <f t="shared" si="111"/>
        <v>#REF!</v>
      </c>
      <c r="AK93" s="288"/>
      <c r="AL93" s="290" t="e">
        <f t="shared" si="112"/>
        <v>#REF!</v>
      </c>
      <c r="AM93" s="288">
        <f t="shared" si="113"/>
        <v>0</v>
      </c>
      <c r="AN93" s="290" t="e">
        <f t="shared" si="114"/>
        <v>#REF!</v>
      </c>
      <c r="AO93" s="349"/>
    </row>
    <row r="94" spans="2:41" s="345" customFormat="1" ht="30" customHeight="1">
      <c r="B94" s="346"/>
      <c r="C94" s="309">
        <f t="shared" si="115"/>
        <v>64</v>
      </c>
      <c r="D94" s="347" t="s">
        <v>621</v>
      </c>
      <c r="E94" s="347" t="s">
        <v>452</v>
      </c>
      <c r="F94" s="286"/>
      <c r="G94" s="344" t="s">
        <v>622</v>
      </c>
      <c r="H94" s="350" t="s">
        <v>111</v>
      </c>
      <c r="I94" s="289">
        <f>'610.3'!N82</f>
        <v>158985</v>
      </c>
      <c r="J94" s="288"/>
      <c r="K94" s="290">
        <f t="shared" si="96"/>
        <v>0</v>
      </c>
      <c r="L94" s="288"/>
      <c r="M94" s="290">
        <f t="shared" si="97"/>
        <v>0</v>
      </c>
      <c r="N94" s="288"/>
      <c r="O94" s="290">
        <f t="shared" si="98"/>
        <v>0</v>
      </c>
      <c r="P94" s="288"/>
      <c r="Q94" s="290">
        <f t="shared" si="99"/>
        <v>0</v>
      </c>
      <c r="R94" s="288"/>
      <c r="S94" s="290">
        <f t="shared" si="100"/>
        <v>0</v>
      </c>
      <c r="T94" s="288">
        <f t="shared" si="101"/>
        <v>0</v>
      </c>
      <c r="U94" s="437"/>
      <c r="V94" s="290">
        <f t="shared" si="102"/>
        <v>0</v>
      </c>
      <c r="W94" s="288"/>
      <c r="X94" s="290">
        <f t="shared" si="103"/>
        <v>0</v>
      </c>
      <c r="Y94" s="288">
        <f>10*(1.5*0.6*15)</f>
        <v>134.99999999999997</v>
      </c>
      <c r="Z94" s="290">
        <f t="shared" si="104"/>
        <v>21462974.999999996</v>
      </c>
      <c r="AA94" s="288"/>
      <c r="AB94" s="290">
        <f t="shared" si="105"/>
        <v>0</v>
      </c>
      <c r="AC94" s="288"/>
      <c r="AD94" s="290">
        <f t="shared" si="106"/>
        <v>0</v>
      </c>
      <c r="AE94" s="288">
        <f t="shared" si="107"/>
        <v>134.99999999999997</v>
      </c>
      <c r="AF94" s="290">
        <f t="shared" si="108"/>
        <v>21462974.999999996</v>
      </c>
      <c r="AG94" s="288">
        <f t="shared" si="109"/>
        <v>134.99999999999997</v>
      </c>
      <c r="AH94" s="290">
        <f t="shared" si="110"/>
        <v>21462974.999999996</v>
      </c>
      <c r="AI94" s="288"/>
      <c r="AJ94" s="290">
        <f t="shared" si="111"/>
        <v>0</v>
      </c>
      <c r="AK94" s="288"/>
      <c r="AL94" s="290">
        <f t="shared" si="112"/>
        <v>0</v>
      </c>
      <c r="AM94" s="288">
        <f t="shared" si="113"/>
        <v>134.99999999999997</v>
      </c>
      <c r="AN94" s="290">
        <f t="shared" si="114"/>
        <v>21462974.999999996</v>
      </c>
      <c r="AO94" s="349"/>
    </row>
    <row r="95" spans="2:41" s="345" customFormat="1" ht="30" hidden="1" customHeight="1">
      <c r="B95" s="346"/>
      <c r="C95" s="309">
        <f t="shared" si="115"/>
        <v>65</v>
      </c>
      <c r="D95" s="347" t="s">
        <v>514</v>
      </c>
      <c r="E95" s="347"/>
      <c r="F95" s="347" t="s">
        <v>514</v>
      </c>
      <c r="G95" s="344" t="s">
        <v>515</v>
      </c>
      <c r="H95" s="386" t="s">
        <v>81</v>
      </c>
      <c r="I95" s="289" t="e">
        <f>#REF!</f>
        <v>#REF!</v>
      </c>
      <c r="J95" s="288"/>
      <c r="K95" s="290" t="e">
        <f t="shared" si="96"/>
        <v>#REF!</v>
      </c>
      <c r="L95" s="288"/>
      <c r="M95" s="290" t="e">
        <f t="shared" si="97"/>
        <v>#REF!</v>
      </c>
      <c r="N95" s="288"/>
      <c r="O95" s="290" t="e">
        <f t="shared" si="98"/>
        <v>#REF!</v>
      </c>
      <c r="P95" s="288"/>
      <c r="Q95" s="290" t="e">
        <f t="shared" si="99"/>
        <v>#REF!</v>
      </c>
      <c r="R95" s="288"/>
      <c r="S95" s="290" t="e">
        <f t="shared" si="100"/>
        <v>#REF!</v>
      </c>
      <c r="T95" s="288">
        <f t="shared" si="101"/>
        <v>0</v>
      </c>
      <c r="U95" s="437"/>
      <c r="V95" s="290" t="e">
        <f t="shared" si="102"/>
        <v>#REF!</v>
      </c>
      <c r="W95" s="288"/>
      <c r="X95" s="290" t="e">
        <f t="shared" si="103"/>
        <v>#REF!</v>
      </c>
      <c r="Y95" s="288"/>
      <c r="Z95" s="290" t="e">
        <f t="shared" si="104"/>
        <v>#REF!</v>
      </c>
      <c r="AA95" s="288"/>
      <c r="AB95" s="290" t="e">
        <f t="shared" si="105"/>
        <v>#REF!</v>
      </c>
      <c r="AC95" s="288"/>
      <c r="AD95" s="290" t="e">
        <f t="shared" si="106"/>
        <v>#REF!</v>
      </c>
      <c r="AE95" s="288">
        <f t="shared" si="107"/>
        <v>0</v>
      </c>
      <c r="AF95" s="290" t="e">
        <f t="shared" si="108"/>
        <v>#REF!</v>
      </c>
      <c r="AG95" s="288">
        <f t="shared" si="109"/>
        <v>0</v>
      </c>
      <c r="AH95" s="290" t="e">
        <f t="shared" si="110"/>
        <v>#REF!</v>
      </c>
      <c r="AI95" s="288"/>
      <c r="AJ95" s="290" t="e">
        <f t="shared" si="111"/>
        <v>#REF!</v>
      </c>
      <c r="AK95" s="288"/>
      <c r="AL95" s="290" t="e">
        <f t="shared" si="112"/>
        <v>#REF!</v>
      </c>
      <c r="AM95" s="288">
        <f t="shared" si="113"/>
        <v>0</v>
      </c>
      <c r="AN95" s="290" t="e">
        <f t="shared" si="114"/>
        <v>#REF!</v>
      </c>
      <c r="AO95" s="349"/>
    </row>
    <row r="96" spans="2:41" s="345" customFormat="1" ht="30" hidden="1" customHeight="1">
      <c r="B96" s="346"/>
      <c r="C96" s="309">
        <f t="shared" si="115"/>
        <v>66</v>
      </c>
      <c r="D96" s="347" t="s">
        <v>506</v>
      </c>
      <c r="E96" s="347" t="s">
        <v>503</v>
      </c>
      <c r="F96" s="347"/>
      <c r="G96" s="344" t="s">
        <v>606</v>
      </c>
      <c r="H96" s="386" t="s">
        <v>81</v>
      </c>
      <c r="I96" s="289" t="e">
        <f>#REF!</f>
        <v>#REF!</v>
      </c>
      <c r="J96" s="288"/>
      <c r="K96" s="290" t="e">
        <f t="shared" si="96"/>
        <v>#REF!</v>
      </c>
      <c r="L96" s="288"/>
      <c r="M96" s="290" t="e">
        <f t="shared" si="97"/>
        <v>#REF!</v>
      </c>
      <c r="N96" s="288"/>
      <c r="O96" s="290" t="e">
        <f t="shared" si="98"/>
        <v>#REF!</v>
      </c>
      <c r="P96" s="288"/>
      <c r="Q96" s="290" t="e">
        <f t="shared" si="99"/>
        <v>#REF!</v>
      </c>
      <c r="R96" s="288"/>
      <c r="S96" s="290" t="e">
        <f t="shared" si="100"/>
        <v>#REF!</v>
      </c>
      <c r="T96" s="288">
        <f t="shared" si="101"/>
        <v>0</v>
      </c>
      <c r="U96" s="437"/>
      <c r="V96" s="290" t="e">
        <f t="shared" si="102"/>
        <v>#REF!</v>
      </c>
      <c r="W96" s="288"/>
      <c r="X96" s="290" t="e">
        <f t="shared" si="103"/>
        <v>#REF!</v>
      </c>
      <c r="Y96" s="288"/>
      <c r="Z96" s="290" t="e">
        <f t="shared" si="104"/>
        <v>#REF!</v>
      </c>
      <c r="AA96" s="288"/>
      <c r="AB96" s="290" t="e">
        <f t="shared" si="105"/>
        <v>#REF!</v>
      </c>
      <c r="AC96" s="288"/>
      <c r="AD96" s="290" t="e">
        <f t="shared" si="106"/>
        <v>#REF!</v>
      </c>
      <c r="AE96" s="288">
        <f t="shared" si="107"/>
        <v>0</v>
      </c>
      <c r="AF96" s="290" t="e">
        <f t="shared" si="108"/>
        <v>#REF!</v>
      </c>
      <c r="AG96" s="288">
        <f t="shared" si="109"/>
        <v>0</v>
      </c>
      <c r="AH96" s="290" t="e">
        <f t="shared" si="110"/>
        <v>#REF!</v>
      </c>
      <c r="AI96" s="288"/>
      <c r="AJ96" s="290" t="e">
        <f t="shared" si="111"/>
        <v>#REF!</v>
      </c>
      <c r="AK96" s="288"/>
      <c r="AL96" s="290" t="e">
        <f t="shared" si="112"/>
        <v>#REF!</v>
      </c>
      <c r="AM96" s="288">
        <f t="shared" si="113"/>
        <v>0</v>
      </c>
      <c r="AN96" s="290" t="e">
        <f t="shared" si="114"/>
        <v>#REF!</v>
      </c>
      <c r="AO96" s="349"/>
    </row>
    <row r="97" spans="2:41" s="345" customFormat="1" ht="30" hidden="1" customHeight="1">
      <c r="B97" s="346"/>
      <c r="C97" s="309">
        <f t="shared" si="115"/>
        <v>67</v>
      </c>
      <c r="D97" s="389" t="s">
        <v>574</v>
      </c>
      <c r="E97" s="389" t="s">
        <v>503</v>
      </c>
      <c r="F97" s="390"/>
      <c r="G97" s="391" t="s">
        <v>607</v>
      </c>
      <c r="H97" s="386" t="s">
        <v>81</v>
      </c>
      <c r="I97" s="289" t="e">
        <f>#REF!</f>
        <v>#REF!</v>
      </c>
      <c r="J97" s="288"/>
      <c r="K97" s="290" t="e">
        <f t="shared" si="96"/>
        <v>#REF!</v>
      </c>
      <c r="L97" s="288"/>
      <c r="M97" s="290" t="e">
        <f t="shared" si="97"/>
        <v>#REF!</v>
      </c>
      <c r="N97" s="288"/>
      <c r="O97" s="290" t="e">
        <f t="shared" si="98"/>
        <v>#REF!</v>
      </c>
      <c r="P97" s="288"/>
      <c r="Q97" s="290" t="e">
        <f t="shared" si="99"/>
        <v>#REF!</v>
      </c>
      <c r="R97" s="288"/>
      <c r="S97" s="290" t="e">
        <f t="shared" si="100"/>
        <v>#REF!</v>
      </c>
      <c r="T97" s="288">
        <f t="shared" si="101"/>
        <v>0</v>
      </c>
      <c r="U97" s="437"/>
      <c r="V97" s="290" t="e">
        <f t="shared" si="102"/>
        <v>#REF!</v>
      </c>
      <c r="W97" s="288"/>
      <c r="X97" s="290" t="e">
        <f t="shared" si="103"/>
        <v>#REF!</v>
      </c>
      <c r="Y97" s="288"/>
      <c r="Z97" s="290" t="e">
        <f t="shared" si="104"/>
        <v>#REF!</v>
      </c>
      <c r="AA97" s="288"/>
      <c r="AB97" s="290" t="e">
        <f t="shared" si="105"/>
        <v>#REF!</v>
      </c>
      <c r="AC97" s="288"/>
      <c r="AD97" s="290" t="e">
        <f t="shared" si="106"/>
        <v>#REF!</v>
      </c>
      <c r="AE97" s="288">
        <f t="shared" si="107"/>
        <v>0</v>
      </c>
      <c r="AF97" s="290" t="e">
        <f t="shared" si="108"/>
        <v>#REF!</v>
      </c>
      <c r="AG97" s="288">
        <f t="shared" si="109"/>
        <v>0</v>
      </c>
      <c r="AH97" s="290" t="e">
        <f t="shared" si="110"/>
        <v>#REF!</v>
      </c>
      <c r="AI97" s="288"/>
      <c r="AJ97" s="290" t="e">
        <f t="shared" si="111"/>
        <v>#REF!</v>
      </c>
      <c r="AK97" s="288"/>
      <c r="AL97" s="290" t="e">
        <f t="shared" si="112"/>
        <v>#REF!</v>
      </c>
      <c r="AM97" s="288">
        <f t="shared" si="113"/>
        <v>0</v>
      </c>
      <c r="AN97" s="290" t="e">
        <f t="shared" si="114"/>
        <v>#REF!</v>
      </c>
      <c r="AO97" s="349"/>
    </row>
    <row r="98" spans="2:41" s="345" customFormat="1" ht="30" hidden="1" customHeight="1">
      <c r="B98" s="346"/>
      <c r="C98" s="309">
        <f t="shared" si="115"/>
        <v>68</v>
      </c>
      <c r="D98" s="347" t="s">
        <v>686</v>
      </c>
      <c r="E98" s="347" t="s">
        <v>503</v>
      </c>
      <c r="F98" s="347"/>
      <c r="G98" s="344" t="s">
        <v>687</v>
      </c>
      <c r="H98" s="386" t="s">
        <v>81</v>
      </c>
      <c r="I98" s="289" t="e">
        <f>#REF!</f>
        <v>#REF!</v>
      </c>
      <c r="J98" s="288"/>
      <c r="K98" s="290" t="e">
        <f t="shared" si="96"/>
        <v>#REF!</v>
      </c>
      <c r="L98" s="288"/>
      <c r="M98" s="290" t="e">
        <f t="shared" si="97"/>
        <v>#REF!</v>
      </c>
      <c r="N98" s="288"/>
      <c r="O98" s="290" t="e">
        <f t="shared" si="98"/>
        <v>#REF!</v>
      </c>
      <c r="P98" s="288"/>
      <c r="Q98" s="290" t="e">
        <f t="shared" si="99"/>
        <v>#REF!</v>
      </c>
      <c r="R98" s="288"/>
      <c r="S98" s="290" t="e">
        <f t="shared" si="100"/>
        <v>#REF!</v>
      </c>
      <c r="T98" s="288">
        <f t="shared" si="101"/>
        <v>0</v>
      </c>
      <c r="U98" s="437"/>
      <c r="V98" s="290" t="e">
        <f t="shared" si="102"/>
        <v>#REF!</v>
      </c>
      <c r="W98" s="288"/>
      <c r="X98" s="290" t="e">
        <f t="shared" si="103"/>
        <v>#REF!</v>
      </c>
      <c r="Y98" s="288"/>
      <c r="Z98" s="290" t="e">
        <f t="shared" si="104"/>
        <v>#REF!</v>
      </c>
      <c r="AA98" s="288"/>
      <c r="AB98" s="290" t="e">
        <f t="shared" si="105"/>
        <v>#REF!</v>
      </c>
      <c r="AC98" s="288"/>
      <c r="AD98" s="290" t="e">
        <f t="shared" si="106"/>
        <v>#REF!</v>
      </c>
      <c r="AE98" s="288">
        <f t="shared" si="107"/>
        <v>0</v>
      </c>
      <c r="AF98" s="290" t="e">
        <f t="shared" si="108"/>
        <v>#REF!</v>
      </c>
      <c r="AG98" s="288">
        <f t="shared" si="109"/>
        <v>0</v>
      </c>
      <c r="AH98" s="290" t="e">
        <f t="shared" si="110"/>
        <v>#REF!</v>
      </c>
      <c r="AI98" s="288"/>
      <c r="AJ98" s="290" t="e">
        <f t="shared" si="111"/>
        <v>#REF!</v>
      </c>
      <c r="AK98" s="288"/>
      <c r="AL98" s="290" t="e">
        <f t="shared" si="112"/>
        <v>#REF!</v>
      </c>
      <c r="AM98" s="288">
        <f t="shared" si="113"/>
        <v>0</v>
      </c>
      <c r="AN98" s="290" t="e">
        <f t="shared" si="114"/>
        <v>#REF!</v>
      </c>
      <c r="AO98" s="349"/>
    </row>
    <row r="99" spans="2:41" s="345" customFormat="1" ht="30" hidden="1" customHeight="1">
      <c r="B99" s="346"/>
      <c r="C99" s="309">
        <f>C97+1</f>
        <v>68</v>
      </c>
      <c r="D99" s="389" t="s">
        <v>575</v>
      </c>
      <c r="E99" s="389" t="s">
        <v>503</v>
      </c>
      <c r="F99" s="390"/>
      <c r="G99" s="391" t="s">
        <v>608</v>
      </c>
      <c r="H99" s="386" t="s">
        <v>81</v>
      </c>
      <c r="I99" s="289" t="e">
        <f>#REF!</f>
        <v>#REF!</v>
      </c>
      <c r="J99" s="288"/>
      <c r="K99" s="290" t="e">
        <f t="shared" si="96"/>
        <v>#REF!</v>
      </c>
      <c r="L99" s="288"/>
      <c r="M99" s="290" t="e">
        <f t="shared" si="97"/>
        <v>#REF!</v>
      </c>
      <c r="N99" s="288"/>
      <c r="O99" s="290" t="e">
        <f t="shared" si="98"/>
        <v>#REF!</v>
      </c>
      <c r="P99" s="288"/>
      <c r="Q99" s="290" t="e">
        <f t="shared" si="99"/>
        <v>#REF!</v>
      </c>
      <c r="R99" s="288"/>
      <c r="S99" s="290" t="e">
        <f t="shared" si="100"/>
        <v>#REF!</v>
      </c>
      <c r="T99" s="288">
        <f t="shared" si="101"/>
        <v>0</v>
      </c>
      <c r="U99" s="437"/>
      <c r="V99" s="290" t="e">
        <f t="shared" si="102"/>
        <v>#REF!</v>
      </c>
      <c r="W99" s="288"/>
      <c r="X99" s="290" t="e">
        <f t="shared" si="103"/>
        <v>#REF!</v>
      </c>
      <c r="Y99" s="288"/>
      <c r="Z99" s="290" t="e">
        <f t="shared" si="104"/>
        <v>#REF!</v>
      </c>
      <c r="AA99" s="288"/>
      <c r="AB99" s="290" t="e">
        <f t="shared" si="105"/>
        <v>#REF!</v>
      </c>
      <c r="AC99" s="288"/>
      <c r="AD99" s="290" t="e">
        <f t="shared" si="106"/>
        <v>#REF!</v>
      </c>
      <c r="AE99" s="288">
        <f t="shared" si="107"/>
        <v>0</v>
      </c>
      <c r="AF99" s="290" t="e">
        <f t="shared" si="108"/>
        <v>#REF!</v>
      </c>
      <c r="AG99" s="288">
        <f t="shared" si="109"/>
        <v>0</v>
      </c>
      <c r="AH99" s="290" t="e">
        <f t="shared" si="110"/>
        <v>#REF!</v>
      </c>
      <c r="AI99" s="288"/>
      <c r="AJ99" s="290" t="e">
        <f t="shared" si="111"/>
        <v>#REF!</v>
      </c>
      <c r="AK99" s="288"/>
      <c r="AL99" s="290" t="e">
        <f t="shared" si="112"/>
        <v>#REF!</v>
      </c>
      <c r="AM99" s="288">
        <f t="shared" si="113"/>
        <v>0</v>
      </c>
      <c r="AN99" s="290" t="e">
        <f t="shared" si="114"/>
        <v>#REF!</v>
      </c>
      <c r="AO99" s="349"/>
    </row>
    <row r="100" spans="2:41" s="345" customFormat="1" ht="30" hidden="1" customHeight="1">
      <c r="B100" s="346"/>
      <c r="C100" s="309">
        <f t="shared" si="115"/>
        <v>69</v>
      </c>
      <c r="D100" s="347" t="s">
        <v>576</v>
      </c>
      <c r="E100" s="347" t="s">
        <v>503</v>
      </c>
      <c r="F100" s="286"/>
      <c r="G100" s="344" t="s">
        <v>609</v>
      </c>
      <c r="H100" s="350" t="s">
        <v>81</v>
      </c>
      <c r="I100" s="289" t="e">
        <f>#REF!</f>
        <v>#REF!</v>
      </c>
      <c r="J100" s="288"/>
      <c r="K100" s="290" t="e">
        <f t="shared" si="96"/>
        <v>#REF!</v>
      </c>
      <c r="L100" s="288"/>
      <c r="M100" s="290" t="e">
        <f t="shared" si="97"/>
        <v>#REF!</v>
      </c>
      <c r="N100" s="288"/>
      <c r="O100" s="290" t="e">
        <f t="shared" si="98"/>
        <v>#REF!</v>
      </c>
      <c r="P100" s="288"/>
      <c r="Q100" s="290" t="e">
        <f t="shared" si="99"/>
        <v>#REF!</v>
      </c>
      <c r="R100" s="288"/>
      <c r="S100" s="290" t="e">
        <f t="shared" si="100"/>
        <v>#REF!</v>
      </c>
      <c r="T100" s="288">
        <f t="shared" si="101"/>
        <v>0</v>
      </c>
      <c r="U100" s="437"/>
      <c r="V100" s="290" t="e">
        <f t="shared" si="102"/>
        <v>#REF!</v>
      </c>
      <c r="W100" s="288"/>
      <c r="X100" s="290" t="e">
        <f t="shared" si="103"/>
        <v>#REF!</v>
      </c>
      <c r="Y100" s="288"/>
      <c r="Z100" s="290" t="e">
        <f t="shared" si="104"/>
        <v>#REF!</v>
      </c>
      <c r="AA100" s="288"/>
      <c r="AB100" s="290" t="e">
        <f t="shared" si="105"/>
        <v>#REF!</v>
      </c>
      <c r="AC100" s="288"/>
      <c r="AD100" s="290" t="e">
        <f t="shared" si="106"/>
        <v>#REF!</v>
      </c>
      <c r="AE100" s="288">
        <f t="shared" si="107"/>
        <v>0</v>
      </c>
      <c r="AF100" s="290" t="e">
        <f t="shared" si="108"/>
        <v>#REF!</v>
      </c>
      <c r="AG100" s="288">
        <f t="shared" si="109"/>
        <v>0</v>
      </c>
      <c r="AH100" s="290" t="e">
        <f t="shared" si="110"/>
        <v>#REF!</v>
      </c>
      <c r="AI100" s="288"/>
      <c r="AJ100" s="290" t="e">
        <f t="shared" si="111"/>
        <v>#REF!</v>
      </c>
      <c r="AK100" s="288"/>
      <c r="AL100" s="290" t="e">
        <f t="shared" si="112"/>
        <v>#REF!</v>
      </c>
      <c r="AM100" s="288">
        <f t="shared" si="113"/>
        <v>0</v>
      </c>
      <c r="AN100" s="290" t="e">
        <f t="shared" si="114"/>
        <v>#REF!</v>
      </c>
      <c r="AO100" s="349"/>
    </row>
    <row r="101" spans="2:41" s="345" customFormat="1" ht="30" hidden="1" customHeight="1">
      <c r="B101" s="346"/>
      <c r="C101" s="309">
        <f t="shared" si="115"/>
        <v>70</v>
      </c>
      <c r="D101" s="329" t="s">
        <v>339</v>
      </c>
      <c r="E101" s="329" t="s">
        <v>392</v>
      </c>
      <c r="F101" s="286"/>
      <c r="G101" s="343" t="s">
        <v>340</v>
      </c>
      <c r="H101" s="386" t="s">
        <v>81</v>
      </c>
      <c r="I101" s="289" t="e">
        <f>#REF!</f>
        <v>#REF!</v>
      </c>
      <c r="J101" s="288"/>
      <c r="K101" s="290" t="e">
        <f t="shared" si="96"/>
        <v>#REF!</v>
      </c>
      <c r="L101" s="288"/>
      <c r="M101" s="290" t="e">
        <f t="shared" si="97"/>
        <v>#REF!</v>
      </c>
      <c r="N101" s="288"/>
      <c r="O101" s="290" t="e">
        <f t="shared" si="98"/>
        <v>#REF!</v>
      </c>
      <c r="P101" s="288"/>
      <c r="Q101" s="290" t="e">
        <f t="shared" si="99"/>
        <v>#REF!</v>
      </c>
      <c r="R101" s="288"/>
      <c r="S101" s="290" t="e">
        <f t="shared" si="100"/>
        <v>#REF!</v>
      </c>
      <c r="T101" s="288">
        <f t="shared" si="101"/>
        <v>0</v>
      </c>
      <c r="U101" s="437"/>
      <c r="V101" s="290" t="e">
        <f t="shared" si="102"/>
        <v>#REF!</v>
      </c>
      <c r="W101" s="288"/>
      <c r="X101" s="290" t="e">
        <f t="shared" si="103"/>
        <v>#REF!</v>
      </c>
      <c r="Y101" s="288"/>
      <c r="Z101" s="290" t="e">
        <f t="shared" si="104"/>
        <v>#REF!</v>
      </c>
      <c r="AA101" s="288"/>
      <c r="AB101" s="290" t="e">
        <f t="shared" si="105"/>
        <v>#REF!</v>
      </c>
      <c r="AC101" s="288"/>
      <c r="AD101" s="290" t="e">
        <f t="shared" si="106"/>
        <v>#REF!</v>
      </c>
      <c r="AE101" s="288">
        <f t="shared" si="107"/>
        <v>0</v>
      </c>
      <c r="AF101" s="290" t="e">
        <f t="shared" si="108"/>
        <v>#REF!</v>
      </c>
      <c r="AG101" s="288">
        <f t="shared" si="109"/>
        <v>0</v>
      </c>
      <c r="AH101" s="290" t="e">
        <f t="shared" si="110"/>
        <v>#REF!</v>
      </c>
      <c r="AI101" s="288"/>
      <c r="AJ101" s="290" t="e">
        <f t="shared" si="111"/>
        <v>#REF!</v>
      </c>
      <c r="AK101" s="288"/>
      <c r="AL101" s="290" t="e">
        <f t="shared" si="112"/>
        <v>#REF!</v>
      </c>
      <c r="AM101" s="288">
        <f t="shared" si="113"/>
        <v>0</v>
      </c>
      <c r="AN101" s="290" t="e">
        <f t="shared" si="114"/>
        <v>#REF!</v>
      </c>
      <c r="AO101" s="349"/>
    </row>
    <row r="102" spans="2:41" s="345" customFormat="1" ht="30" hidden="1" customHeight="1">
      <c r="B102" s="346"/>
      <c r="C102" s="309">
        <f t="shared" si="115"/>
        <v>71</v>
      </c>
      <c r="D102" s="329" t="s">
        <v>341</v>
      </c>
      <c r="E102" s="329" t="s">
        <v>392</v>
      </c>
      <c r="F102" s="286"/>
      <c r="G102" s="343" t="s">
        <v>342</v>
      </c>
      <c r="H102" s="386" t="s">
        <v>81</v>
      </c>
      <c r="I102" s="289" t="e">
        <f>#REF!</f>
        <v>#REF!</v>
      </c>
      <c r="J102" s="288"/>
      <c r="K102" s="290" t="e">
        <f t="shared" si="96"/>
        <v>#REF!</v>
      </c>
      <c r="L102" s="288"/>
      <c r="M102" s="290" t="e">
        <f t="shared" si="97"/>
        <v>#REF!</v>
      </c>
      <c r="N102" s="288"/>
      <c r="O102" s="290" t="e">
        <f t="shared" si="98"/>
        <v>#REF!</v>
      </c>
      <c r="P102" s="288"/>
      <c r="Q102" s="290" t="e">
        <f t="shared" si="99"/>
        <v>#REF!</v>
      </c>
      <c r="R102" s="288"/>
      <c r="S102" s="290" t="e">
        <f t="shared" si="100"/>
        <v>#REF!</v>
      </c>
      <c r="T102" s="288">
        <f t="shared" si="101"/>
        <v>0</v>
      </c>
      <c r="U102" s="437"/>
      <c r="V102" s="290" t="e">
        <f t="shared" si="102"/>
        <v>#REF!</v>
      </c>
      <c r="W102" s="288"/>
      <c r="X102" s="290" t="e">
        <f t="shared" si="103"/>
        <v>#REF!</v>
      </c>
      <c r="Y102" s="288"/>
      <c r="Z102" s="290" t="e">
        <f t="shared" si="104"/>
        <v>#REF!</v>
      </c>
      <c r="AA102" s="288"/>
      <c r="AB102" s="290" t="e">
        <f t="shared" si="105"/>
        <v>#REF!</v>
      </c>
      <c r="AC102" s="288"/>
      <c r="AD102" s="290" t="e">
        <f t="shared" si="106"/>
        <v>#REF!</v>
      </c>
      <c r="AE102" s="288">
        <f t="shared" si="107"/>
        <v>0</v>
      </c>
      <c r="AF102" s="290" t="e">
        <f t="shared" si="108"/>
        <v>#REF!</v>
      </c>
      <c r="AG102" s="288">
        <f t="shared" si="109"/>
        <v>0</v>
      </c>
      <c r="AH102" s="290" t="e">
        <f t="shared" si="110"/>
        <v>#REF!</v>
      </c>
      <c r="AI102" s="288"/>
      <c r="AJ102" s="290" t="e">
        <f t="shared" si="111"/>
        <v>#REF!</v>
      </c>
      <c r="AK102" s="288"/>
      <c r="AL102" s="290" t="e">
        <f t="shared" si="112"/>
        <v>#REF!</v>
      </c>
      <c r="AM102" s="288">
        <f t="shared" si="113"/>
        <v>0</v>
      </c>
      <c r="AN102" s="290" t="e">
        <f t="shared" si="114"/>
        <v>#REF!</v>
      </c>
      <c r="AO102" s="349"/>
    </row>
    <row r="103" spans="2:41" s="345" customFormat="1" ht="30" hidden="1" customHeight="1">
      <c r="B103" s="346"/>
      <c r="C103" s="309">
        <f t="shared" si="115"/>
        <v>72</v>
      </c>
      <c r="D103" s="329" t="s">
        <v>343</v>
      </c>
      <c r="E103" s="329" t="s">
        <v>392</v>
      </c>
      <c r="F103" s="286"/>
      <c r="G103" s="343" t="s">
        <v>344</v>
      </c>
      <c r="H103" s="386" t="s">
        <v>81</v>
      </c>
      <c r="I103" s="289" t="e">
        <f>#REF!</f>
        <v>#REF!</v>
      </c>
      <c r="J103" s="288"/>
      <c r="K103" s="290" t="e">
        <f t="shared" si="96"/>
        <v>#REF!</v>
      </c>
      <c r="L103" s="288"/>
      <c r="M103" s="290" t="e">
        <f t="shared" si="97"/>
        <v>#REF!</v>
      </c>
      <c r="N103" s="288"/>
      <c r="O103" s="290" t="e">
        <f t="shared" si="98"/>
        <v>#REF!</v>
      </c>
      <c r="P103" s="288"/>
      <c r="Q103" s="290" t="e">
        <f t="shared" si="99"/>
        <v>#REF!</v>
      </c>
      <c r="R103" s="288"/>
      <c r="S103" s="290" t="e">
        <f t="shared" si="100"/>
        <v>#REF!</v>
      </c>
      <c r="T103" s="288">
        <f t="shared" si="101"/>
        <v>0</v>
      </c>
      <c r="U103" s="437"/>
      <c r="V103" s="290" t="e">
        <f t="shared" si="102"/>
        <v>#REF!</v>
      </c>
      <c r="W103" s="288"/>
      <c r="X103" s="290" t="e">
        <f t="shared" si="103"/>
        <v>#REF!</v>
      </c>
      <c r="Y103" s="288"/>
      <c r="Z103" s="290" t="e">
        <f t="shared" si="104"/>
        <v>#REF!</v>
      </c>
      <c r="AA103" s="288"/>
      <c r="AB103" s="290" t="e">
        <f t="shared" si="105"/>
        <v>#REF!</v>
      </c>
      <c r="AC103" s="288"/>
      <c r="AD103" s="290" t="e">
        <f t="shared" si="106"/>
        <v>#REF!</v>
      </c>
      <c r="AE103" s="288">
        <f t="shared" si="107"/>
        <v>0</v>
      </c>
      <c r="AF103" s="290" t="e">
        <f t="shared" si="108"/>
        <v>#REF!</v>
      </c>
      <c r="AG103" s="288">
        <f t="shared" si="109"/>
        <v>0</v>
      </c>
      <c r="AH103" s="290" t="e">
        <f t="shared" si="110"/>
        <v>#REF!</v>
      </c>
      <c r="AI103" s="288"/>
      <c r="AJ103" s="290" t="e">
        <f t="shared" si="111"/>
        <v>#REF!</v>
      </c>
      <c r="AK103" s="288"/>
      <c r="AL103" s="290" t="e">
        <f t="shared" si="112"/>
        <v>#REF!</v>
      </c>
      <c r="AM103" s="288">
        <f t="shared" si="113"/>
        <v>0</v>
      </c>
      <c r="AN103" s="290" t="e">
        <f t="shared" si="114"/>
        <v>#REF!</v>
      </c>
      <c r="AO103" s="349"/>
    </row>
    <row r="104" spans="2:41" s="345" customFormat="1" ht="30" hidden="1" customHeight="1">
      <c r="B104" s="346"/>
      <c r="C104" s="309">
        <f t="shared" si="115"/>
        <v>73</v>
      </c>
      <c r="D104" s="329" t="s">
        <v>472</v>
      </c>
      <c r="E104" s="329" t="s">
        <v>392</v>
      </c>
      <c r="F104" s="329"/>
      <c r="G104" s="343" t="s">
        <v>354</v>
      </c>
      <c r="H104" s="329" t="s">
        <v>81</v>
      </c>
      <c r="I104" s="289" t="e">
        <f>#REF!</f>
        <v>#REF!</v>
      </c>
      <c r="J104" s="288"/>
      <c r="K104" s="290" t="e">
        <f t="shared" si="96"/>
        <v>#REF!</v>
      </c>
      <c r="L104" s="288"/>
      <c r="M104" s="290" t="e">
        <f t="shared" si="97"/>
        <v>#REF!</v>
      </c>
      <c r="N104" s="288"/>
      <c r="O104" s="290" t="e">
        <f t="shared" si="98"/>
        <v>#REF!</v>
      </c>
      <c r="P104" s="288"/>
      <c r="Q104" s="290" t="e">
        <f t="shared" si="99"/>
        <v>#REF!</v>
      </c>
      <c r="R104" s="288"/>
      <c r="S104" s="290" t="e">
        <f t="shared" si="100"/>
        <v>#REF!</v>
      </c>
      <c r="T104" s="288">
        <f t="shared" si="101"/>
        <v>0</v>
      </c>
      <c r="U104" s="437"/>
      <c r="V104" s="290" t="e">
        <f t="shared" si="102"/>
        <v>#REF!</v>
      </c>
      <c r="W104" s="288"/>
      <c r="X104" s="290" t="e">
        <f t="shared" si="103"/>
        <v>#REF!</v>
      </c>
      <c r="Y104" s="288"/>
      <c r="Z104" s="290" t="e">
        <f t="shared" si="104"/>
        <v>#REF!</v>
      </c>
      <c r="AA104" s="288"/>
      <c r="AB104" s="290" t="e">
        <f t="shared" si="105"/>
        <v>#REF!</v>
      </c>
      <c r="AC104" s="288"/>
      <c r="AD104" s="290" t="e">
        <f t="shared" si="106"/>
        <v>#REF!</v>
      </c>
      <c r="AE104" s="288">
        <f t="shared" si="107"/>
        <v>0</v>
      </c>
      <c r="AF104" s="290" t="e">
        <f t="shared" si="108"/>
        <v>#REF!</v>
      </c>
      <c r="AG104" s="288">
        <f t="shared" si="109"/>
        <v>0</v>
      </c>
      <c r="AH104" s="290" t="e">
        <f t="shared" si="110"/>
        <v>#REF!</v>
      </c>
      <c r="AI104" s="288"/>
      <c r="AJ104" s="290" t="e">
        <f t="shared" si="111"/>
        <v>#REF!</v>
      </c>
      <c r="AK104" s="288"/>
      <c r="AL104" s="290" t="e">
        <f t="shared" si="112"/>
        <v>#REF!</v>
      </c>
      <c r="AM104" s="288">
        <f t="shared" si="113"/>
        <v>0</v>
      </c>
      <c r="AN104" s="290" t="e">
        <f t="shared" si="114"/>
        <v>#REF!</v>
      </c>
      <c r="AO104" s="349"/>
    </row>
    <row r="105" spans="2:41" s="345" customFormat="1" ht="30" hidden="1" customHeight="1">
      <c r="B105" s="346"/>
      <c r="C105" s="309">
        <f t="shared" si="115"/>
        <v>74</v>
      </c>
      <c r="D105" s="329" t="s">
        <v>473</v>
      </c>
      <c r="E105" s="329" t="s">
        <v>392</v>
      </c>
      <c r="F105" s="329"/>
      <c r="G105" s="343" t="s">
        <v>355</v>
      </c>
      <c r="H105" s="329" t="s">
        <v>81</v>
      </c>
      <c r="I105" s="289" t="e">
        <f>#REF!</f>
        <v>#REF!</v>
      </c>
      <c r="J105" s="288"/>
      <c r="K105" s="290" t="e">
        <f t="shared" si="96"/>
        <v>#REF!</v>
      </c>
      <c r="L105" s="288"/>
      <c r="M105" s="290" t="e">
        <f t="shared" si="97"/>
        <v>#REF!</v>
      </c>
      <c r="N105" s="288"/>
      <c r="O105" s="290" t="e">
        <f t="shared" si="98"/>
        <v>#REF!</v>
      </c>
      <c r="P105" s="288"/>
      <c r="Q105" s="290" t="e">
        <f t="shared" si="99"/>
        <v>#REF!</v>
      </c>
      <c r="R105" s="288"/>
      <c r="S105" s="290" t="e">
        <f t="shared" si="100"/>
        <v>#REF!</v>
      </c>
      <c r="T105" s="288">
        <f t="shared" si="101"/>
        <v>0</v>
      </c>
      <c r="U105" s="437"/>
      <c r="V105" s="290" t="e">
        <f t="shared" si="102"/>
        <v>#REF!</v>
      </c>
      <c r="W105" s="288"/>
      <c r="X105" s="290" t="e">
        <f t="shared" si="103"/>
        <v>#REF!</v>
      </c>
      <c r="Y105" s="288"/>
      <c r="Z105" s="290" t="e">
        <f t="shared" si="104"/>
        <v>#REF!</v>
      </c>
      <c r="AA105" s="288"/>
      <c r="AB105" s="290" t="e">
        <f t="shared" si="105"/>
        <v>#REF!</v>
      </c>
      <c r="AC105" s="288"/>
      <c r="AD105" s="290" t="e">
        <f t="shared" si="106"/>
        <v>#REF!</v>
      </c>
      <c r="AE105" s="288">
        <f t="shared" si="107"/>
        <v>0</v>
      </c>
      <c r="AF105" s="290" t="e">
        <f t="shared" si="108"/>
        <v>#REF!</v>
      </c>
      <c r="AG105" s="288">
        <f t="shared" si="109"/>
        <v>0</v>
      </c>
      <c r="AH105" s="290" t="e">
        <f t="shared" si="110"/>
        <v>#REF!</v>
      </c>
      <c r="AI105" s="288"/>
      <c r="AJ105" s="290" t="e">
        <f t="shared" si="111"/>
        <v>#REF!</v>
      </c>
      <c r="AK105" s="288"/>
      <c r="AL105" s="290" t="e">
        <f t="shared" si="112"/>
        <v>#REF!</v>
      </c>
      <c r="AM105" s="288">
        <f t="shared" si="113"/>
        <v>0</v>
      </c>
      <c r="AN105" s="290" t="e">
        <f t="shared" si="114"/>
        <v>#REF!</v>
      </c>
      <c r="AO105" s="349"/>
    </row>
    <row r="106" spans="2:41" s="345" customFormat="1" ht="30" hidden="1" customHeight="1">
      <c r="B106" s="346"/>
      <c r="C106" s="309">
        <f t="shared" si="115"/>
        <v>75</v>
      </c>
      <c r="D106" s="329" t="s">
        <v>474</v>
      </c>
      <c r="E106" s="329" t="s">
        <v>392</v>
      </c>
      <c r="F106" s="329"/>
      <c r="G106" s="343" t="s">
        <v>356</v>
      </c>
      <c r="H106" s="329" t="s">
        <v>81</v>
      </c>
      <c r="I106" s="289" t="e">
        <f>#REF!</f>
        <v>#REF!</v>
      </c>
      <c r="J106" s="288"/>
      <c r="K106" s="290" t="e">
        <f t="shared" si="96"/>
        <v>#REF!</v>
      </c>
      <c r="L106" s="288"/>
      <c r="M106" s="290" t="e">
        <f t="shared" si="97"/>
        <v>#REF!</v>
      </c>
      <c r="N106" s="288"/>
      <c r="O106" s="290" t="e">
        <f t="shared" si="98"/>
        <v>#REF!</v>
      </c>
      <c r="P106" s="288"/>
      <c r="Q106" s="290" t="e">
        <f t="shared" si="99"/>
        <v>#REF!</v>
      </c>
      <c r="R106" s="288"/>
      <c r="S106" s="290" t="e">
        <f t="shared" si="100"/>
        <v>#REF!</v>
      </c>
      <c r="T106" s="288">
        <f t="shared" si="101"/>
        <v>0</v>
      </c>
      <c r="U106" s="437"/>
      <c r="V106" s="290" t="e">
        <f t="shared" si="102"/>
        <v>#REF!</v>
      </c>
      <c r="W106" s="288"/>
      <c r="X106" s="290" t="e">
        <f t="shared" si="103"/>
        <v>#REF!</v>
      </c>
      <c r="Y106" s="288"/>
      <c r="Z106" s="290" t="e">
        <f t="shared" si="104"/>
        <v>#REF!</v>
      </c>
      <c r="AA106" s="288"/>
      <c r="AB106" s="290" t="e">
        <f t="shared" si="105"/>
        <v>#REF!</v>
      </c>
      <c r="AC106" s="288"/>
      <c r="AD106" s="290" t="e">
        <f t="shared" si="106"/>
        <v>#REF!</v>
      </c>
      <c r="AE106" s="288">
        <f t="shared" si="107"/>
        <v>0</v>
      </c>
      <c r="AF106" s="290" t="e">
        <f t="shared" si="108"/>
        <v>#REF!</v>
      </c>
      <c r="AG106" s="288">
        <f t="shared" si="109"/>
        <v>0</v>
      </c>
      <c r="AH106" s="290" t="e">
        <f t="shared" si="110"/>
        <v>#REF!</v>
      </c>
      <c r="AI106" s="288"/>
      <c r="AJ106" s="290" t="e">
        <f t="shared" si="111"/>
        <v>#REF!</v>
      </c>
      <c r="AK106" s="288"/>
      <c r="AL106" s="290" t="e">
        <f t="shared" si="112"/>
        <v>#REF!</v>
      </c>
      <c r="AM106" s="288">
        <f t="shared" si="113"/>
        <v>0</v>
      </c>
      <c r="AN106" s="290" t="e">
        <f t="shared" si="114"/>
        <v>#REF!</v>
      </c>
      <c r="AO106" s="349"/>
    </row>
    <row r="107" spans="2:41" s="345" customFormat="1" ht="30" hidden="1" customHeight="1">
      <c r="B107" s="346"/>
      <c r="C107" s="309">
        <f t="shared" si="115"/>
        <v>76</v>
      </c>
      <c r="D107" s="329" t="s">
        <v>688</v>
      </c>
      <c r="E107" s="329" t="s">
        <v>392</v>
      </c>
      <c r="F107" s="329"/>
      <c r="G107" s="343" t="s">
        <v>689</v>
      </c>
      <c r="H107" s="329" t="s">
        <v>81</v>
      </c>
      <c r="I107" s="289" t="e">
        <f>#REF!</f>
        <v>#REF!</v>
      </c>
      <c r="J107" s="288"/>
      <c r="K107" s="290" t="e">
        <f t="shared" si="96"/>
        <v>#REF!</v>
      </c>
      <c r="L107" s="288"/>
      <c r="M107" s="290" t="e">
        <f t="shared" si="97"/>
        <v>#REF!</v>
      </c>
      <c r="N107" s="288"/>
      <c r="O107" s="290" t="e">
        <f t="shared" si="98"/>
        <v>#REF!</v>
      </c>
      <c r="P107" s="288"/>
      <c r="Q107" s="290" t="e">
        <f t="shared" si="99"/>
        <v>#REF!</v>
      </c>
      <c r="R107" s="288"/>
      <c r="S107" s="290" t="e">
        <f t="shared" si="100"/>
        <v>#REF!</v>
      </c>
      <c r="T107" s="288">
        <f t="shared" si="101"/>
        <v>0</v>
      </c>
      <c r="U107" s="437"/>
      <c r="V107" s="290" t="e">
        <f t="shared" si="102"/>
        <v>#REF!</v>
      </c>
      <c r="W107" s="288"/>
      <c r="X107" s="290" t="e">
        <f t="shared" si="103"/>
        <v>#REF!</v>
      </c>
      <c r="Y107" s="288"/>
      <c r="Z107" s="290" t="e">
        <f t="shared" si="104"/>
        <v>#REF!</v>
      </c>
      <c r="AA107" s="288"/>
      <c r="AB107" s="290" t="e">
        <f t="shared" si="105"/>
        <v>#REF!</v>
      </c>
      <c r="AC107" s="288"/>
      <c r="AD107" s="290" t="e">
        <f t="shared" si="106"/>
        <v>#REF!</v>
      </c>
      <c r="AE107" s="288">
        <f t="shared" si="107"/>
        <v>0</v>
      </c>
      <c r="AF107" s="290" t="e">
        <f t="shared" si="108"/>
        <v>#REF!</v>
      </c>
      <c r="AG107" s="288">
        <f t="shared" si="109"/>
        <v>0</v>
      </c>
      <c r="AH107" s="290" t="e">
        <f t="shared" si="110"/>
        <v>#REF!</v>
      </c>
      <c r="AI107" s="288"/>
      <c r="AJ107" s="290" t="e">
        <f t="shared" si="111"/>
        <v>#REF!</v>
      </c>
      <c r="AK107" s="288"/>
      <c r="AL107" s="290" t="e">
        <f t="shared" si="112"/>
        <v>#REF!</v>
      </c>
      <c r="AM107" s="288">
        <f t="shared" si="113"/>
        <v>0</v>
      </c>
      <c r="AN107" s="290" t="e">
        <f t="shared" si="114"/>
        <v>#REF!</v>
      </c>
      <c r="AO107" s="349"/>
    </row>
    <row r="108" spans="2:41" s="345" customFormat="1" ht="30" hidden="1" customHeight="1">
      <c r="B108" s="346"/>
      <c r="C108" s="309">
        <f t="shared" si="115"/>
        <v>77</v>
      </c>
      <c r="D108" s="329" t="s">
        <v>482</v>
      </c>
      <c r="E108" s="329" t="s">
        <v>392</v>
      </c>
      <c r="F108" s="329"/>
      <c r="G108" s="343" t="s">
        <v>481</v>
      </c>
      <c r="H108" s="329" t="s">
        <v>81</v>
      </c>
      <c r="I108" s="289" t="e">
        <f>#REF!</f>
        <v>#REF!</v>
      </c>
      <c r="J108" s="288"/>
      <c r="K108" s="290" t="e">
        <f t="shared" si="96"/>
        <v>#REF!</v>
      </c>
      <c r="L108" s="288"/>
      <c r="M108" s="290" t="e">
        <f t="shared" si="97"/>
        <v>#REF!</v>
      </c>
      <c r="N108" s="288"/>
      <c r="O108" s="290" t="e">
        <f t="shared" si="98"/>
        <v>#REF!</v>
      </c>
      <c r="P108" s="288"/>
      <c r="Q108" s="290" t="e">
        <f t="shared" si="99"/>
        <v>#REF!</v>
      </c>
      <c r="R108" s="288"/>
      <c r="S108" s="290" t="e">
        <f t="shared" si="100"/>
        <v>#REF!</v>
      </c>
      <c r="T108" s="288">
        <f t="shared" si="101"/>
        <v>0</v>
      </c>
      <c r="U108" s="437"/>
      <c r="V108" s="290" t="e">
        <f t="shared" si="102"/>
        <v>#REF!</v>
      </c>
      <c r="W108" s="288"/>
      <c r="X108" s="290" t="e">
        <f t="shared" si="103"/>
        <v>#REF!</v>
      </c>
      <c r="Y108" s="288"/>
      <c r="Z108" s="290" t="e">
        <f t="shared" si="104"/>
        <v>#REF!</v>
      </c>
      <c r="AA108" s="288"/>
      <c r="AB108" s="290" t="e">
        <f t="shared" si="105"/>
        <v>#REF!</v>
      </c>
      <c r="AC108" s="288"/>
      <c r="AD108" s="290" t="e">
        <f t="shared" si="106"/>
        <v>#REF!</v>
      </c>
      <c r="AE108" s="288">
        <f t="shared" si="107"/>
        <v>0</v>
      </c>
      <c r="AF108" s="290" t="e">
        <f t="shared" si="108"/>
        <v>#REF!</v>
      </c>
      <c r="AG108" s="288">
        <f t="shared" si="109"/>
        <v>0</v>
      </c>
      <c r="AH108" s="290" t="e">
        <f t="shared" si="110"/>
        <v>#REF!</v>
      </c>
      <c r="AI108" s="288"/>
      <c r="AJ108" s="290" t="e">
        <f t="shared" si="111"/>
        <v>#REF!</v>
      </c>
      <c r="AK108" s="288"/>
      <c r="AL108" s="290" t="e">
        <f t="shared" si="112"/>
        <v>#REF!</v>
      </c>
      <c r="AM108" s="288">
        <f t="shared" si="113"/>
        <v>0</v>
      </c>
      <c r="AN108" s="290" t="e">
        <f t="shared" si="114"/>
        <v>#REF!</v>
      </c>
      <c r="AO108" s="349"/>
    </row>
    <row r="109" spans="2:41" s="345" customFormat="1" ht="30" hidden="1" customHeight="1">
      <c r="B109" s="346"/>
      <c r="C109" s="309">
        <f t="shared" si="115"/>
        <v>78</v>
      </c>
      <c r="D109" s="329" t="s">
        <v>346</v>
      </c>
      <c r="E109" s="329" t="s">
        <v>453</v>
      </c>
      <c r="F109" s="286"/>
      <c r="G109" s="343" t="s">
        <v>640</v>
      </c>
      <c r="H109" s="386" t="s">
        <v>111</v>
      </c>
      <c r="I109" s="289" t="e">
        <f>#REF!</f>
        <v>#REF!</v>
      </c>
      <c r="J109" s="288"/>
      <c r="K109" s="290" t="e">
        <f t="shared" si="96"/>
        <v>#REF!</v>
      </c>
      <c r="L109" s="288"/>
      <c r="M109" s="290" t="e">
        <f t="shared" si="97"/>
        <v>#REF!</v>
      </c>
      <c r="N109" s="288"/>
      <c r="O109" s="290" t="e">
        <f t="shared" si="98"/>
        <v>#REF!</v>
      </c>
      <c r="P109" s="288"/>
      <c r="Q109" s="290" t="e">
        <f t="shared" si="99"/>
        <v>#REF!</v>
      </c>
      <c r="R109" s="288"/>
      <c r="S109" s="290" t="e">
        <f t="shared" si="100"/>
        <v>#REF!</v>
      </c>
      <c r="T109" s="288">
        <f t="shared" si="101"/>
        <v>0</v>
      </c>
      <c r="U109" s="437"/>
      <c r="V109" s="290" t="e">
        <f t="shared" si="102"/>
        <v>#REF!</v>
      </c>
      <c r="W109" s="288"/>
      <c r="X109" s="290" t="e">
        <f t="shared" si="103"/>
        <v>#REF!</v>
      </c>
      <c r="Y109" s="288"/>
      <c r="Z109" s="290" t="e">
        <f t="shared" si="104"/>
        <v>#REF!</v>
      </c>
      <c r="AA109" s="288"/>
      <c r="AB109" s="290" t="e">
        <f t="shared" si="105"/>
        <v>#REF!</v>
      </c>
      <c r="AC109" s="288"/>
      <c r="AD109" s="290" t="e">
        <f t="shared" si="106"/>
        <v>#REF!</v>
      </c>
      <c r="AE109" s="288">
        <f t="shared" si="107"/>
        <v>0</v>
      </c>
      <c r="AF109" s="290" t="e">
        <f t="shared" si="108"/>
        <v>#REF!</v>
      </c>
      <c r="AG109" s="288">
        <f t="shared" si="109"/>
        <v>0</v>
      </c>
      <c r="AH109" s="290" t="e">
        <f t="shared" si="110"/>
        <v>#REF!</v>
      </c>
      <c r="AI109" s="288"/>
      <c r="AJ109" s="290" t="e">
        <f t="shared" si="111"/>
        <v>#REF!</v>
      </c>
      <c r="AK109" s="288"/>
      <c r="AL109" s="290" t="e">
        <f t="shared" si="112"/>
        <v>#REF!</v>
      </c>
      <c r="AM109" s="288">
        <f t="shared" si="113"/>
        <v>0</v>
      </c>
      <c r="AN109" s="290" t="e">
        <f t="shared" si="114"/>
        <v>#REF!</v>
      </c>
      <c r="AO109" s="349"/>
    </row>
    <row r="110" spans="2:41" s="345" customFormat="1" ht="30" hidden="1" customHeight="1">
      <c r="B110" s="346"/>
      <c r="C110" s="309">
        <f t="shared" si="115"/>
        <v>79</v>
      </c>
      <c r="D110" s="329" t="s">
        <v>401</v>
      </c>
      <c r="E110" s="329"/>
      <c r="F110" s="329" t="s">
        <v>401</v>
      </c>
      <c r="G110" s="343" t="s">
        <v>641</v>
      </c>
      <c r="H110" s="329" t="s">
        <v>111</v>
      </c>
      <c r="I110" s="289">
        <f>'630.1.1P'!N81</f>
        <v>1012343</v>
      </c>
      <c r="J110" s="288"/>
      <c r="K110" s="290">
        <f t="shared" si="96"/>
        <v>0</v>
      </c>
      <c r="L110" s="288"/>
      <c r="M110" s="290">
        <f t="shared" si="97"/>
        <v>0</v>
      </c>
      <c r="N110" s="288"/>
      <c r="O110" s="290">
        <f t="shared" si="98"/>
        <v>0</v>
      </c>
      <c r="P110" s="288"/>
      <c r="Q110" s="290">
        <f t="shared" si="99"/>
        <v>0</v>
      </c>
      <c r="R110" s="288"/>
      <c r="S110" s="290">
        <f t="shared" si="100"/>
        <v>0</v>
      </c>
      <c r="T110" s="288">
        <f t="shared" si="101"/>
        <v>0</v>
      </c>
      <c r="U110" s="437"/>
      <c r="V110" s="290">
        <f t="shared" si="102"/>
        <v>0</v>
      </c>
      <c r="W110" s="288"/>
      <c r="X110" s="290">
        <f t="shared" si="103"/>
        <v>0</v>
      </c>
      <c r="Y110" s="288"/>
      <c r="Z110" s="290">
        <f t="shared" si="104"/>
        <v>0</v>
      </c>
      <c r="AA110" s="288"/>
      <c r="AB110" s="290">
        <f t="shared" si="105"/>
        <v>0</v>
      </c>
      <c r="AC110" s="288"/>
      <c r="AD110" s="290">
        <f t="shared" si="106"/>
        <v>0</v>
      </c>
      <c r="AE110" s="288">
        <f t="shared" si="107"/>
        <v>0</v>
      </c>
      <c r="AF110" s="290">
        <f t="shared" si="108"/>
        <v>0</v>
      </c>
      <c r="AG110" s="288">
        <f t="shared" si="109"/>
        <v>0</v>
      </c>
      <c r="AH110" s="290">
        <f t="shared" si="110"/>
        <v>0</v>
      </c>
      <c r="AI110" s="288"/>
      <c r="AJ110" s="290">
        <f t="shared" si="111"/>
        <v>0</v>
      </c>
      <c r="AK110" s="288"/>
      <c r="AL110" s="290">
        <f t="shared" si="112"/>
        <v>0</v>
      </c>
      <c r="AM110" s="288">
        <f t="shared" si="113"/>
        <v>0</v>
      </c>
      <c r="AN110" s="290">
        <f t="shared" si="114"/>
        <v>0</v>
      </c>
      <c r="AO110" s="349"/>
    </row>
    <row r="111" spans="2:41" s="345" customFormat="1" ht="30" hidden="1" customHeight="1">
      <c r="B111" s="346"/>
      <c r="C111" s="309">
        <f t="shared" si="115"/>
        <v>80</v>
      </c>
      <c r="D111" s="329" t="s">
        <v>431</v>
      </c>
      <c r="E111" s="329"/>
      <c r="F111" s="329" t="s">
        <v>431</v>
      </c>
      <c r="G111" s="343" t="s">
        <v>642</v>
      </c>
      <c r="H111" s="386" t="s">
        <v>111</v>
      </c>
      <c r="I111" s="289" t="e">
        <f>#REF!</f>
        <v>#REF!</v>
      </c>
      <c r="J111" s="288"/>
      <c r="K111" s="290" t="e">
        <f t="shared" si="96"/>
        <v>#REF!</v>
      </c>
      <c r="L111" s="288"/>
      <c r="M111" s="290" t="e">
        <f t="shared" si="97"/>
        <v>#REF!</v>
      </c>
      <c r="N111" s="288"/>
      <c r="O111" s="290" t="e">
        <f t="shared" si="98"/>
        <v>#REF!</v>
      </c>
      <c r="P111" s="288"/>
      <c r="Q111" s="290" t="e">
        <f t="shared" si="99"/>
        <v>#REF!</v>
      </c>
      <c r="R111" s="288"/>
      <c r="S111" s="290" t="e">
        <f t="shared" si="100"/>
        <v>#REF!</v>
      </c>
      <c r="T111" s="288">
        <f t="shared" si="101"/>
        <v>0</v>
      </c>
      <c r="U111" s="437"/>
      <c r="V111" s="290" t="e">
        <f t="shared" si="102"/>
        <v>#REF!</v>
      </c>
      <c r="W111" s="288"/>
      <c r="X111" s="290" t="e">
        <f t="shared" si="103"/>
        <v>#REF!</v>
      </c>
      <c r="Y111" s="288"/>
      <c r="Z111" s="290" t="e">
        <f t="shared" si="104"/>
        <v>#REF!</v>
      </c>
      <c r="AA111" s="288"/>
      <c r="AB111" s="290" t="e">
        <f t="shared" si="105"/>
        <v>#REF!</v>
      </c>
      <c r="AC111" s="288"/>
      <c r="AD111" s="290" t="e">
        <f t="shared" si="106"/>
        <v>#REF!</v>
      </c>
      <c r="AE111" s="288">
        <f t="shared" si="107"/>
        <v>0</v>
      </c>
      <c r="AF111" s="290" t="e">
        <f t="shared" si="108"/>
        <v>#REF!</v>
      </c>
      <c r="AG111" s="288">
        <f t="shared" si="109"/>
        <v>0</v>
      </c>
      <c r="AH111" s="290" t="e">
        <f t="shared" si="110"/>
        <v>#REF!</v>
      </c>
      <c r="AI111" s="288"/>
      <c r="AJ111" s="290" t="e">
        <f t="shared" si="111"/>
        <v>#REF!</v>
      </c>
      <c r="AK111" s="288"/>
      <c r="AL111" s="290" t="e">
        <f t="shared" si="112"/>
        <v>#REF!</v>
      </c>
      <c r="AM111" s="288">
        <f t="shared" si="113"/>
        <v>0</v>
      </c>
      <c r="AN111" s="290" t="e">
        <f t="shared" si="114"/>
        <v>#REF!</v>
      </c>
      <c r="AO111" s="349"/>
    </row>
    <row r="112" spans="2:41" s="345" customFormat="1" ht="30" hidden="1" customHeight="1">
      <c r="B112" s="346"/>
      <c r="C112" s="309">
        <f t="shared" si="115"/>
        <v>81</v>
      </c>
      <c r="D112" s="329" t="s">
        <v>511</v>
      </c>
      <c r="E112" s="329"/>
      <c r="F112" s="329" t="s">
        <v>511</v>
      </c>
      <c r="G112" s="343" t="s">
        <v>643</v>
      </c>
      <c r="H112" s="386" t="s">
        <v>111</v>
      </c>
      <c r="I112" s="289" t="e">
        <f>#REF!</f>
        <v>#REF!</v>
      </c>
      <c r="J112" s="288"/>
      <c r="K112" s="290" t="e">
        <f t="shared" si="96"/>
        <v>#REF!</v>
      </c>
      <c r="L112" s="288"/>
      <c r="M112" s="290" t="e">
        <f t="shared" si="97"/>
        <v>#REF!</v>
      </c>
      <c r="N112" s="288"/>
      <c r="O112" s="290" t="e">
        <f t="shared" si="98"/>
        <v>#REF!</v>
      </c>
      <c r="P112" s="288"/>
      <c r="Q112" s="290" t="e">
        <f t="shared" si="99"/>
        <v>#REF!</v>
      </c>
      <c r="R112" s="288"/>
      <c r="S112" s="290" t="e">
        <f t="shared" si="100"/>
        <v>#REF!</v>
      </c>
      <c r="T112" s="288">
        <f t="shared" si="101"/>
        <v>0</v>
      </c>
      <c r="U112" s="437"/>
      <c r="V112" s="290" t="e">
        <f t="shared" si="102"/>
        <v>#REF!</v>
      </c>
      <c r="W112" s="288"/>
      <c r="X112" s="290" t="e">
        <f t="shared" si="103"/>
        <v>#REF!</v>
      </c>
      <c r="Y112" s="288"/>
      <c r="Z112" s="290" t="e">
        <f t="shared" si="104"/>
        <v>#REF!</v>
      </c>
      <c r="AA112" s="288"/>
      <c r="AB112" s="290" t="e">
        <f t="shared" si="105"/>
        <v>#REF!</v>
      </c>
      <c r="AC112" s="288"/>
      <c r="AD112" s="290" t="e">
        <f t="shared" si="106"/>
        <v>#REF!</v>
      </c>
      <c r="AE112" s="288">
        <f t="shared" si="107"/>
        <v>0</v>
      </c>
      <c r="AF112" s="290" t="e">
        <f t="shared" si="108"/>
        <v>#REF!</v>
      </c>
      <c r="AG112" s="288">
        <f t="shared" si="109"/>
        <v>0</v>
      </c>
      <c r="AH112" s="290" t="e">
        <f t="shared" si="110"/>
        <v>#REF!</v>
      </c>
      <c r="AI112" s="288"/>
      <c r="AJ112" s="290" t="e">
        <f t="shared" si="111"/>
        <v>#REF!</v>
      </c>
      <c r="AK112" s="288"/>
      <c r="AL112" s="290" t="e">
        <f t="shared" si="112"/>
        <v>#REF!</v>
      </c>
      <c r="AM112" s="288">
        <f t="shared" si="113"/>
        <v>0</v>
      </c>
      <c r="AN112" s="290" t="e">
        <f t="shared" si="114"/>
        <v>#REF!</v>
      </c>
      <c r="AO112" s="349"/>
    </row>
    <row r="113" spans="2:41" s="345" customFormat="1" ht="30" hidden="1" customHeight="1">
      <c r="B113" s="346"/>
      <c r="C113" s="309">
        <f t="shared" si="115"/>
        <v>82</v>
      </c>
      <c r="D113" s="329" t="s">
        <v>93</v>
      </c>
      <c r="E113" s="329" t="s">
        <v>453</v>
      </c>
      <c r="F113" s="329"/>
      <c r="G113" s="287" t="s">
        <v>644</v>
      </c>
      <c r="H113" s="285" t="s">
        <v>111</v>
      </c>
      <c r="I113" s="289" t="e">
        <f>+#REF!</f>
        <v>#REF!</v>
      </c>
      <c r="J113" s="288"/>
      <c r="K113" s="290" t="e">
        <f t="shared" si="96"/>
        <v>#REF!</v>
      </c>
      <c r="L113" s="288"/>
      <c r="M113" s="290" t="e">
        <f t="shared" si="97"/>
        <v>#REF!</v>
      </c>
      <c r="N113" s="288"/>
      <c r="O113" s="290" t="e">
        <f t="shared" si="98"/>
        <v>#REF!</v>
      </c>
      <c r="P113" s="288"/>
      <c r="Q113" s="290" t="e">
        <f t="shared" si="99"/>
        <v>#REF!</v>
      </c>
      <c r="R113" s="288"/>
      <c r="S113" s="290" t="e">
        <f t="shared" si="100"/>
        <v>#REF!</v>
      </c>
      <c r="T113" s="288">
        <f t="shared" si="101"/>
        <v>0</v>
      </c>
      <c r="U113" s="437"/>
      <c r="V113" s="290" t="e">
        <f t="shared" si="102"/>
        <v>#REF!</v>
      </c>
      <c r="W113" s="288"/>
      <c r="X113" s="290" t="e">
        <f t="shared" si="103"/>
        <v>#REF!</v>
      </c>
      <c r="Y113" s="288"/>
      <c r="Z113" s="290" t="e">
        <f t="shared" si="104"/>
        <v>#REF!</v>
      </c>
      <c r="AA113" s="288"/>
      <c r="AB113" s="290" t="e">
        <f t="shared" si="105"/>
        <v>#REF!</v>
      </c>
      <c r="AC113" s="288"/>
      <c r="AD113" s="290" t="e">
        <f t="shared" si="106"/>
        <v>#REF!</v>
      </c>
      <c r="AE113" s="288">
        <f t="shared" si="107"/>
        <v>0</v>
      </c>
      <c r="AF113" s="290" t="e">
        <f t="shared" si="108"/>
        <v>#REF!</v>
      </c>
      <c r="AG113" s="288">
        <f t="shared" si="109"/>
        <v>0</v>
      </c>
      <c r="AH113" s="290" t="e">
        <f t="shared" si="110"/>
        <v>#REF!</v>
      </c>
      <c r="AI113" s="288"/>
      <c r="AJ113" s="290" t="e">
        <f t="shared" si="111"/>
        <v>#REF!</v>
      </c>
      <c r="AK113" s="288"/>
      <c r="AL113" s="290" t="e">
        <f t="shared" si="112"/>
        <v>#REF!</v>
      </c>
      <c r="AM113" s="288">
        <f t="shared" si="113"/>
        <v>0</v>
      </c>
      <c r="AN113" s="290" t="e">
        <f t="shared" si="114"/>
        <v>#REF!</v>
      </c>
      <c r="AO113" s="349"/>
    </row>
    <row r="114" spans="2:41" s="345" customFormat="1" ht="30" hidden="1" customHeight="1">
      <c r="B114" s="346"/>
      <c r="C114" s="309">
        <f t="shared" si="115"/>
        <v>83</v>
      </c>
      <c r="D114" s="329" t="s">
        <v>421</v>
      </c>
      <c r="E114" s="329"/>
      <c r="F114" s="329" t="s">
        <v>421</v>
      </c>
      <c r="G114" s="343" t="s">
        <v>712</v>
      </c>
      <c r="H114" s="386" t="s">
        <v>111</v>
      </c>
      <c r="I114" s="289" t="e">
        <f>#REF!</f>
        <v>#REF!</v>
      </c>
      <c r="J114" s="288"/>
      <c r="K114" s="290" t="e">
        <f t="shared" si="96"/>
        <v>#REF!</v>
      </c>
      <c r="L114" s="288"/>
      <c r="M114" s="290" t="e">
        <f t="shared" si="97"/>
        <v>#REF!</v>
      </c>
      <c r="N114" s="288"/>
      <c r="O114" s="290" t="e">
        <f t="shared" si="98"/>
        <v>#REF!</v>
      </c>
      <c r="P114" s="288"/>
      <c r="Q114" s="290" t="e">
        <f t="shared" si="99"/>
        <v>#REF!</v>
      </c>
      <c r="R114" s="288"/>
      <c r="S114" s="290" t="e">
        <f t="shared" si="100"/>
        <v>#REF!</v>
      </c>
      <c r="T114" s="288">
        <f t="shared" si="101"/>
        <v>0</v>
      </c>
      <c r="U114" s="437"/>
      <c r="V114" s="290" t="e">
        <f t="shared" si="102"/>
        <v>#REF!</v>
      </c>
      <c r="W114" s="288"/>
      <c r="X114" s="290" t="e">
        <f t="shared" si="103"/>
        <v>#REF!</v>
      </c>
      <c r="Y114" s="288"/>
      <c r="Z114" s="290" t="e">
        <f t="shared" si="104"/>
        <v>#REF!</v>
      </c>
      <c r="AA114" s="288"/>
      <c r="AB114" s="290" t="e">
        <f t="shared" si="105"/>
        <v>#REF!</v>
      </c>
      <c r="AC114" s="288"/>
      <c r="AD114" s="290" t="e">
        <f t="shared" si="106"/>
        <v>#REF!</v>
      </c>
      <c r="AE114" s="288">
        <f t="shared" si="107"/>
        <v>0</v>
      </c>
      <c r="AF114" s="290" t="e">
        <f t="shared" si="108"/>
        <v>#REF!</v>
      </c>
      <c r="AG114" s="288">
        <f t="shared" si="109"/>
        <v>0</v>
      </c>
      <c r="AH114" s="290" t="e">
        <f t="shared" si="110"/>
        <v>#REF!</v>
      </c>
      <c r="AI114" s="288"/>
      <c r="AJ114" s="290" t="e">
        <f t="shared" si="111"/>
        <v>#REF!</v>
      </c>
      <c r="AK114" s="288"/>
      <c r="AL114" s="290" t="e">
        <f t="shared" si="112"/>
        <v>#REF!</v>
      </c>
      <c r="AM114" s="288">
        <f t="shared" si="113"/>
        <v>0</v>
      </c>
      <c r="AN114" s="290" t="e">
        <f t="shared" si="114"/>
        <v>#REF!</v>
      </c>
      <c r="AO114" s="349"/>
    </row>
    <row r="115" spans="2:41" s="345" customFormat="1" ht="30" hidden="1" customHeight="1">
      <c r="B115" s="346"/>
      <c r="C115" s="309">
        <f t="shared" si="115"/>
        <v>84</v>
      </c>
      <c r="D115" s="329" t="s">
        <v>423</v>
      </c>
      <c r="E115" s="329"/>
      <c r="F115" s="329" t="s">
        <v>423</v>
      </c>
      <c r="G115" s="343" t="s">
        <v>645</v>
      </c>
      <c r="H115" s="386" t="s">
        <v>111</v>
      </c>
      <c r="I115" s="289" t="e">
        <f>#REF!</f>
        <v>#REF!</v>
      </c>
      <c r="J115" s="288"/>
      <c r="K115" s="290" t="e">
        <f t="shared" si="96"/>
        <v>#REF!</v>
      </c>
      <c r="L115" s="288"/>
      <c r="M115" s="290" t="e">
        <f t="shared" si="97"/>
        <v>#REF!</v>
      </c>
      <c r="N115" s="288"/>
      <c r="O115" s="290" t="e">
        <f t="shared" si="98"/>
        <v>#REF!</v>
      </c>
      <c r="P115" s="288"/>
      <c r="Q115" s="290" t="e">
        <f t="shared" si="99"/>
        <v>#REF!</v>
      </c>
      <c r="R115" s="288"/>
      <c r="S115" s="290" t="e">
        <f t="shared" si="100"/>
        <v>#REF!</v>
      </c>
      <c r="T115" s="288">
        <f t="shared" si="101"/>
        <v>0</v>
      </c>
      <c r="U115" s="437"/>
      <c r="V115" s="290" t="e">
        <f t="shared" si="102"/>
        <v>#REF!</v>
      </c>
      <c r="W115" s="288"/>
      <c r="X115" s="290" t="e">
        <f t="shared" si="103"/>
        <v>#REF!</v>
      </c>
      <c r="Y115" s="288"/>
      <c r="Z115" s="290" t="e">
        <f t="shared" si="104"/>
        <v>#REF!</v>
      </c>
      <c r="AA115" s="288"/>
      <c r="AB115" s="290" t="e">
        <f t="shared" si="105"/>
        <v>#REF!</v>
      </c>
      <c r="AC115" s="288"/>
      <c r="AD115" s="290" t="e">
        <f t="shared" si="106"/>
        <v>#REF!</v>
      </c>
      <c r="AE115" s="288">
        <f t="shared" si="107"/>
        <v>0</v>
      </c>
      <c r="AF115" s="290" t="e">
        <f t="shared" si="108"/>
        <v>#REF!</v>
      </c>
      <c r="AG115" s="288">
        <f t="shared" si="109"/>
        <v>0</v>
      </c>
      <c r="AH115" s="290" t="e">
        <f t="shared" si="110"/>
        <v>#REF!</v>
      </c>
      <c r="AI115" s="288"/>
      <c r="AJ115" s="290" t="e">
        <f t="shared" si="111"/>
        <v>#REF!</v>
      </c>
      <c r="AK115" s="288"/>
      <c r="AL115" s="290" t="e">
        <f t="shared" si="112"/>
        <v>#REF!</v>
      </c>
      <c r="AM115" s="288">
        <f t="shared" si="113"/>
        <v>0</v>
      </c>
      <c r="AN115" s="290" t="e">
        <f t="shared" si="114"/>
        <v>#REF!</v>
      </c>
      <c r="AO115" s="349"/>
    </row>
    <row r="116" spans="2:41" s="345" customFormat="1" ht="30" hidden="1" customHeight="1">
      <c r="B116" s="346"/>
      <c r="C116" s="309">
        <f t="shared" si="115"/>
        <v>85</v>
      </c>
      <c r="D116" s="329" t="s">
        <v>424</v>
      </c>
      <c r="E116" s="329"/>
      <c r="F116" s="329" t="s">
        <v>424</v>
      </c>
      <c r="G116" s="343" t="s">
        <v>646</v>
      </c>
      <c r="H116" s="386" t="s">
        <v>111</v>
      </c>
      <c r="I116" s="289">
        <f>'630.3.4P'!N80</f>
        <v>815418</v>
      </c>
      <c r="J116" s="288"/>
      <c r="K116" s="290">
        <f t="shared" si="96"/>
        <v>0</v>
      </c>
      <c r="L116" s="288"/>
      <c r="M116" s="290">
        <f t="shared" si="97"/>
        <v>0</v>
      </c>
      <c r="N116" s="288"/>
      <c r="O116" s="290">
        <f t="shared" si="98"/>
        <v>0</v>
      </c>
      <c r="P116" s="288"/>
      <c r="Q116" s="290">
        <f t="shared" si="99"/>
        <v>0</v>
      </c>
      <c r="R116" s="288"/>
      <c r="S116" s="290">
        <f t="shared" si="100"/>
        <v>0</v>
      </c>
      <c r="T116" s="288">
        <f t="shared" si="101"/>
        <v>0</v>
      </c>
      <c r="U116" s="437"/>
      <c r="V116" s="290">
        <f t="shared" si="102"/>
        <v>0</v>
      </c>
      <c r="W116" s="288"/>
      <c r="X116" s="290">
        <f t="shared" si="103"/>
        <v>0</v>
      </c>
      <c r="Y116" s="288"/>
      <c r="Z116" s="290">
        <f t="shared" si="104"/>
        <v>0</v>
      </c>
      <c r="AA116" s="288"/>
      <c r="AB116" s="290">
        <f t="shared" si="105"/>
        <v>0</v>
      </c>
      <c r="AC116" s="288"/>
      <c r="AD116" s="290">
        <f t="shared" si="106"/>
        <v>0</v>
      </c>
      <c r="AE116" s="288">
        <f t="shared" si="107"/>
        <v>0</v>
      </c>
      <c r="AF116" s="290">
        <f t="shared" si="108"/>
        <v>0</v>
      </c>
      <c r="AG116" s="288">
        <f t="shared" si="109"/>
        <v>0</v>
      </c>
      <c r="AH116" s="290">
        <f t="shared" si="110"/>
        <v>0</v>
      </c>
      <c r="AI116" s="288"/>
      <c r="AJ116" s="290">
        <f t="shared" si="111"/>
        <v>0</v>
      </c>
      <c r="AK116" s="288"/>
      <c r="AL116" s="290">
        <f t="shared" si="112"/>
        <v>0</v>
      </c>
      <c r="AM116" s="288">
        <f t="shared" si="113"/>
        <v>0</v>
      </c>
      <c r="AN116" s="290">
        <f t="shared" si="114"/>
        <v>0</v>
      </c>
      <c r="AO116" s="349"/>
    </row>
    <row r="117" spans="2:41" s="345" customFormat="1" ht="30" hidden="1" customHeight="1">
      <c r="B117" s="346"/>
      <c r="C117" s="309">
        <f t="shared" si="115"/>
        <v>86</v>
      </c>
      <c r="D117" s="329" t="s">
        <v>422</v>
      </c>
      <c r="E117" s="329"/>
      <c r="F117" s="329" t="s">
        <v>422</v>
      </c>
      <c r="G117" s="343" t="s">
        <v>647</v>
      </c>
      <c r="H117" s="329" t="s">
        <v>111</v>
      </c>
      <c r="I117" s="289" t="e">
        <f>#REF!</f>
        <v>#REF!</v>
      </c>
      <c r="J117" s="288"/>
      <c r="K117" s="290" t="e">
        <f t="shared" si="96"/>
        <v>#REF!</v>
      </c>
      <c r="L117" s="288"/>
      <c r="M117" s="290" t="e">
        <f t="shared" si="97"/>
        <v>#REF!</v>
      </c>
      <c r="N117" s="288"/>
      <c r="O117" s="290" t="e">
        <f t="shared" si="98"/>
        <v>#REF!</v>
      </c>
      <c r="P117" s="288"/>
      <c r="Q117" s="290" t="e">
        <f t="shared" si="99"/>
        <v>#REF!</v>
      </c>
      <c r="R117" s="288"/>
      <c r="S117" s="290" t="e">
        <f t="shared" si="100"/>
        <v>#REF!</v>
      </c>
      <c r="T117" s="288">
        <f t="shared" si="101"/>
        <v>0</v>
      </c>
      <c r="U117" s="437"/>
      <c r="V117" s="290" t="e">
        <f t="shared" si="102"/>
        <v>#REF!</v>
      </c>
      <c r="W117" s="288"/>
      <c r="X117" s="290" t="e">
        <f t="shared" si="103"/>
        <v>#REF!</v>
      </c>
      <c r="Y117" s="288"/>
      <c r="Z117" s="290" t="e">
        <f t="shared" si="104"/>
        <v>#REF!</v>
      </c>
      <c r="AA117" s="288"/>
      <c r="AB117" s="290" t="e">
        <f t="shared" si="105"/>
        <v>#REF!</v>
      </c>
      <c r="AC117" s="288"/>
      <c r="AD117" s="290" t="e">
        <f t="shared" si="106"/>
        <v>#REF!</v>
      </c>
      <c r="AE117" s="288">
        <f t="shared" si="107"/>
        <v>0</v>
      </c>
      <c r="AF117" s="290" t="e">
        <f t="shared" si="108"/>
        <v>#REF!</v>
      </c>
      <c r="AG117" s="288">
        <f t="shared" ref="AG117:AG148" si="116">T117+AE117</f>
        <v>0</v>
      </c>
      <c r="AH117" s="290" t="e">
        <f t="shared" ref="AH117:AH148" si="117">V117+AF117</f>
        <v>#REF!</v>
      </c>
      <c r="AI117" s="288"/>
      <c r="AJ117" s="290" t="e">
        <f t="shared" si="111"/>
        <v>#REF!</v>
      </c>
      <c r="AK117" s="288"/>
      <c r="AL117" s="290" t="e">
        <f t="shared" si="112"/>
        <v>#REF!</v>
      </c>
      <c r="AM117" s="288">
        <f t="shared" si="113"/>
        <v>0</v>
      </c>
      <c r="AN117" s="290" t="e">
        <f t="shared" si="114"/>
        <v>#REF!</v>
      </c>
      <c r="AO117" s="349"/>
    </row>
    <row r="118" spans="2:41" s="345" customFormat="1" ht="30" hidden="1" customHeight="1">
      <c r="B118" s="346"/>
      <c r="C118" s="309">
        <f t="shared" si="115"/>
        <v>87</v>
      </c>
      <c r="D118" s="329" t="s">
        <v>577</v>
      </c>
      <c r="E118" s="329"/>
      <c r="F118" s="329" t="s">
        <v>577</v>
      </c>
      <c r="G118" s="343" t="s">
        <v>347</v>
      </c>
      <c r="H118" s="329" t="s">
        <v>111</v>
      </c>
      <c r="I118" s="289" t="e">
        <f>#REF!</f>
        <v>#REF!</v>
      </c>
      <c r="J118" s="288"/>
      <c r="K118" s="290" t="e">
        <f t="shared" si="96"/>
        <v>#REF!</v>
      </c>
      <c r="L118" s="288"/>
      <c r="M118" s="290" t="e">
        <f t="shared" si="97"/>
        <v>#REF!</v>
      </c>
      <c r="N118" s="288"/>
      <c r="O118" s="290" t="e">
        <f t="shared" si="98"/>
        <v>#REF!</v>
      </c>
      <c r="P118" s="288"/>
      <c r="Q118" s="290" t="e">
        <f t="shared" si="99"/>
        <v>#REF!</v>
      </c>
      <c r="R118" s="288"/>
      <c r="S118" s="290" t="e">
        <f t="shared" si="100"/>
        <v>#REF!</v>
      </c>
      <c r="T118" s="288">
        <f t="shared" si="101"/>
        <v>0</v>
      </c>
      <c r="U118" s="437"/>
      <c r="V118" s="290" t="e">
        <f t="shared" si="102"/>
        <v>#REF!</v>
      </c>
      <c r="W118" s="288"/>
      <c r="X118" s="290" t="e">
        <f t="shared" si="103"/>
        <v>#REF!</v>
      </c>
      <c r="Y118" s="288"/>
      <c r="Z118" s="290" t="e">
        <f t="shared" si="104"/>
        <v>#REF!</v>
      </c>
      <c r="AA118" s="288"/>
      <c r="AB118" s="290" t="e">
        <f t="shared" si="105"/>
        <v>#REF!</v>
      </c>
      <c r="AC118" s="288"/>
      <c r="AD118" s="290" t="e">
        <f t="shared" si="106"/>
        <v>#REF!</v>
      </c>
      <c r="AE118" s="288">
        <f t="shared" si="107"/>
        <v>0</v>
      </c>
      <c r="AF118" s="290" t="e">
        <f t="shared" si="108"/>
        <v>#REF!</v>
      </c>
      <c r="AG118" s="288">
        <f t="shared" si="116"/>
        <v>0</v>
      </c>
      <c r="AH118" s="290" t="e">
        <f t="shared" si="117"/>
        <v>#REF!</v>
      </c>
      <c r="AI118" s="288"/>
      <c r="AJ118" s="290" t="e">
        <f t="shared" si="111"/>
        <v>#REF!</v>
      </c>
      <c r="AK118" s="288"/>
      <c r="AL118" s="290" t="e">
        <f t="shared" si="112"/>
        <v>#REF!</v>
      </c>
      <c r="AM118" s="288">
        <f t="shared" si="113"/>
        <v>0</v>
      </c>
      <c r="AN118" s="290" t="e">
        <f t="shared" si="114"/>
        <v>#REF!</v>
      </c>
      <c r="AO118" s="349"/>
    </row>
    <row r="119" spans="2:41" s="345" customFormat="1" ht="30" hidden="1" customHeight="1">
      <c r="B119" s="346"/>
      <c r="C119" s="309">
        <f t="shared" si="115"/>
        <v>88</v>
      </c>
      <c r="D119" s="329" t="s">
        <v>578</v>
      </c>
      <c r="E119" s="329"/>
      <c r="F119" s="329" t="s">
        <v>578</v>
      </c>
      <c r="G119" s="343" t="s">
        <v>348</v>
      </c>
      <c r="H119" s="329" t="s">
        <v>111</v>
      </c>
      <c r="I119" s="289" t="e">
        <f>#REF!</f>
        <v>#REF!</v>
      </c>
      <c r="J119" s="288"/>
      <c r="K119" s="290" t="e">
        <f t="shared" si="96"/>
        <v>#REF!</v>
      </c>
      <c r="L119" s="288"/>
      <c r="M119" s="290" t="e">
        <f t="shared" si="97"/>
        <v>#REF!</v>
      </c>
      <c r="N119" s="288"/>
      <c r="O119" s="290" t="e">
        <f t="shared" si="98"/>
        <v>#REF!</v>
      </c>
      <c r="P119" s="288"/>
      <c r="Q119" s="290" t="e">
        <f t="shared" si="99"/>
        <v>#REF!</v>
      </c>
      <c r="R119" s="288"/>
      <c r="S119" s="290" t="e">
        <f t="shared" si="100"/>
        <v>#REF!</v>
      </c>
      <c r="T119" s="288">
        <f t="shared" si="101"/>
        <v>0</v>
      </c>
      <c r="U119" s="437"/>
      <c r="V119" s="290" t="e">
        <f t="shared" si="102"/>
        <v>#REF!</v>
      </c>
      <c r="W119" s="288"/>
      <c r="X119" s="290" t="e">
        <f t="shared" si="103"/>
        <v>#REF!</v>
      </c>
      <c r="Y119" s="288"/>
      <c r="Z119" s="290" t="e">
        <f t="shared" si="104"/>
        <v>#REF!</v>
      </c>
      <c r="AA119" s="288"/>
      <c r="AB119" s="290" t="e">
        <f t="shared" si="105"/>
        <v>#REF!</v>
      </c>
      <c r="AC119" s="288"/>
      <c r="AD119" s="290" t="e">
        <f t="shared" si="106"/>
        <v>#REF!</v>
      </c>
      <c r="AE119" s="288">
        <f t="shared" si="107"/>
        <v>0</v>
      </c>
      <c r="AF119" s="290" t="e">
        <f t="shared" si="108"/>
        <v>#REF!</v>
      </c>
      <c r="AG119" s="288">
        <f t="shared" si="116"/>
        <v>0</v>
      </c>
      <c r="AH119" s="290" t="e">
        <f t="shared" si="117"/>
        <v>#REF!</v>
      </c>
      <c r="AI119" s="288"/>
      <c r="AJ119" s="290" t="e">
        <f t="shared" si="111"/>
        <v>#REF!</v>
      </c>
      <c r="AK119" s="288"/>
      <c r="AL119" s="290" t="e">
        <f t="shared" si="112"/>
        <v>#REF!</v>
      </c>
      <c r="AM119" s="288">
        <f t="shared" si="113"/>
        <v>0</v>
      </c>
      <c r="AN119" s="290" t="e">
        <f t="shared" si="114"/>
        <v>#REF!</v>
      </c>
      <c r="AO119" s="349"/>
    </row>
    <row r="120" spans="2:41" s="345" customFormat="1" ht="30" customHeight="1">
      <c r="B120" s="346"/>
      <c r="C120" s="309">
        <f t="shared" si="115"/>
        <v>89</v>
      </c>
      <c r="D120" s="329" t="s">
        <v>16</v>
      </c>
      <c r="E120" s="455" t="s">
        <v>453</v>
      </c>
      <c r="F120" s="329"/>
      <c r="G120" s="287" t="s">
        <v>639</v>
      </c>
      <c r="H120" s="285" t="s">
        <v>111</v>
      </c>
      <c r="I120" s="289">
        <f>+'630.4'!N81</f>
        <v>564214</v>
      </c>
      <c r="J120" s="288">
        <f>'[112]CANTIDADES TOTALIZADAS'!$AF$58</f>
        <v>20.573999999999998</v>
      </c>
      <c r="K120" s="290">
        <f t="shared" si="96"/>
        <v>11608138.835999999</v>
      </c>
      <c r="L120" s="288"/>
      <c r="M120" s="290">
        <f t="shared" si="97"/>
        <v>0</v>
      </c>
      <c r="N120" s="288">
        <f>'[112]CANTIDADES TOTALIZADAS'!$AU$58</f>
        <v>162.03</v>
      </c>
      <c r="O120" s="290">
        <f t="shared" si="98"/>
        <v>91419594.420000002</v>
      </c>
      <c r="P120" s="288"/>
      <c r="Q120" s="290">
        <f t="shared" si="99"/>
        <v>0</v>
      </c>
      <c r="R120" s="288"/>
      <c r="S120" s="290">
        <f t="shared" si="100"/>
        <v>0</v>
      </c>
      <c r="T120" s="288">
        <f t="shared" si="101"/>
        <v>182.60399999999998</v>
      </c>
      <c r="U120" s="437">
        <f>'[112]CANTIDADES TOTALIZADAS'!$BJ$58</f>
        <v>182.60399999999998</v>
      </c>
      <c r="V120" s="290">
        <f t="shared" si="102"/>
        <v>103027733.256</v>
      </c>
      <c r="W120" s="288"/>
      <c r="X120" s="290">
        <f t="shared" si="103"/>
        <v>0</v>
      </c>
      <c r="Y120" s="288">
        <f>10*(1.5*0.4*15)</f>
        <v>90.000000000000014</v>
      </c>
      <c r="Z120" s="290">
        <f t="shared" si="104"/>
        <v>50779260.000000007</v>
      </c>
      <c r="AA120" s="288">
        <v>350</v>
      </c>
      <c r="AB120" s="290">
        <f t="shared" si="105"/>
        <v>197474900</v>
      </c>
      <c r="AC120" s="288">
        <f>20*(1.5*0.4*12)</f>
        <v>144.00000000000003</v>
      </c>
      <c r="AD120" s="290">
        <f t="shared" si="106"/>
        <v>81246816.000000015</v>
      </c>
      <c r="AE120" s="288">
        <f t="shared" si="107"/>
        <v>584</v>
      </c>
      <c r="AF120" s="290">
        <f t="shared" si="108"/>
        <v>329500976</v>
      </c>
      <c r="AG120" s="288">
        <f t="shared" si="116"/>
        <v>766.60400000000004</v>
      </c>
      <c r="AH120" s="290">
        <f t="shared" si="117"/>
        <v>432528709.25599998</v>
      </c>
      <c r="AI120" s="288">
        <f>'CANTIDADES TOTALIZADAS'!AD58</f>
        <v>20.573999999999998</v>
      </c>
      <c r="AJ120" s="290">
        <f t="shared" si="111"/>
        <v>11608138.835999999</v>
      </c>
      <c r="AK120" s="288"/>
      <c r="AL120" s="290">
        <f t="shared" si="112"/>
        <v>0</v>
      </c>
      <c r="AM120" s="288">
        <f t="shared" si="113"/>
        <v>746.03000000000009</v>
      </c>
      <c r="AN120" s="290">
        <f t="shared" si="114"/>
        <v>420920570.42000008</v>
      </c>
      <c r="AO120" s="349"/>
    </row>
    <row r="121" spans="2:41" s="345" customFormat="1" ht="30" hidden="1" customHeight="1">
      <c r="B121" s="346"/>
      <c r="C121" s="309">
        <f t="shared" si="115"/>
        <v>90</v>
      </c>
      <c r="D121" s="329" t="s">
        <v>425</v>
      </c>
      <c r="E121" s="329"/>
      <c r="F121" s="329" t="s">
        <v>425</v>
      </c>
      <c r="G121" s="343" t="s">
        <v>345</v>
      </c>
      <c r="H121" s="386" t="s">
        <v>111</v>
      </c>
      <c r="I121" s="289" t="e">
        <f>#REF!</f>
        <v>#REF!</v>
      </c>
      <c r="J121" s="288"/>
      <c r="K121" s="290" t="e">
        <f t="shared" si="96"/>
        <v>#REF!</v>
      </c>
      <c r="L121" s="288"/>
      <c r="M121" s="290" t="e">
        <f t="shared" si="97"/>
        <v>#REF!</v>
      </c>
      <c r="N121" s="288"/>
      <c r="O121" s="290" t="e">
        <f t="shared" si="98"/>
        <v>#REF!</v>
      </c>
      <c r="P121" s="288"/>
      <c r="Q121" s="290" t="e">
        <f t="shared" si="99"/>
        <v>#REF!</v>
      </c>
      <c r="R121" s="288"/>
      <c r="S121" s="290" t="e">
        <f t="shared" si="100"/>
        <v>#REF!</v>
      </c>
      <c r="T121" s="288">
        <f t="shared" si="101"/>
        <v>0</v>
      </c>
      <c r="U121" s="437"/>
      <c r="V121" s="290" t="e">
        <f t="shared" si="102"/>
        <v>#REF!</v>
      </c>
      <c r="W121" s="288"/>
      <c r="X121" s="290" t="e">
        <f t="shared" si="103"/>
        <v>#REF!</v>
      </c>
      <c r="Y121" s="288"/>
      <c r="Z121" s="290" t="e">
        <f t="shared" si="104"/>
        <v>#REF!</v>
      </c>
      <c r="AA121" s="288"/>
      <c r="AB121" s="290" t="e">
        <f t="shared" si="105"/>
        <v>#REF!</v>
      </c>
      <c r="AC121" s="288"/>
      <c r="AD121" s="290" t="e">
        <f t="shared" si="106"/>
        <v>#REF!</v>
      </c>
      <c r="AE121" s="288">
        <f t="shared" si="107"/>
        <v>0</v>
      </c>
      <c r="AF121" s="290" t="e">
        <f t="shared" si="108"/>
        <v>#REF!</v>
      </c>
      <c r="AG121" s="288">
        <f t="shared" si="116"/>
        <v>0</v>
      </c>
      <c r="AH121" s="290" t="e">
        <f t="shared" si="117"/>
        <v>#REF!</v>
      </c>
      <c r="AI121" s="288"/>
      <c r="AJ121" s="290" t="e">
        <f t="shared" si="111"/>
        <v>#REF!</v>
      </c>
      <c r="AK121" s="288"/>
      <c r="AL121" s="290" t="e">
        <f t="shared" si="112"/>
        <v>#REF!</v>
      </c>
      <c r="AM121" s="288">
        <f t="shared" si="113"/>
        <v>0</v>
      </c>
      <c r="AN121" s="290" t="e">
        <f t="shared" si="114"/>
        <v>#REF!</v>
      </c>
      <c r="AO121" s="349"/>
    </row>
    <row r="122" spans="2:41" s="345" customFormat="1" ht="30" hidden="1" customHeight="1">
      <c r="B122" s="346"/>
      <c r="C122" s="309">
        <f t="shared" si="115"/>
        <v>91</v>
      </c>
      <c r="D122" s="329" t="s">
        <v>480</v>
      </c>
      <c r="E122" s="329"/>
      <c r="F122" s="329" t="s">
        <v>480</v>
      </c>
      <c r="G122" s="343" t="s">
        <v>509</v>
      </c>
      <c r="H122" s="386" t="s">
        <v>111</v>
      </c>
      <c r="I122" s="289" t="e">
        <f>#REF!</f>
        <v>#REF!</v>
      </c>
      <c r="J122" s="288"/>
      <c r="K122" s="290" t="e">
        <f t="shared" si="96"/>
        <v>#REF!</v>
      </c>
      <c r="L122" s="288"/>
      <c r="M122" s="290" t="e">
        <f t="shared" si="97"/>
        <v>#REF!</v>
      </c>
      <c r="N122" s="288"/>
      <c r="O122" s="290" t="e">
        <f t="shared" si="98"/>
        <v>#REF!</v>
      </c>
      <c r="P122" s="288"/>
      <c r="Q122" s="290" t="e">
        <f t="shared" si="99"/>
        <v>#REF!</v>
      </c>
      <c r="R122" s="288"/>
      <c r="S122" s="290" t="e">
        <f t="shared" si="100"/>
        <v>#REF!</v>
      </c>
      <c r="T122" s="288">
        <f t="shared" si="101"/>
        <v>0</v>
      </c>
      <c r="U122" s="437"/>
      <c r="V122" s="290" t="e">
        <f t="shared" si="102"/>
        <v>#REF!</v>
      </c>
      <c r="W122" s="288"/>
      <c r="X122" s="290" t="e">
        <f t="shared" si="103"/>
        <v>#REF!</v>
      </c>
      <c r="Y122" s="288"/>
      <c r="Z122" s="290" t="e">
        <f t="shared" si="104"/>
        <v>#REF!</v>
      </c>
      <c r="AA122" s="288"/>
      <c r="AB122" s="290" t="e">
        <f t="shared" si="105"/>
        <v>#REF!</v>
      </c>
      <c r="AC122" s="288"/>
      <c r="AD122" s="290" t="e">
        <f t="shared" si="106"/>
        <v>#REF!</v>
      </c>
      <c r="AE122" s="288">
        <f t="shared" si="107"/>
        <v>0</v>
      </c>
      <c r="AF122" s="290" t="e">
        <f t="shared" si="108"/>
        <v>#REF!</v>
      </c>
      <c r="AG122" s="288">
        <f t="shared" si="116"/>
        <v>0</v>
      </c>
      <c r="AH122" s="290" t="e">
        <f t="shared" si="117"/>
        <v>#REF!</v>
      </c>
      <c r="AI122" s="288"/>
      <c r="AJ122" s="290" t="e">
        <f t="shared" si="111"/>
        <v>#REF!</v>
      </c>
      <c r="AK122" s="288"/>
      <c r="AL122" s="290" t="e">
        <f t="shared" si="112"/>
        <v>#REF!</v>
      </c>
      <c r="AM122" s="288">
        <f t="shared" si="113"/>
        <v>0</v>
      </c>
      <c r="AN122" s="290" t="e">
        <f t="shared" si="114"/>
        <v>#REF!</v>
      </c>
      <c r="AO122" s="349"/>
    </row>
    <row r="123" spans="2:41" s="345" customFormat="1" ht="72.75" hidden="1" customHeight="1">
      <c r="B123" s="346"/>
      <c r="C123" s="309">
        <f t="shared" si="115"/>
        <v>92</v>
      </c>
      <c r="D123" s="329" t="s">
        <v>714</v>
      </c>
      <c r="E123" s="329"/>
      <c r="F123" s="329" t="s">
        <v>714</v>
      </c>
      <c r="G123" s="343" t="s">
        <v>713</v>
      </c>
      <c r="H123" s="386" t="s">
        <v>81</v>
      </c>
      <c r="I123" s="289" t="e">
        <f>#REF!</f>
        <v>#REF!</v>
      </c>
      <c r="J123" s="288"/>
      <c r="K123" s="290" t="e">
        <f t="shared" si="96"/>
        <v>#REF!</v>
      </c>
      <c r="L123" s="288"/>
      <c r="M123" s="290" t="e">
        <f t="shared" si="97"/>
        <v>#REF!</v>
      </c>
      <c r="N123" s="288"/>
      <c r="O123" s="290" t="e">
        <f t="shared" si="98"/>
        <v>#REF!</v>
      </c>
      <c r="P123" s="288"/>
      <c r="Q123" s="290" t="e">
        <f t="shared" si="99"/>
        <v>#REF!</v>
      </c>
      <c r="R123" s="288"/>
      <c r="S123" s="290" t="e">
        <f t="shared" si="100"/>
        <v>#REF!</v>
      </c>
      <c r="T123" s="288">
        <f t="shared" si="101"/>
        <v>0</v>
      </c>
      <c r="U123" s="437"/>
      <c r="V123" s="290" t="e">
        <f t="shared" si="102"/>
        <v>#REF!</v>
      </c>
      <c r="W123" s="288"/>
      <c r="X123" s="290" t="e">
        <f t="shared" si="103"/>
        <v>#REF!</v>
      </c>
      <c r="Y123" s="288"/>
      <c r="Z123" s="290" t="e">
        <f t="shared" si="104"/>
        <v>#REF!</v>
      </c>
      <c r="AA123" s="288"/>
      <c r="AB123" s="290" t="e">
        <f t="shared" si="105"/>
        <v>#REF!</v>
      </c>
      <c r="AC123" s="288"/>
      <c r="AD123" s="290" t="e">
        <f t="shared" si="106"/>
        <v>#REF!</v>
      </c>
      <c r="AE123" s="288">
        <f t="shared" si="107"/>
        <v>0</v>
      </c>
      <c r="AF123" s="290" t="e">
        <f t="shared" si="108"/>
        <v>#REF!</v>
      </c>
      <c r="AG123" s="288">
        <f t="shared" si="116"/>
        <v>0</v>
      </c>
      <c r="AH123" s="290" t="e">
        <f t="shared" si="117"/>
        <v>#REF!</v>
      </c>
      <c r="AI123" s="288"/>
      <c r="AJ123" s="290" t="e">
        <f t="shared" si="111"/>
        <v>#REF!</v>
      </c>
      <c r="AK123" s="288"/>
      <c r="AL123" s="290" t="e">
        <f t="shared" si="112"/>
        <v>#REF!</v>
      </c>
      <c r="AM123" s="288">
        <f t="shared" si="113"/>
        <v>0</v>
      </c>
      <c r="AN123" s="290" t="e">
        <f t="shared" si="114"/>
        <v>#REF!</v>
      </c>
      <c r="AO123" s="349"/>
    </row>
    <row r="124" spans="2:41" s="345" customFormat="1" ht="30" hidden="1" customHeight="1">
      <c r="B124" s="346"/>
      <c r="C124" s="309">
        <f t="shared" si="115"/>
        <v>93</v>
      </c>
      <c r="D124" s="329" t="s">
        <v>579</v>
      </c>
      <c r="E124" s="329"/>
      <c r="F124" s="329" t="s">
        <v>579</v>
      </c>
      <c r="G124" s="343" t="s">
        <v>510</v>
      </c>
      <c r="H124" s="386" t="s">
        <v>111</v>
      </c>
      <c r="I124" s="289" t="e">
        <f>#REF!</f>
        <v>#REF!</v>
      </c>
      <c r="J124" s="288"/>
      <c r="K124" s="290" t="e">
        <f t="shared" si="96"/>
        <v>#REF!</v>
      </c>
      <c r="L124" s="288"/>
      <c r="M124" s="290" t="e">
        <f t="shared" si="97"/>
        <v>#REF!</v>
      </c>
      <c r="N124" s="288"/>
      <c r="O124" s="290" t="e">
        <f t="shared" si="98"/>
        <v>#REF!</v>
      </c>
      <c r="P124" s="288"/>
      <c r="Q124" s="290" t="e">
        <f t="shared" si="99"/>
        <v>#REF!</v>
      </c>
      <c r="R124" s="288"/>
      <c r="S124" s="290" t="e">
        <f t="shared" si="100"/>
        <v>#REF!</v>
      </c>
      <c r="T124" s="288">
        <f t="shared" si="101"/>
        <v>0</v>
      </c>
      <c r="U124" s="437"/>
      <c r="V124" s="290" t="e">
        <f t="shared" si="102"/>
        <v>#REF!</v>
      </c>
      <c r="W124" s="288"/>
      <c r="X124" s="290" t="e">
        <f t="shared" si="103"/>
        <v>#REF!</v>
      </c>
      <c r="Y124" s="288"/>
      <c r="Z124" s="290" t="e">
        <f t="shared" si="104"/>
        <v>#REF!</v>
      </c>
      <c r="AA124" s="288"/>
      <c r="AB124" s="290" t="e">
        <f t="shared" si="105"/>
        <v>#REF!</v>
      </c>
      <c r="AC124" s="288"/>
      <c r="AD124" s="290" t="e">
        <f t="shared" si="106"/>
        <v>#REF!</v>
      </c>
      <c r="AE124" s="288">
        <f t="shared" si="107"/>
        <v>0</v>
      </c>
      <c r="AF124" s="290" t="e">
        <f t="shared" si="108"/>
        <v>#REF!</v>
      </c>
      <c r="AG124" s="288">
        <f t="shared" si="116"/>
        <v>0</v>
      </c>
      <c r="AH124" s="290" t="e">
        <f t="shared" si="117"/>
        <v>#REF!</v>
      </c>
      <c r="AI124" s="288"/>
      <c r="AJ124" s="290" t="e">
        <f t="shared" si="111"/>
        <v>#REF!</v>
      </c>
      <c r="AK124" s="288"/>
      <c r="AL124" s="290" t="e">
        <f t="shared" si="112"/>
        <v>#REF!</v>
      </c>
      <c r="AM124" s="288">
        <f t="shared" si="113"/>
        <v>0</v>
      </c>
      <c r="AN124" s="290" t="e">
        <f t="shared" si="114"/>
        <v>#REF!</v>
      </c>
      <c r="AO124" s="349"/>
    </row>
    <row r="125" spans="2:41" s="345" customFormat="1" ht="30" hidden="1" customHeight="1">
      <c r="B125" s="346"/>
      <c r="C125" s="309">
        <f t="shared" si="115"/>
        <v>94</v>
      </c>
      <c r="D125" s="285" t="s">
        <v>9</v>
      </c>
      <c r="E125" s="285" t="s">
        <v>453</v>
      </c>
      <c r="F125" s="285"/>
      <c r="G125" s="287" t="s">
        <v>648</v>
      </c>
      <c r="H125" s="285" t="s">
        <v>111</v>
      </c>
      <c r="I125" s="289" t="e">
        <f>+#REF!</f>
        <v>#REF!</v>
      </c>
      <c r="J125" s="288"/>
      <c r="K125" s="290" t="e">
        <f t="shared" si="96"/>
        <v>#REF!</v>
      </c>
      <c r="L125" s="288"/>
      <c r="M125" s="290" t="e">
        <f t="shared" si="97"/>
        <v>#REF!</v>
      </c>
      <c r="N125" s="288"/>
      <c r="O125" s="290" t="e">
        <f t="shared" si="98"/>
        <v>#REF!</v>
      </c>
      <c r="P125" s="288"/>
      <c r="Q125" s="290" t="e">
        <f t="shared" si="99"/>
        <v>#REF!</v>
      </c>
      <c r="R125" s="288"/>
      <c r="S125" s="290" t="e">
        <f t="shared" si="100"/>
        <v>#REF!</v>
      </c>
      <c r="T125" s="288">
        <f t="shared" si="101"/>
        <v>0</v>
      </c>
      <c r="U125" s="437"/>
      <c r="V125" s="290" t="e">
        <f t="shared" si="102"/>
        <v>#REF!</v>
      </c>
      <c r="W125" s="288"/>
      <c r="X125" s="290" t="e">
        <f t="shared" si="103"/>
        <v>#REF!</v>
      </c>
      <c r="Y125" s="288"/>
      <c r="Z125" s="290" t="e">
        <f t="shared" si="104"/>
        <v>#REF!</v>
      </c>
      <c r="AA125" s="288"/>
      <c r="AB125" s="290" t="e">
        <f t="shared" si="105"/>
        <v>#REF!</v>
      </c>
      <c r="AC125" s="288"/>
      <c r="AD125" s="290" t="e">
        <f t="shared" si="106"/>
        <v>#REF!</v>
      </c>
      <c r="AE125" s="288">
        <f t="shared" si="107"/>
        <v>0</v>
      </c>
      <c r="AF125" s="290" t="e">
        <f t="shared" si="108"/>
        <v>#REF!</v>
      </c>
      <c r="AG125" s="288">
        <f t="shared" si="116"/>
        <v>0</v>
      </c>
      <c r="AH125" s="290" t="e">
        <f t="shared" si="117"/>
        <v>#REF!</v>
      </c>
      <c r="AI125" s="288"/>
      <c r="AJ125" s="290" t="e">
        <f t="shared" si="111"/>
        <v>#REF!</v>
      </c>
      <c r="AK125" s="288"/>
      <c r="AL125" s="290" t="e">
        <f t="shared" si="112"/>
        <v>#REF!</v>
      </c>
      <c r="AM125" s="288">
        <f t="shared" si="113"/>
        <v>0</v>
      </c>
      <c r="AN125" s="290" t="e">
        <f t="shared" si="114"/>
        <v>#REF!</v>
      </c>
      <c r="AO125" s="349"/>
    </row>
    <row r="126" spans="2:41" s="345" customFormat="1" ht="30" hidden="1" customHeight="1">
      <c r="B126" s="346"/>
      <c r="C126" s="309">
        <f t="shared" si="115"/>
        <v>95</v>
      </c>
      <c r="D126" s="285" t="s">
        <v>299</v>
      </c>
      <c r="E126" s="285" t="s">
        <v>453</v>
      </c>
      <c r="F126" s="285"/>
      <c r="G126" s="287" t="s">
        <v>649</v>
      </c>
      <c r="H126" s="285" t="s">
        <v>111</v>
      </c>
      <c r="I126" s="289" t="e">
        <f>+#REF!</f>
        <v>#REF!</v>
      </c>
      <c r="J126" s="288"/>
      <c r="K126" s="290" t="e">
        <f t="shared" si="96"/>
        <v>#REF!</v>
      </c>
      <c r="L126" s="288"/>
      <c r="M126" s="290" t="e">
        <f t="shared" si="97"/>
        <v>#REF!</v>
      </c>
      <c r="N126" s="288"/>
      <c r="O126" s="290" t="e">
        <f t="shared" si="98"/>
        <v>#REF!</v>
      </c>
      <c r="P126" s="288"/>
      <c r="Q126" s="290" t="e">
        <f t="shared" si="99"/>
        <v>#REF!</v>
      </c>
      <c r="R126" s="288"/>
      <c r="S126" s="290" t="e">
        <f t="shared" si="100"/>
        <v>#REF!</v>
      </c>
      <c r="T126" s="288">
        <f t="shared" si="101"/>
        <v>0</v>
      </c>
      <c r="U126" s="437"/>
      <c r="V126" s="290" t="e">
        <f t="shared" si="102"/>
        <v>#REF!</v>
      </c>
      <c r="W126" s="288"/>
      <c r="X126" s="290" t="e">
        <f t="shared" si="103"/>
        <v>#REF!</v>
      </c>
      <c r="Y126" s="288"/>
      <c r="Z126" s="290" t="e">
        <f t="shared" si="104"/>
        <v>#REF!</v>
      </c>
      <c r="AA126" s="288"/>
      <c r="AB126" s="290" t="e">
        <f t="shared" si="105"/>
        <v>#REF!</v>
      </c>
      <c r="AC126" s="288"/>
      <c r="AD126" s="290" t="e">
        <f t="shared" si="106"/>
        <v>#REF!</v>
      </c>
      <c r="AE126" s="288">
        <f t="shared" si="107"/>
        <v>0</v>
      </c>
      <c r="AF126" s="290" t="e">
        <f t="shared" si="108"/>
        <v>#REF!</v>
      </c>
      <c r="AG126" s="288">
        <f t="shared" si="116"/>
        <v>0</v>
      </c>
      <c r="AH126" s="290" t="e">
        <f t="shared" si="117"/>
        <v>#REF!</v>
      </c>
      <c r="AI126" s="288"/>
      <c r="AJ126" s="290" t="e">
        <f t="shared" si="111"/>
        <v>#REF!</v>
      </c>
      <c r="AK126" s="288"/>
      <c r="AL126" s="290" t="e">
        <f t="shared" si="112"/>
        <v>#REF!</v>
      </c>
      <c r="AM126" s="288">
        <f t="shared" si="113"/>
        <v>0</v>
      </c>
      <c r="AN126" s="290" t="e">
        <f t="shared" si="114"/>
        <v>#REF!</v>
      </c>
      <c r="AO126" s="349"/>
    </row>
    <row r="127" spans="2:41" s="345" customFormat="1" ht="30" hidden="1" customHeight="1">
      <c r="B127" s="346"/>
      <c r="C127" s="309">
        <f t="shared" si="115"/>
        <v>96</v>
      </c>
      <c r="D127" s="285" t="s">
        <v>268</v>
      </c>
      <c r="E127" s="285" t="s">
        <v>454</v>
      </c>
      <c r="F127" s="285" t="s">
        <v>268</v>
      </c>
      <c r="G127" s="287" t="s">
        <v>180</v>
      </c>
      <c r="H127" s="292" t="s">
        <v>81</v>
      </c>
      <c r="I127" s="289" t="e">
        <f>+#REF!</f>
        <v>#REF!</v>
      </c>
      <c r="J127" s="288"/>
      <c r="K127" s="290" t="e">
        <f t="shared" si="96"/>
        <v>#REF!</v>
      </c>
      <c r="L127" s="288"/>
      <c r="M127" s="290" t="e">
        <f t="shared" si="97"/>
        <v>#REF!</v>
      </c>
      <c r="N127" s="288"/>
      <c r="O127" s="290" t="e">
        <f t="shared" si="98"/>
        <v>#REF!</v>
      </c>
      <c r="P127" s="288"/>
      <c r="Q127" s="290" t="e">
        <f t="shared" si="99"/>
        <v>#REF!</v>
      </c>
      <c r="R127" s="288"/>
      <c r="S127" s="290" t="e">
        <f t="shared" si="100"/>
        <v>#REF!</v>
      </c>
      <c r="T127" s="288">
        <f t="shared" si="101"/>
        <v>0</v>
      </c>
      <c r="U127" s="437"/>
      <c r="V127" s="290" t="e">
        <f t="shared" si="102"/>
        <v>#REF!</v>
      </c>
      <c r="W127" s="288"/>
      <c r="X127" s="290" t="e">
        <f t="shared" si="103"/>
        <v>#REF!</v>
      </c>
      <c r="Y127" s="288"/>
      <c r="Z127" s="290" t="e">
        <f t="shared" si="104"/>
        <v>#REF!</v>
      </c>
      <c r="AA127" s="288"/>
      <c r="AB127" s="290" t="e">
        <f t="shared" si="105"/>
        <v>#REF!</v>
      </c>
      <c r="AC127" s="288"/>
      <c r="AD127" s="290" t="e">
        <f t="shared" si="106"/>
        <v>#REF!</v>
      </c>
      <c r="AE127" s="288">
        <f t="shared" si="107"/>
        <v>0</v>
      </c>
      <c r="AF127" s="290" t="e">
        <f t="shared" si="108"/>
        <v>#REF!</v>
      </c>
      <c r="AG127" s="288">
        <f t="shared" si="116"/>
        <v>0</v>
      </c>
      <c r="AH127" s="290" t="e">
        <f t="shared" si="117"/>
        <v>#REF!</v>
      </c>
      <c r="AI127" s="288"/>
      <c r="AJ127" s="290" t="e">
        <f t="shared" si="111"/>
        <v>#REF!</v>
      </c>
      <c r="AK127" s="288"/>
      <c r="AL127" s="290" t="e">
        <f t="shared" si="112"/>
        <v>#REF!</v>
      </c>
      <c r="AM127" s="288">
        <f t="shared" si="113"/>
        <v>0</v>
      </c>
      <c r="AN127" s="290" t="e">
        <f t="shared" si="114"/>
        <v>#REF!</v>
      </c>
      <c r="AO127" s="349"/>
    </row>
    <row r="128" spans="2:41" s="345" customFormat="1" ht="30" hidden="1" customHeight="1">
      <c r="B128" s="346"/>
      <c r="C128" s="309">
        <f t="shared" si="115"/>
        <v>97</v>
      </c>
      <c r="D128" s="327" t="s">
        <v>397</v>
      </c>
      <c r="E128" s="327" t="s">
        <v>454</v>
      </c>
      <c r="F128" s="327"/>
      <c r="G128" s="343" t="s">
        <v>398</v>
      </c>
      <c r="H128" s="329" t="s">
        <v>81</v>
      </c>
      <c r="I128" s="289" t="e">
        <f>#REF!</f>
        <v>#REF!</v>
      </c>
      <c r="J128" s="288"/>
      <c r="K128" s="290" t="e">
        <f t="shared" si="96"/>
        <v>#REF!</v>
      </c>
      <c r="L128" s="288"/>
      <c r="M128" s="290" t="e">
        <f t="shared" si="97"/>
        <v>#REF!</v>
      </c>
      <c r="N128" s="288"/>
      <c r="O128" s="290" t="e">
        <f t="shared" si="98"/>
        <v>#REF!</v>
      </c>
      <c r="P128" s="288"/>
      <c r="Q128" s="290" t="e">
        <f t="shared" si="99"/>
        <v>#REF!</v>
      </c>
      <c r="R128" s="288"/>
      <c r="S128" s="290" t="e">
        <f t="shared" si="100"/>
        <v>#REF!</v>
      </c>
      <c r="T128" s="288">
        <f t="shared" si="101"/>
        <v>0</v>
      </c>
      <c r="U128" s="437"/>
      <c r="V128" s="290" t="e">
        <f t="shared" si="102"/>
        <v>#REF!</v>
      </c>
      <c r="W128" s="288"/>
      <c r="X128" s="290" t="e">
        <f t="shared" si="103"/>
        <v>#REF!</v>
      </c>
      <c r="Y128" s="288"/>
      <c r="Z128" s="290" t="e">
        <f t="shared" si="104"/>
        <v>#REF!</v>
      </c>
      <c r="AA128" s="288"/>
      <c r="AB128" s="290" t="e">
        <f t="shared" si="105"/>
        <v>#REF!</v>
      </c>
      <c r="AC128" s="288"/>
      <c r="AD128" s="290" t="e">
        <f t="shared" si="106"/>
        <v>#REF!</v>
      </c>
      <c r="AE128" s="288">
        <f t="shared" si="107"/>
        <v>0</v>
      </c>
      <c r="AF128" s="290" t="e">
        <f t="shared" si="108"/>
        <v>#REF!</v>
      </c>
      <c r="AG128" s="288">
        <f t="shared" si="116"/>
        <v>0</v>
      </c>
      <c r="AH128" s="290" t="e">
        <f t="shared" si="117"/>
        <v>#REF!</v>
      </c>
      <c r="AI128" s="288"/>
      <c r="AJ128" s="290" t="e">
        <f t="shared" si="111"/>
        <v>#REF!</v>
      </c>
      <c r="AK128" s="288"/>
      <c r="AL128" s="290" t="e">
        <f t="shared" si="112"/>
        <v>#REF!</v>
      </c>
      <c r="AM128" s="288">
        <f t="shared" si="113"/>
        <v>0</v>
      </c>
      <c r="AN128" s="290" t="e">
        <f t="shared" si="114"/>
        <v>#REF!</v>
      </c>
      <c r="AO128" s="349"/>
    </row>
    <row r="129" spans="2:41" s="345" customFormat="1" ht="30" customHeight="1">
      <c r="B129" s="346"/>
      <c r="C129" s="309">
        <f t="shared" si="115"/>
        <v>98</v>
      </c>
      <c r="D129" s="285" t="s">
        <v>110</v>
      </c>
      <c r="E129" s="456" t="s">
        <v>455</v>
      </c>
      <c r="F129" s="285"/>
      <c r="G129" s="287" t="s">
        <v>144</v>
      </c>
      <c r="H129" s="285" t="s">
        <v>79</v>
      </c>
      <c r="I129" s="289">
        <f>+'640.1'!N81</f>
        <v>4487</v>
      </c>
      <c r="J129" s="288">
        <f>'[112]CANTIDADES TOTALIZADAS'!$AF$59</f>
        <v>628.68520000000001</v>
      </c>
      <c r="K129" s="290">
        <f t="shared" si="96"/>
        <v>2820910.4923999999</v>
      </c>
      <c r="L129" s="288"/>
      <c r="M129" s="290">
        <f t="shared" si="97"/>
        <v>0</v>
      </c>
      <c r="N129" s="288">
        <f>'[112]CANTIDADES TOTALIZADAS'!$AU$59</f>
        <v>339764.96649999998</v>
      </c>
      <c r="O129" s="290">
        <f t="shared" si="98"/>
        <v>1524525404.6854999</v>
      </c>
      <c r="P129" s="288"/>
      <c r="Q129" s="290">
        <f t="shared" si="99"/>
        <v>0</v>
      </c>
      <c r="R129" s="288"/>
      <c r="S129" s="290">
        <f t="shared" si="100"/>
        <v>0</v>
      </c>
      <c r="T129" s="288">
        <f t="shared" si="101"/>
        <v>340393.65169999999</v>
      </c>
      <c r="U129" s="437">
        <f>'[112]CANTIDADES TOTALIZADAS'!$BJ$59</f>
        <v>340393.65169999999</v>
      </c>
      <c r="V129" s="290">
        <f t="shared" si="102"/>
        <v>1527346315.1778998</v>
      </c>
      <c r="W129" s="288"/>
      <c r="X129" s="290">
        <f t="shared" si="103"/>
        <v>0</v>
      </c>
      <c r="Y129" s="288">
        <f>Y120*62</f>
        <v>5580.0000000000009</v>
      </c>
      <c r="Z129" s="290">
        <f t="shared" si="104"/>
        <v>25037460.000000004</v>
      </c>
      <c r="AA129" s="288">
        <f>AA120*62</f>
        <v>21700</v>
      </c>
      <c r="AB129" s="290">
        <f t="shared" si="105"/>
        <v>97367900</v>
      </c>
      <c r="AC129" s="288">
        <f>AC120*62</f>
        <v>8928.0000000000018</v>
      </c>
      <c r="AD129" s="290">
        <f t="shared" si="106"/>
        <v>40059936.000000007</v>
      </c>
      <c r="AE129" s="288">
        <f t="shared" si="107"/>
        <v>36208</v>
      </c>
      <c r="AF129" s="290">
        <f t="shared" si="108"/>
        <v>162465296</v>
      </c>
      <c r="AG129" s="288">
        <f t="shared" si="116"/>
        <v>376601.65169999999</v>
      </c>
      <c r="AH129" s="290">
        <f t="shared" si="117"/>
        <v>1689811611.1778998</v>
      </c>
      <c r="AI129" s="288"/>
      <c r="AJ129" s="290">
        <f t="shared" si="111"/>
        <v>0</v>
      </c>
      <c r="AK129" s="288"/>
      <c r="AL129" s="290">
        <f t="shared" si="112"/>
        <v>0</v>
      </c>
      <c r="AM129" s="288">
        <f t="shared" si="113"/>
        <v>376601.65169999999</v>
      </c>
      <c r="AN129" s="290">
        <f t="shared" si="114"/>
        <v>1689811611.1778998</v>
      </c>
      <c r="AO129" s="349"/>
    </row>
    <row r="130" spans="2:41" s="345" customFormat="1" ht="30" hidden="1" customHeight="1">
      <c r="B130" s="346"/>
      <c r="C130" s="309">
        <f t="shared" si="115"/>
        <v>99</v>
      </c>
      <c r="D130" s="329" t="s">
        <v>357</v>
      </c>
      <c r="E130" s="329"/>
      <c r="F130" s="329" t="s">
        <v>357</v>
      </c>
      <c r="G130" s="343" t="s">
        <v>358</v>
      </c>
      <c r="H130" s="329" t="s">
        <v>82</v>
      </c>
      <c r="I130" s="289" t="e">
        <f>#REF!</f>
        <v>#REF!</v>
      </c>
      <c r="J130" s="288"/>
      <c r="K130" s="290" t="e">
        <f t="shared" si="96"/>
        <v>#REF!</v>
      </c>
      <c r="L130" s="288"/>
      <c r="M130" s="290" t="e">
        <f t="shared" si="97"/>
        <v>#REF!</v>
      </c>
      <c r="N130" s="288"/>
      <c r="O130" s="290" t="e">
        <f t="shared" si="98"/>
        <v>#REF!</v>
      </c>
      <c r="P130" s="288"/>
      <c r="Q130" s="290" t="e">
        <f t="shared" si="99"/>
        <v>#REF!</v>
      </c>
      <c r="R130" s="288"/>
      <c r="S130" s="290" t="e">
        <f t="shared" si="100"/>
        <v>#REF!</v>
      </c>
      <c r="T130" s="288">
        <f t="shared" si="101"/>
        <v>0</v>
      </c>
      <c r="U130" s="437"/>
      <c r="V130" s="290" t="e">
        <f t="shared" si="102"/>
        <v>#REF!</v>
      </c>
      <c r="W130" s="288"/>
      <c r="X130" s="290" t="e">
        <f t="shared" si="103"/>
        <v>#REF!</v>
      </c>
      <c r="Y130" s="288"/>
      <c r="Z130" s="290" t="e">
        <f t="shared" si="104"/>
        <v>#REF!</v>
      </c>
      <c r="AA130" s="288"/>
      <c r="AB130" s="290" t="e">
        <f t="shared" si="105"/>
        <v>#REF!</v>
      </c>
      <c r="AC130" s="288"/>
      <c r="AD130" s="290" t="e">
        <f t="shared" si="106"/>
        <v>#REF!</v>
      </c>
      <c r="AE130" s="288">
        <f t="shared" si="107"/>
        <v>0</v>
      </c>
      <c r="AF130" s="290" t="e">
        <f t="shared" si="108"/>
        <v>#REF!</v>
      </c>
      <c r="AG130" s="288">
        <f t="shared" si="116"/>
        <v>0</v>
      </c>
      <c r="AH130" s="290" t="e">
        <f t="shared" si="117"/>
        <v>#REF!</v>
      </c>
      <c r="AI130" s="288"/>
      <c r="AJ130" s="290" t="e">
        <f t="shared" si="111"/>
        <v>#REF!</v>
      </c>
      <c r="AK130" s="288"/>
      <c r="AL130" s="290" t="e">
        <f t="shared" si="112"/>
        <v>#REF!</v>
      </c>
      <c r="AM130" s="288">
        <f t="shared" si="113"/>
        <v>0</v>
      </c>
      <c r="AN130" s="290" t="e">
        <f t="shared" si="114"/>
        <v>#REF!</v>
      </c>
      <c r="AO130" s="349"/>
    </row>
    <row r="131" spans="2:41" s="345" customFormat="1" ht="30" hidden="1" customHeight="1">
      <c r="B131" s="346"/>
      <c r="C131" s="309">
        <f t="shared" si="115"/>
        <v>100</v>
      </c>
      <c r="D131" s="329">
        <v>640.20000000000005</v>
      </c>
      <c r="E131" s="329" t="s">
        <v>455</v>
      </c>
      <c r="F131" s="329"/>
      <c r="G131" s="343" t="s">
        <v>349</v>
      </c>
      <c r="H131" s="329" t="s">
        <v>78</v>
      </c>
      <c r="I131" s="289" t="e">
        <f>#REF!</f>
        <v>#REF!</v>
      </c>
      <c r="J131" s="288"/>
      <c r="K131" s="290" t="e">
        <f t="shared" si="96"/>
        <v>#REF!</v>
      </c>
      <c r="L131" s="288"/>
      <c r="M131" s="290" t="e">
        <f t="shared" si="97"/>
        <v>#REF!</v>
      </c>
      <c r="N131" s="288"/>
      <c r="O131" s="290" t="e">
        <f t="shared" si="98"/>
        <v>#REF!</v>
      </c>
      <c r="P131" s="288"/>
      <c r="Q131" s="290" t="e">
        <f t="shared" si="99"/>
        <v>#REF!</v>
      </c>
      <c r="R131" s="288"/>
      <c r="S131" s="290" t="e">
        <f t="shared" si="100"/>
        <v>#REF!</v>
      </c>
      <c r="T131" s="288">
        <f t="shared" si="101"/>
        <v>0</v>
      </c>
      <c r="U131" s="437"/>
      <c r="V131" s="290" t="e">
        <f t="shared" si="102"/>
        <v>#REF!</v>
      </c>
      <c r="W131" s="288"/>
      <c r="X131" s="290" t="e">
        <f t="shared" si="103"/>
        <v>#REF!</v>
      </c>
      <c r="Y131" s="288"/>
      <c r="Z131" s="290" t="e">
        <f t="shared" si="104"/>
        <v>#REF!</v>
      </c>
      <c r="AA131" s="288"/>
      <c r="AB131" s="290" t="e">
        <f t="shared" si="105"/>
        <v>#REF!</v>
      </c>
      <c r="AC131" s="288"/>
      <c r="AD131" s="290" t="e">
        <f t="shared" si="106"/>
        <v>#REF!</v>
      </c>
      <c r="AE131" s="288">
        <f t="shared" si="107"/>
        <v>0</v>
      </c>
      <c r="AF131" s="290" t="e">
        <f t="shared" si="108"/>
        <v>#REF!</v>
      </c>
      <c r="AG131" s="288">
        <f t="shared" si="116"/>
        <v>0</v>
      </c>
      <c r="AH131" s="290" t="e">
        <f t="shared" si="117"/>
        <v>#REF!</v>
      </c>
      <c r="AI131" s="288"/>
      <c r="AJ131" s="290" t="e">
        <f t="shared" si="111"/>
        <v>#REF!</v>
      </c>
      <c r="AK131" s="288"/>
      <c r="AL131" s="290" t="e">
        <f t="shared" si="112"/>
        <v>#REF!</v>
      </c>
      <c r="AM131" s="288">
        <f t="shared" si="113"/>
        <v>0</v>
      </c>
      <c r="AN131" s="290" t="e">
        <f t="shared" si="114"/>
        <v>#REF!</v>
      </c>
      <c r="AO131" s="349"/>
    </row>
    <row r="132" spans="2:41" s="345" customFormat="1" ht="30" hidden="1" customHeight="1">
      <c r="B132" s="346"/>
      <c r="C132" s="309">
        <f t="shared" si="115"/>
        <v>101</v>
      </c>
      <c r="D132" s="329" t="s">
        <v>359</v>
      </c>
      <c r="E132" s="329" t="s">
        <v>458</v>
      </c>
      <c r="F132" s="392"/>
      <c r="G132" s="343" t="s">
        <v>360</v>
      </c>
      <c r="H132" s="329" t="s">
        <v>620</v>
      </c>
      <c r="I132" s="289" t="e">
        <f>#REF!</f>
        <v>#REF!</v>
      </c>
      <c r="J132" s="288"/>
      <c r="K132" s="290" t="e">
        <f t="shared" si="96"/>
        <v>#REF!</v>
      </c>
      <c r="L132" s="288"/>
      <c r="M132" s="290" t="e">
        <f t="shared" si="97"/>
        <v>#REF!</v>
      </c>
      <c r="N132" s="288"/>
      <c r="O132" s="290" t="e">
        <f t="shared" si="98"/>
        <v>#REF!</v>
      </c>
      <c r="P132" s="288"/>
      <c r="Q132" s="290" t="e">
        <f t="shared" si="99"/>
        <v>#REF!</v>
      </c>
      <c r="R132" s="288"/>
      <c r="S132" s="290" t="e">
        <f t="shared" si="100"/>
        <v>#REF!</v>
      </c>
      <c r="T132" s="288">
        <f t="shared" si="101"/>
        <v>0</v>
      </c>
      <c r="U132" s="437"/>
      <c r="V132" s="290" t="e">
        <f t="shared" si="102"/>
        <v>#REF!</v>
      </c>
      <c r="W132" s="288"/>
      <c r="X132" s="290" t="e">
        <f t="shared" si="103"/>
        <v>#REF!</v>
      </c>
      <c r="Y132" s="288"/>
      <c r="Z132" s="290" t="e">
        <f t="shared" si="104"/>
        <v>#REF!</v>
      </c>
      <c r="AA132" s="288"/>
      <c r="AB132" s="290" t="e">
        <f t="shared" si="105"/>
        <v>#REF!</v>
      </c>
      <c r="AC132" s="288"/>
      <c r="AD132" s="290" t="e">
        <f t="shared" si="106"/>
        <v>#REF!</v>
      </c>
      <c r="AE132" s="288">
        <f t="shared" si="107"/>
        <v>0</v>
      </c>
      <c r="AF132" s="290" t="e">
        <f t="shared" si="108"/>
        <v>#REF!</v>
      </c>
      <c r="AG132" s="288">
        <f t="shared" si="116"/>
        <v>0</v>
      </c>
      <c r="AH132" s="290" t="e">
        <f t="shared" si="117"/>
        <v>#REF!</v>
      </c>
      <c r="AI132" s="288"/>
      <c r="AJ132" s="290" t="e">
        <f t="shared" si="111"/>
        <v>#REF!</v>
      </c>
      <c r="AK132" s="288"/>
      <c r="AL132" s="290" t="e">
        <f t="shared" si="112"/>
        <v>#REF!</v>
      </c>
      <c r="AM132" s="288">
        <f t="shared" si="113"/>
        <v>0</v>
      </c>
      <c r="AN132" s="290" t="e">
        <f t="shared" si="114"/>
        <v>#REF!</v>
      </c>
      <c r="AO132" s="349"/>
    </row>
    <row r="133" spans="2:41" s="345" customFormat="1" ht="30" hidden="1" customHeight="1">
      <c r="B133" s="346"/>
      <c r="C133" s="309">
        <f t="shared" si="115"/>
        <v>102</v>
      </c>
      <c r="D133" s="329" t="s">
        <v>536</v>
      </c>
      <c r="E133" s="329"/>
      <c r="F133" s="329" t="s">
        <v>536</v>
      </c>
      <c r="G133" s="343" t="s">
        <v>537</v>
      </c>
      <c r="H133" s="329" t="s">
        <v>82</v>
      </c>
      <c r="I133" s="289" t="e">
        <f>#REF!</f>
        <v>#REF!</v>
      </c>
      <c r="J133" s="288"/>
      <c r="K133" s="290" t="e">
        <f t="shared" si="96"/>
        <v>#REF!</v>
      </c>
      <c r="L133" s="288"/>
      <c r="M133" s="290" t="e">
        <f t="shared" si="97"/>
        <v>#REF!</v>
      </c>
      <c r="N133" s="288"/>
      <c r="O133" s="290" t="e">
        <f t="shared" si="98"/>
        <v>#REF!</v>
      </c>
      <c r="P133" s="288"/>
      <c r="Q133" s="290" t="e">
        <f t="shared" si="99"/>
        <v>#REF!</v>
      </c>
      <c r="R133" s="288"/>
      <c r="S133" s="290" t="e">
        <f t="shared" si="100"/>
        <v>#REF!</v>
      </c>
      <c r="T133" s="288">
        <f t="shared" si="101"/>
        <v>0</v>
      </c>
      <c r="U133" s="437"/>
      <c r="V133" s="290" t="e">
        <f t="shared" si="102"/>
        <v>#REF!</v>
      </c>
      <c r="W133" s="288"/>
      <c r="X133" s="290" t="e">
        <f t="shared" si="103"/>
        <v>#REF!</v>
      </c>
      <c r="Y133" s="288"/>
      <c r="Z133" s="290" t="e">
        <f t="shared" si="104"/>
        <v>#REF!</v>
      </c>
      <c r="AA133" s="288"/>
      <c r="AB133" s="290" t="e">
        <f t="shared" si="105"/>
        <v>#REF!</v>
      </c>
      <c r="AC133" s="288"/>
      <c r="AD133" s="290" t="e">
        <f t="shared" si="106"/>
        <v>#REF!</v>
      </c>
      <c r="AE133" s="288">
        <f t="shared" si="107"/>
        <v>0</v>
      </c>
      <c r="AF133" s="290" t="e">
        <f t="shared" si="108"/>
        <v>#REF!</v>
      </c>
      <c r="AG133" s="288">
        <f t="shared" si="116"/>
        <v>0</v>
      </c>
      <c r="AH133" s="290" t="e">
        <f t="shared" si="117"/>
        <v>#REF!</v>
      </c>
      <c r="AI133" s="288"/>
      <c r="AJ133" s="290" t="e">
        <f t="shared" si="111"/>
        <v>#REF!</v>
      </c>
      <c r="AK133" s="288"/>
      <c r="AL133" s="290" t="e">
        <f t="shared" si="112"/>
        <v>#REF!</v>
      </c>
      <c r="AM133" s="288">
        <f t="shared" si="113"/>
        <v>0</v>
      </c>
      <c r="AN133" s="290" t="e">
        <f t="shared" si="114"/>
        <v>#REF!</v>
      </c>
      <c r="AO133" s="349"/>
    </row>
    <row r="134" spans="2:41" s="345" customFormat="1" ht="30" hidden="1" customHeight="1">
      <c r="B134" s="346"/>
      <c r="C134" s="309">
        <f t="shared" si="115"/>
        <v>103</v>
      </c>
      <c r="D134" s="329" t="s">
        <v>553</v>
      </c>
      <c r="E134" s="329"/>
      <c r="F134" s="329" t="s">
        <v>553</v>
      </c>
      <c r="G134" s="343" t="s">
        <v>551</v>
      </c>
      <c r="H134" s="329" t="s">
        <v>82</v>
      </c>
      <c r="I134" s="289" t="e">
        <f>#REF!</f>
        <v>#REF!</v>
      </c>
      <c r="J134" s="288"/>
      <c r="K134" s="290" t="e">
        <f t="shared" si="96"/>
        <v>#REF!</v>
      </c>
      <c r="L134" s="288"/>
      <c r="M134" s="290" t="e">
        <f t="shared" si="97"/>
        <v>#REF!</v>
      </c>
      <c r="N134" s="288"/>
      <c r="O134" s="290" t="e">
        <f t="shared" si="98"/>
        <v>#REF!</v>
      </c>
      <c r="P134" s="288"/>
      <c r="Q134" s="290" t="e">
        <f t="shared" si="99"/>
        <v>#REF!</v>
      </c>
      <c r="R134" s="288"/>
      <c r="S134" s="290" t="e">
        <f t="shared" si="100"/>
        <v>#REF!</v>
      </c>
      <c r="T134" s="288">
        <f t="shared" si="101"/>
        <v>0</v>
      </c>
      <c r="U134" s="437"/>
      <c r="V134" s="290" t="e">
        <f t="shared" si="102"/>
        <v>#REF!</v>
      </c>
      <c r="W134" s="288"/>
      <c r="X134" s="290" t="e">
        <f t="shared" si="103"/>
        <v>#REF!</v>
      </c>
      <c r="Y134" s="288"/>
      <c r="Z134" s="290" t="e">
        <f t="shared" si="104"/>
        <v>#REF!</v>
      </c>
      <c r="AA134" s="288"/>
      <c r="AB134" s="290" t="e">
        <f t="shared" si="105"/>
        <v>#REF!</v>
      </c>
      <c r="AC134" s="288"/>
      <c r="AD134" s="290" t="e">
        <f t="shared" si="106"/>
        <v>#REF!</v>
      </c>
      <c r="AE134" s="288">
        <f t="shared" si="107"/>
        <v>0</v>
      </c>
      <c r="AF134" s="290" t="e">
        <f t="shared" si="108"/>
        <v>#REF!</v>
      </c>
      <c r="AG134" s="288">
        <f t="shared" si="116"/>
        <v>0</v>
      </c>
      <c r="AH134" s="290" t="e">
        <f t="shared" si="117"/>
        <v>#REF!</v>
      </c>
      <c r="AI134" s="288"/>
      <c r="AJ134" s="290" t="e">
        <f t="shared" si="111"/>
        <v>#REF!</v>
      </c>
      <c r="AK134" s="288"/>
      <c r="AL134" s="290" t="e">
        <f t="shared" si="112"/>
        <v>#REF!</v>
      </c>
      <c r="AM134" s="288">
        <f t="shared" si="113"/>
        <v>0</v>
      </c>
      <c r="AN134" s="290" t="e">
        <f t="shared" si="114"/>
        <v>#REF!</v>
      </c>
      <c r="AO134" s="349"/>
    </row>
    <row r="135" spans="2:41" s="345" customFormat="1" ht="30" hidden="1" customHeight="1">
      <c r="B135" s="346"/>
      <c r="C135" s="309">
        <f t="shared" si="115"/>
        <v>104</v>
      </c>
      <c r="D135" s="329" t="s">
        <v>554</v>
      </c>
      <c r="E135" s="329"/>
      <c r="F135" s="329" t="s">
        <v>554</v>
      </c>
      <c r="G135" s="343" t="s">
        <v>552</v>
      </c>
      <c r="H135" s="329" t="s">
        <v>82</v>
      </c>
      <c r="I135" s="289" t="e">
        <f>#REF!</f>
        <v>#REF!</v>
      </c>
      <c r="J135" s="288"/>
      <c r="K135" s="290" t="e">
        <f t="shared" si="96"/>
        <v>#REF!</v>
      </c>
      <c r="L135" s="288"/>
      <c r="M135" s="290" t="e">
        <f t="shared" si="97"/>
        <v>#REF!</v>
      </c>
      <c r="N135" s="288"/>
      <c r="O135" s="290" t="e">
        <f t="shared" si="98"/>
        <v>#REF!</v>
      </c>
      <c r="P135" s="288"/>
      <c r="Q135" s="290" t="e">
        <f t="shared" si="99"/>
        <v>#REF!</v>
      </c>
      <c r="R135" s="288"/>
      <c r="S135" s="290" t="e">
        <f t="shared" si="100"/>
        <v>#REF!</v>
      </c>
      <c r="T135" s="288">
        <f t="shared" si="101"/>
        <v>0</v>
      </c>
      <c r="U135" s="437"/>
      <c r="V135" s="290" t="e">
        <f t="shared" si="102"/>
        <v>#REF!</v>
      </c>
      <c r="W135" s="288"/>
      <c r="X135" s="290" t="e">
        <f t="shared" si="103"/>
        <v>#REF!</v>
      </c>
      <c r="Y135" s="288"/>
      <c r="Z135" s="290" t="e">
        <f t="shared" si="104"/>
        <v>#REF!</v>
      </c>
      <c r="AA135" s="288"/>
      <c r="AB135" s="290" t="e">
        <f t="shared" si="105"/>
        <v>#REF!</v>
      </c>
      <c r="AC135" s="288"/>
      <c r="AD135" s="290" t="e">
        <f t="shared" si="106"/>
        <v>#REF!</v>
      </c>
      <c r="AE135" s="288">
        <f t="shared" si="107"/>
        <v>0</v>
      </c>
      <c r="AF135" s="290" t="e">
        <f t="shared" si="108"/>
        <v>#REF!</v>
      </c>
      <c r="AG135" s="288">
        <f t="shared" si="116"/>
        <v>0</v>
      </c>
      <c r="AH135" s="290" t="e">
        <f t="shared" si="117"/>
        <v>#REF!</v>
      </c>
      <c r="AI135" s="288"/>
      <c r="AJ135" s="290" t="e">
        <f t="shared" si="111"/>
        <v>#REF!</v>
      </c>
      <c r="AK135" s="288"/>
      <c r="AL135" s="290" t="e">
        <f t="shared" si="112"/>
        <v>#REF!</v>
      </c>
      <c r="AM135" s="288">
        <f t="shared" si="113"/>
        <v>0</v>
      </c>
      <c r="AN135" s="290" t="e">
        <f t="shared" si="114"/>
        <v>#REF!</v>
      </c>
      <c r="AO135" s="349"/>
    </row>
    <row r="136" spans="2:41" s="345" customFormat="1" ht="30" hidden="1" customHeight="1">
      <c r="B136" s="346"/>
      <c r="C136" s="309">
        <f t="shared" si="115"/>
        <v>105</v>
      </c>
      <c r="D136" s="329" t="s">
        <v>556</v>
      </c>
      <c r="E136" s="329"/>
      <c r="F136" s="329" t="s">
        <v>557</v>
      </c>
      <c r="G136" s="343" t="s">
        <v>555</v>
      </c>
      <c r="H136" s="329" t="s">
        <v>82</v>
      </c>
      <c r="I136" s="289" t="e">
        <f>#REF!</f>
        <v>#REF!</v>
      </c>
      <c r="J136" s="288"/>
      <c r="K136" s="290" t="e">
        <f t="shared" si="96"/>
        <v>#REF!</v>
      </c>
      <c r="L136" s="288"/>
      <c r="M136" s="290" t="e">
        <f t="shared" si="97"/>
        <v>#REF!</v>
      </c>
      <c r="N136" s="288"/>
      <c r="O136" s="290" t="e">
        <f t="shared" si="98"/>
        <v>#REF!</v>
      </c>
      <c r="P136" s="288"/>
      <c r="Q136" s="290" t="e">
        <f t="shared" si="99"/>
        <v>#REF!</v>
      </c>
      <c r="R136" s="288"/>
      <c r="S136" s="290" t="e">
        <f t="shared" si="100"/>
        <v>#REF!</v>
      </c>
      <c r="T136" s="288">
        <f t="shared" si="101"/>
        <v>0</v>
      </c>
      <c r="U136" s="437"/>
      <c r="V136" s="290" t="e">
        <f t="shared" si="102"/>
        <v>#REF!</v>
      </c>
      <c r="W136" s="288"/>
      <c r="X136" s="290" t="e">
        <f t="shared" si="103"/>
        <v>#REF!</v>
      </c>
      <c r="Y136" s="288"/>
      <c r="Z136" s="290" t="e">
        <f t="shared" si="104"/>
        <v>#REF!</v>
      </c>
      <c r="AA136" s="288"/>
      <c r="AB136" s="290" t="e">
        <f t="shared" si="105"/>
        <v>#REF!</v>
      </c>
      <c r="AC136" s="288"/>
      <c r="AD136" s="290" t="e">
        <f t="shared" si="106"/>
        <v>#REF!</v>
      </c>
      <c r="AE136" s="288">
        <f t="shared" si="107"/>
        <v>0</v>
      </c>
      <c r="AF136" s="290" t="e">
        <f t="shared" si="108"/>
        <v>#REF!</v>
      </c>
      <c r="AG136" s="288">
        <f t="shared" si="116"/>
        <v>0</v>
      </c>
      <c r="AH136" s="290" t="e">
        <f t="shared" si="117"/>
        <v>#REF!</v>
      </c>
      <c r="AI136" s="288"/>
      <c r="AJ136" s="290" t="e">
        <f t="shared" si="111"/>
        <v>#REF!</v>
      </c>
      <c r="AK136" s="288"/>
      <c r="AL136" s="290" t="e">
        <f t="shared" si="112"/>
        <v>#REF!</v>
      </c>
      <c r="AM136" s="288">
        <f t="shared" si="113"/>
        <v>0</v>
      </c>
      <c r="AN136" s="290" t="e">
        <f t="shared" si="114"/>
        <v>#REF!</v>
      </c>
      <c r="AO136" s="349"/>
    </row>
    <row r="137" spans="2:41" s="345" customFormat="1" ht="30" hidden="1" customHeight="1">
      <c r="B137" s="346"/>
      <c r="C137" s="309">
        <f t="shared" si="115"/>
        <v>106</v>
      </c>
      <c r="D137" s="329">
        <v>642.1</v>
      </c>
      <c r="E137" s="329"/>
      <c r="F137" s="329">
        <v>642.1</v>
      </c>
      <c r="G137" s="343" t="s">
        <v>491</v>
      </c>
      <c r="H137" s="329" t="s">
        <v>82</v>
      </c>
      <c r="I137" s="289" t="e">
        <f>#REF!</f>
        <v>#REF!</v>
      </c>
      <c r="J137" s="288"/>
      <c r="K137" s="290" t="e">
        <f t="shared" si="96"/>
        <v>#REF!</v>
      </c>
      <c r="L137" s="288"/>
      <c r="M137" s="290" t="e">
        <f t="shared" si="97"/>
        <v>#REF!</v>
      </c>
      <c r="N137" s="288"/>
      <c r="O137" s="290" t="e">
        <f t="shared" si="98"/>
        <v>#REF!</v>
      </c>
      <c r="P137" s="288"/>
      <c r="Q137" s="290" t="e">
        <f t="shared" si="99"/>
        <v>#REF!</v>
      </c>
      <c r="R137" s="288"/>
      <c r="S137" s="290" t="e">
        <f t="shared" si="100"/>
        <v>#REF!</v>
      </c>
      <c r="T137" s="288">
        <f t="shared" si="101"/>
        <v>0</v>
      </c>
      <c r="U137" s="437"/>
      <c r="V137" s="290" t="e">
        <f t="shared" si="102"/>
        <v>#REF!</v>
      </c>
      <c r="W137" s="288"/>
      <c r="X137" s="290" t="e">
        <f t="shared" si="103"/>
        <v>#REF!</v>
      </c>
      <c r="Y137" s="288"/>
      <c r="Z137" s="290" t="e">
        <f t="shared" si="104"/>
        <v>#REF!</v>
      </c>
      <c r="AA137" s="288"/>
      <c r="AB137" s="290" t="e">
        <f t="shared" si="105"/>
        <v>#REF!</v>
      </c>
      <c r="AC137" s="288"/>
      <c r="AD137" s="290" t="e">
        <f t="shared" si="106"/>
        <v>#REF!</v>
      </c>
      <c r="AE137" s="288">
        <f t="shared" si="107"/>
        <v>0</v>
      </c>
      <c r="AF137" s="290" t="e">
        <f t="shared" si="108"/>
        <v>#REF!</v>
      </c>
      <c r="AG137" s="288">
        <f t="shared" si="116"/>
        <v>0</v>
      </c>
      <c r="AH137" s="290" t="e">
        <f t="shared" si="117"/>
        <v>#REF!</v>
      </c>
      <c r="AI137" s="288"/>
      <c r="AJ137" s="290" t="e">
        <f t="shared" si="111"/>
        <v>#REF!</v>
      </c>
      <c r="AK137" s="288"/>
      <c r="AL137" s="290" t="e">
        <f t="shared" si="112"/>
        <v>#REF!</v>
      </c>
      <c r="AM137" s="288">
        <f t="shared" si="113"/>
        <v>0</v>
      </c>
      <c r="AN137" s="290" t="e">
        <f t="shared" si="114"/>
        <v>#REF!</v>
      </c>
      <c r="AO137" s="349"/>
    </row>
    <row r="138" spans="2:41" s="345" customFormat="1" ht="30" hidden="1" customHeight="1">
      <c r="B138" s="346"/>
      <c r="C138" s="309">
        <f t="shared" si="115"/>
        <v>107</v>
      </c>
      <c r="D138" s="329" t="s">
        <v>584</v>
      </c>
      <c r="E138" s="329"/>
      <c r="F138" s="329" t="s">
        <v>584</v>
      </c>
      <c r="G138" s="343" t="s">
        <v>512</v>
      </c>
      <c r="H138" s="329" t="s">
        <v>82</v>
      </c>
      <c r="I138" s="289" t="e">
        <f>#REF!</f>
        <v>#REF!</v>
      </c>
      <c r="J138" s="288"/>
      <c r="K138" s="290" t="e">
        <f t="shared" si="96"/>
        <v>#REF!</v>
      </c>
      <c r="L138" s="288"/>
      <c r="M138" s="290" t="e">
        <f t="shared" si="97"/>
        <v>#REF!</v>
      </c>
      <c r="N138" s="288"/>
      <c r="O138" s="290" t="e">
        <f t="shared" si="98"/>
        <v>#REF!</v>
      </c>
      <c r="P138" s="288"/>
      <c r="Q138" s="290" t="e">
        <f t="shared" si="99"/>
        <v>#REF!</v>
      </c>
      <c r="R138" s="288"/>
      <c r="S138" s="290" t="e">
        <f t="shared" si="100"/>
        <v>#REF!</v>
      </c>
      <c r="T138" s="288">
        <f t="shared" si="101"/>
        <v>0</v>
      </c>
      <c r="U138" s="437"/>
      <c r="V138" s="290" t="e">
        <f t="shared" si="102"/>
        <v>#REF!</v>
      </c>
      <c r="W138" s="288"/>
      <c r="X138" s="290" t="e">
        <f t="shared" si="103"/>
        <v>#REF!</v>
      </c>
      <c r="Y138" s="288"/>
      <c r="Z138" s="290" t="e">
        <f t="shared" si="104"/>
        <v>#REF!</v>
      </c>
      <c r="AA138" s="288"/>
      <c r="AB138" s="290" t="e">
        <f t="shared" si="105"/>
        <v>#REF!</v>
      </c>
      <c r="AC138" s="288"/>
      <c r="AD138" s="290" t="e">
        <f t="shared" si="106"/>
        <v>#REF!</v>
      </c>
      <c r="AE138" s="288">
        <f t="shared" si="107"/>
        <v>0</v>
      </c>
      <c r="AF138" s="290" t="e">
        <f t="shared" si="108"/>
        <v>#REF!</v>
      </c>
      <c r="AG138" s="288">
        <f t="shared" si="116"/>
        <v>0</v>
      </c>
      <c r="AH138" s="290" t="e">
        <f t="shared" si="117"/>
        <v>#REF!</v>
      </c>
      <c r="AI138" s="288"/>
      <c r="AJ138" s="290" t="e">
        <f t="shared" si="111"/>
        <v>#REF!</v>
      </c>
      <c r="AK138" s="288"/>
      <c r="AL138" s="290" t="e">
        <f t="shared" si="112"/>
        <v>#REF!</v>
      </c>
      <c r="AM138" s="288">
        <f t="shared" si="113"/>
        <v>0</v>
      </c>
      <c r="AN138" s="290" t="e">
        <f t="shared" si="114"/>
        <v>#REF!</v>
      </c>
      <c r="AO138" s="349"/>
    </row>
    <row r="139" spans="2:41" s="345" customFormat="1" ht="30" hidden="1" customHeight="1">
      <c r="B139" s="346"/>
      <c r="C139" s="309">
        <f t="shared" si="115"/>
        <v>108</v>
      </c>
      <c r="D139" s="329" t="s">
        <v>585</v>
      </c>
      <c r="E139" s="329"/>
      <c r="F139" s="329" t="s">
        <v>585</v>
      </c>
      <c r="G139" s="343" t="s">
        <v>353</v>
      </c>
      <c r="H139" s="329" t="s">
        <v>82</v>
      </c>
      <c r="I139" s="289" t="e">
        <f>#REF!</f>
        <v>#REF!</v>
      </c>
      <c r="J139" s="288"/>
      <c r="K139" s="290" t="e">
        <f t="shared" si="96"/>
        <v>#REF!</v>
      </c>
      <c r="L139" s="288"/>
      <c r="M139" s="290" t="e">
        <f t="shared" si="97"/>
        <v>#REF!</v>
      </c>
      <c r="N139" s="288"/>
      <c r="O139" s="290" t="e">
        <f t="shared" si="98"/>
        <v>#REF!</v>
      </c>
      <c r="P139" s="288"/>
      <c r="Q139" s="290" t="e">
        <f t="shared" si="99"/>
        <v>#REF!</v>
      </c>
      <c r="R139" s="288"/>
      <c r="S139" s="290" t="e">
        <f t="shared" si="100"/>
        <v>#REF!</v>
      </c>
      <c r="T139" s="288">
        <f t="shared" si="101"/>
        <v>0</v>
      </c>
      <c r="U139" s="437"/>
      <c r="V139" s="290" t="e">
        <f t="shared" si="102"/>
        <v>#REF!</v>
      </c>
      <c r="W139" s="288"/>
      <c r="X139" s="290" t="e">
        <f t="shared" si="103"/>
        <v>#REF!</v>
      </c>
      <c r="Y139" s="288"/>
      <c r="Z139" s="290" t="e">
        <f t="shared" si="104"/>
        <v>#REF!</v>
      </c>
      <c r="AA139" s="288"/>
      <c r="AB139" s="290" t="e">
        <f t="shared" si="105"/>
        <v>#REF!</v>
      </c>
      <c r="AC139" s="288"/>
      <c r="AD139" s="290" t="e">
        <f t="shared" si="106"/>
        <v>#REF!</v>
      </c>
      <c r="AE139" s="288">
        <f t="shared" si="107"/>
        <v>0</v>
      </c>
      <c r="AF139" s="290" t="e">
        <f t="shared" si="108"/>
        <v>#REF!</v>
      </c>
      <c r="AG139" s="288">
        <f t="shared" si="116"/>
        <v>0</v>
      </c>
      <c r="AH139" s="290" t="e">
        <f t="shared" si="117"/>
        <v>#REF!</v>
      </c>
      <c r="AI139" s="288"/>
      <c r="AJ139" s="290" t="e">
        <f t="shared" si="111"/>
        <v>#REF!</v>
      </c>
      <c r="AK139" s="288"/>
      <c r="AL139" s="290" t="e">
        <f t="shared" si="112"/>
        <v>#REF!</v>
      </c>
      <c r="AM139" s="288">
        <f t="shared" si="113"/>
        <v>0</v>
      </c>
      <c r="AN139" s="290" t="e">
        <f t="shared" si="114"/>
        <v>#REF!</v>
      </c>
      <c r="AO139" s="349"/>
    </row>
    <row r="140" spans="2:41" s="345" customFormat="1" ht="30" hidden="1" customHeight="1">
      <c r="B140" s="346"/>
      <c r="C140" s="309">
        <f t="shared" si="115"/>
        <v>109</v>
      </c>
      <c r="D140" s="329" t="s">
        <v>586</v>
      </c>
      <c r="E140" s="329"/>
      <c r="F140" s="329" t="s">
        <v>586</v>
      </c>
      <c r="G140" s="343" t="s">
        <v>209</v>
      </c>
      <c r="H140" s="329" t="s">
        <v>82</v>
      </c>
      <c r="I140" s="289" t="e">
        <f>#REF!</f>
        <v>#REF!</v>
      </c>
      <c r="J140" s="288"/>
      <c r="K140" s="290" t="e">
        <f t="shared" si="96"/>
        <v>#REF!</v>
      </c>
      <c r="L140" s="288"/>
      <c r="M140" s="290" t="e">
        <f t="shared" si="97"/>
        <v>#REF!</v>
      </c>
      <c r="N140" s="288"/>
      <c r="O140" s="290" t="e">
        <f t="shared" si="98"/>
        <v>#REF!</v>
      </c>
      <c r="P140" s="288"/>
      <c r="Q140" s="290" t="e">
        <f t="shared" si="99"/>
        <v>#REF!</v>
      </c>
      <c r="R140" s="288"/>
      <c r="S140" s="290" t="e">
        <f t="shared" si="100"/>
        <v>#REF!</v>
      </c>
      <c r="T140" s="288">
        <f t="shared" si="101"/>
        <v>0</v>
      </c>
      <c r="U140" s="437"/>
      <c r="V140" s="290" t="e">
        <f t="shared" si="102"/>
        <v>#REF!</v>
      </c>
      <c r="W140" s="288"/>
      <c r="X140" s="290" t="e">
        <f t="shared" si="103"/>
        <v>#REF!</v>
      </c>
      <c r="Y140" s="288"/>
      <c r="Z140" s="290" t="e">
        <f t="shared" si="104"/>
        <v>#REF!</v>
      </c>
      <c r="AA140" s="288"/>
      <c r="AB140" s="290" t="e">
        <f t="shared" si="105"/>
        <v>#REF!</v>
      </c>
      <c r="AC140" s="288"/>
      <c r="AD140" s="290" t="e">
        <f t="shared" si="106"/>
        <v>#REF!</v>
      </c>
      <c r="AE140" s="288">
        <f t="shared" si="107"/>
        <v>0</v>
      </c>
      <c r="AF140" s="290" t="e">
        <f t="shared" si="108"/>
        <v>#REF!</v>
      </c>
      <c r="AG140" s="288">
        <f t="shared" si="116"/>
        <v>0</v>
      </c>
      <c r="AH140" s="290" t="e">
        <f t="shared" si="117"/>
        <v>#REF!</v>
      </c>
      <c r="AI140" s="288"/>
      <c r="AJ140" s="290" t="e">
        <f t="shared" si="111"/>
        <v>#REF!</v>
      </c>
      <c r="AK140" s="288"/>
      <c r="AL140" s="290" t="e">
        <f t="shared" si="112"/>
        <v>#REF!</v>
      </c>
      <c r="AM140" s="288">
        <f t="shared" si="113"/>
        <v>0</v>
      </c>
      <c r="AN140" s="290" t="e">
        <f t="shared" si="114"/>
        <v>#REF!</v>
      </c>
      <c r="AO140" s="349"/>
    </row>
    <row r="141" spans="2:41" s="345" customFormat="1" ht="30" hidden="1" customHeight="1">
      <c r="B141" s="346"/>
      <c r="C141" s="309">
        <f t="shared" si="115"/>
        <v>110</v>
      </c>
      <c r="D141" s="329" t="s">
        <v>587</v>
      </c>
      <c r="E141" s="329"/>
      <c r="F141" s="329" t="s">
        <v>587</v>
      </c>
      <c r="G141" s="393" t="s">
        <v>210</v>
      </c>
      <c r="H141" s="394" t="s">
        <v>82</v>
      </c>
      <c r="I141" s="289" t="e">
        <f>#REF!</f>
        <v>#REF!</v>
      </c>
      <c r="J141" s="288"/>
      <c r="K141" s="290" t="e">
        <f t="shared" si="96"/>
        <v>#REF!</v>
      </c>
      <c r="L141" s="288"/>
      <c r="M141" s="290" t="e">
        <f t="shared" si="97"/>
        <v>#REF!</v>
      </c>
      <c r="N141" s="288"/>
      <c r="O141" s="290" t="e">
        <f t="shared" si="98"/>
        <v>#REF!</v>
      </c>
      <c r="P141" s="288"/>
      <c r="Q141" s="290" t="e">
        <f t="shared" si="99"/>
        <v>#REF!</v>
      </c>
      <c r="R141" s="288"/>
      <c r="S141" s="290" t="e">
        <f t="shared" si="100"/>
        <v>#REF!</v>
      </c>
      <c r="T141" s="288">
        <f t="shared" si="101"/>
        <v>0</v>
      </c>
      <c r="U141" s="437"/>
      <c r="V141" s="290" t="e">
        <f t="shared" si="102"/>
        <v>#REF!</v>
      </c>
      <c r="W141" s="288"/>
      <c r="X141" s="290" t="e">
        <f t="shared" si="103"/>
        <v>#REF!</v>
      </c>
      <c r="Y141" s="288"/>
      <c r="Z141" s="290" t="e">
        <f t="shared" si="104"/>
        <v>#REF!</v>
      </c>
      <c r="AA141" s="288"/>
      <c r="AB141" s="290" t="e">
        <f t="shared" si="105"/>
        <v>#REF!</v>
      </c>
      <c r="AC141" s="288"/>
      <c r="AD141" s="290" t="e">
        <f t="shared" si="106"/>
        <v>#REF!</v>
      </c>
      <c r="AE141" s="288">
        <f t="shared" si="107"/>
        <v>0</v>
      </c>
      <c r="AF141" s="290" t="e">
        <f t="shared" si="108"/>
        <v>#REF!</v>
      </c>
      <c r="AG141" s="288">
        <f t="shared" si="116"/>
        <v>0</v>
      </c>
      <c r="AH141" s="290" t="e">
        <f t="shared" si="117"/>
        <v>#REF!</v>
      </c>
      <c r="AI141" s="288"/>
      <c r="AJ141" s="290" t="e">
        <f t="shared" si="111"/>
        <v>#REF!</v>
      </c>
      <c r="AK141" s="288"/>
      <c r="AL141" s="290" t="e">
        <f t="shared" si="112"/>
        <v>#REF!</v>
      </c>
      <c r="AM141" s="288">
        <f t="shared" si="113"/>
        <v>0</v>
      </c>
      <c r="AN141" s="290" t="e">
        <f t="shared" si="114"/>
        <v>#REF!</v>
      </c>
      <c r="AO141" s="349"/>
    </row>
    <row r="142" spans="2:41" s="345" customFormat="1" ht="30" hidden="1" customHeight="1">
      <c r="B142" s="346"/>
      <c r="C142" s="309">
        <f t="shared" si="115"/>
        <v>111</v>
      </c>
      <c r="D142" s="329" t="s">
        <v>588</v>
      </c>
      <c r="E142" s="329"/>
      <c r="F142" s="329" t="s">
        <v>588</v>
      </c>
      <c r="G142" s="393" t="s">
        <v>211</v>
      </c>
      <c r="H142" s="394" t="s">
        <v>82</v>
      </c>
      <c r="I142" s="289" t="e">
        <f>#REF!</f>
        <v>#REF!</v>
      </c>
      <c r="J142" s="288"/>
      <c r="K142" s="290" t="e">
        <f t="shared" si="96"/>
        <v>#REF!</v>
      </c>
      <c r="L142" s="288"/>
      <c r="M142" s="290" t="e">
        <f t="shared" si="97"/>
        <v>#REF!</v>
      </c>
      <c r="N142" s="288"/>
      <c r="O142" s="290" t="e">
        <f t="shared" si="98"/>
        <v>#REF!</v>
      </c>
      <c r="P142" s="288"/>
      <c r="Q142" s="290" t="e">
        <f t="shared" si="99"/>
        <v>#REF!</v>
      </c>
      <c r="R142" s="288"/>
      <c r="S142" s="290" t="e">
        <f t="shared" si="100"/>
        <v>#REF!</v>
      </c>
      <c r="T142" s="288">
        <f t="shared" si="101"/>
        <v>0</v>
      </c>
      <c r="U142" s="437"/>
      <c r="V142" s="290" t="e">
        <f t="shared" si="102"/>
        <v>#REF!</v>
      </c>
      <c r="W142" s="288"/>
      <c r="X142" s="290" t="e">
        <f t="shared" si="103"/>
        <v>#REF!</v>
      </c>
      <c r="Y142" s="288"/>
      <c r="Z142" s="290" t="e">
        <f t="shared" si="104"/>
        <v>#REF!</v>
      </c>
      <c r="AA142" s="288"/>
      <c r="AB142" s="290" t="e">
        <f t="shared" si="105"/>
        <v>#REF!</v>
      </c>
      <c r="AC142" s="288"/>
      <c r="AD142" s="290" t="e">
        <f t="shared" si="106"/>
        <v>#REF!</v>
      </c>
      <c r="AE142" s="288">
        <f t="shared" si="107"/>
        <v>0</v>
      </c>
      <c r="AF142" s="290" t="e">
        <f t="shared" si="108"/>
        <v>#REF!</v>
      </c>
      <c r="AG142" s="288">
        <f t="shared" si="116"/>
        <v>0</v>
      </c>
      <c r="AH142" s="290" t="e">
        <f t="shared" si="117"/>
        <v>#REF!</v>
      </c>
      <c r="AI142" s="288"/>
      <c r="AJ142" s="290" t="e">
        <f t="shared" si="111"/>
        <v>#REF!</v>
      </c>
      <c r="AK142" s="288"/>
      <c r="AL142" s="290" t="e">
        <f t="shared" si="112"/>
        <v>#REF!</v>
      </c>
      <c r="AM142" s="288">
        <f t="shared" si="113"/>
        <v>0</v>
      </c>
      <c r="AN142" s="290" t="e">
        <f t="shared" si="114"/>
        <v>#REF!</v>
      </c>
      <c r="AO142" s="349"/>
    </row>
    <row r="143" spans="2:41" s="345" customFormat="1" ht="30" hidden="1" customHeight="1">
      <c r="B143" s="346"/>
      <c r="C143" s="309">
        <f t="shared" si="115"/>
        <v>112</v>
      </c>
      <c r="D143" s="329" t="s">
        <v>589</v>
      </c>
      <c r="E143" s="329"/>
      <c r="F143" s="329" t="s">
        <v>589</v>
      </c>
      <c r="G143" s="393" t="s">
        <v>212</v>
      </c>
      <c r="H143" s="394" t="s">
        <v>82</v>
      </c>
      <c r="I143" s="289" t="e">
        <f>#REF!</f>
        <v>#REF!</v>
      </c>
      <c r="J143" s="288"/>
      <c r="K143" s="290" t="e">
        <f t="shared" si="96"/>
        <v>#REF!</v>
      </c>
      <c r="L143" s="288"/>
      <c r="M143" s="290" t="e">
        <f t="shared" si="97"/>
        <v>#REF!</v>
      </c>
      <c r="N143" s="288"/>
      <c r="O143" s="290" t="e">
        <f t="shared" si="98"/>
        <v>#REF!</v>
      </c>
      <c r="P143" s="288"/>
      <c r="Q143" s="290" t="e">
        <f t="shared" si="99"/>
        <v>#REF!</v>
      </c>
      <c r="R143" s="288"/>
      <c r="S143" s="290" t="e">
        <f t="shared" si="100"/>
        <v>#REF!</v>
      </c>
      <c r="T143" s="288">
        <f t="shared" si="101"/>
        <v>0</v>
      </c>
      <c r="U143" s="437"/>
      <c r="V143" s="290" t="e">
        <f t="shared" si="102"/>
        <v>#REF!</v>
      </c>
      <c r="W143" s="288"/>
      <c r="X143" s="290" t="e">
        <f t="shared" si="103"/>
        <v>#REF!</v>
      </c>
      <c r="Y143" s="288"/>
      <c r="Z143" s="290" t="e">
        <f t="shared" si="104"/>
        <v>#REF!</v>
      </c>
      <c r="AA143" s="288"/>
      <c r="AB143" s="290" t="e">
        <f t="shared" si="105"/>
        <v>#REF!</v>
      </c>
      <c r="AC143" s="288"/>
      <c r="AD143" s="290" t="e">
        <f t="shared" si="106"/>
        <v>#REF!</v>
      </c>
      <c r="AE143" s="288">
        <f t="shared" si="107"/>
        <v>0</v>
      </c>
      <c r="AF143" s="290" t="e">
        <f t="shared" si="108"/>
        <v>#REF!</v>
      </c>
      <c r="AG143" s="288">
        <f t="shared" si="116"/>
        <v>0</v>
      </c>
      <c r="AH143" s="290" t="e">
        <f t="shared" si="117"/>
        <v>#REF!</v>
      </c>
      <c r="AI143" s="288"/>
      <c r="AJ143" s="290" t="e">
        <f t="shared" si="111"/>
        <v>#REF!</v>
      </c>
      <c r="AK143" s="288"/>
      <c r="AL143" s="290" t="e">
        <f t="shared" si="112"/>
        <v>#REF!</v>
      </c>
      <c r="AM143" s="288">
        <f t="shared" si="113"/>
        <v>0</v>
      </c>
      <c r="AN143" s="290" t="e">
        <f t="shared" si="114"/>
        <v>#REF!</v>
      </c>
      <c r="AO143" s="349"/>
    </row>
    <row r="144" spans="2:41" s="345" customFormat="1" ht="30" hidden="1" customHeight="1">
      <c r="B144" s="346"/>
      <c r="C144" s="309">
        <f t="shared" si="115"/>
        <v>113</v>
      </c>
      <c r="D144" s="329" t="s">
        <v>590</v>
      </c>
      <c r="E144" s="329"/>
      <c r="F144" s="329" t="s">
        <v>590</v>
      </c>
      <c r="G144" s="393" t="s">
        <v>213</v>
      </c>
      <c r="H144" s="394" t="s">
        <v>82</v>
      </c>
      <c r="I144" s="289" t="e">
        <f>#REF!</f>
        <v>#REF!</v>
      </c>
      <c r="J144" s="288"/>
      <c r="K144" s="290" t="e">
        <f t="shared" si="96"/>
        <v>#REF!</v>
      </c>
      <c r="L144" s="288"/>
      <c r="M144" s="290" t="e">
        <f t="shared" si="97"/>
        <v>#REF!</v>
      </c>
      <c r="N144" s="288"/>
      <c r="O144" s="290" t="e">
        <f t="shared" si="98"/>
        <v>#REF!</v>
      </c>
      <c r="P144" s="288"/>
      <c r="Q144" s="290" t="e">
        <f t="shared" si="99"/>
        <v>#REF!</v>
      </c>
      <c r="R144" s="288"/>
      <c r="S144" s="290" t="e">
        <f t="shared" si="100"/>
        <v>#REF!</v>
      </c>
      <c r="T144" s="288">
        <f t="shared" si="101"/>
        <v>0</v>
      </c>
      <c r="U144" s="437"/>
      <c r="V144" s="290" t="e">
        <f t="shared" si="102"/>
        <v>#REF!</v>
      </c>
      <c r="W144" s="288"/>
      <c r="X144" s="290" t="e">
        <f t="shared" si="103"/>
        <v>#REF!</v>
      </c>
      <c r="Y144" s="288"/>
      <c r="Z144" s="290" t="e">
        <f t="shared" si="104"/>
        <v>#REF!</v>
      </c>
      <c r="AA144" s="288"/>
      <c r="AB144" s="290" t="e">
        <f t="shared" si="105"/>
        <v>#REF!</v>
      </c>
      <c r="AC144" s="288"/>
      <c r="AD144" s="290" t="e">
        <f t="shared" si="106"/>
        <v>#REF!</v>
      </c>
      <c r="AE144" s="288">
        <f t="shared" si="107"/>
        <v>0</v>
      </c>
      <c r="AF144" s="290" t="e">
        <f t="shared" si="108"/>
        <v>#REF!</v>
      </c>
      <c r="AG144" s="288">
        <f t="shared" si="116"/>
        <v>0</v>
      </c>
      <c r="AH144" s="290" t="e">
        <f t="shared" si="117"/>
        <v>#REF!</v>
      </c>
      <c r="AI144" s="288"/>
      <c r="AJ144" s="290" t="e">
        <f t="shared" si="111"/>
        <v>#REF!</v>
      </c>
      <c r="AK144" s="288"/>
      <c r="AL144" s="290" t="e">
        <f t="shared" si="112"/>
        <v>#REF!</v>
      </c>
      <c r="AM144" s="288">
        <f t="shared" si="113"/>
        <v>0</v>
      </c>
      <c r="AN144" s="290" t="e">
        <f t="shared" si="114"/>
        <v>#REF!</v>
      </c>
      <c r="AO144" s="349"/>
    </row>
    <row r="145" spans="2:41" s="345" customFormat="1" ht="30" hidden="1" customHeight="1">
      <c r="B145" s="346"/>
      <c r="C145" s="309">
        <f t="shared" si="115"/>
        <v>114</v>
      </c>
      <c r="D145" s="329" t="s">
        <v>591</v>
      </c>
      <c r="E145" s="329"/>
      <c r="F145" s="329" t="s">
        <v>591</v>
      </c>
      <c r="G145" s="393" t="s">
        <v>214</v>
      </c>
      <c r="H145" s="394" t="s">
        <v>82</v>
      </c>
      <c r="I145" s="289" t="e">
        <f>#REF!</f>
        <v>#REF!</v>
      </c>
      <c r="J145" s="288"/>
      <c r="K145" s="290" t="e">
        <f t="shared" si="96"/>
        <v>#REF!</v>
      </c>
      <c r="L145" s="288"/>
      <c r="M145" s="290" t="e">
        <f t="shared" si="97"/>
        <v>#REF!</v>
      </c>
      <c r="N145" s="288"/>
      <c r="O145" s="290" t="e">
        <f t="shared" si="98"/>
        <v>#REF!</v>
      </c>
      <c r="P145" s="288"/>
      <c r="Q145" s="290" t="e">
        <f t="shared" si="99"/>
        <v>#REF!</v>
      </c>
      <c r="R145" s="288"/>
      <c r="S145" s="290" t="e">
        <f t="shared" si="100"/>
        <v>#REF!</v>
      </c>
      <c r="T145" s="288">
        <f t="shared" si="101"/>
        <v>0</v>
      </c>
      <c r="U145" s="437"/>
      <c r="V145" s="290" t="e">
        <f t="shared" si="102"/>
        <v>#REF!</v>
      </c>
      <c r="W145" s="288"/>
      <c r="X145" s="290" t="e">
        <f t="shared" si="103"/>
        <v>#REF!</v>
      </c>
      <c r="Y145" s="288"/>
      <c r="Z145" s="290" t="e">
        <f t="shared" si="104"/>
        <v>#REF!</v>
      </c>
      <c r="AA145" s="288"/>
      <c r="AB145" s="290" t="e">
        <f t="shared" si="105"/>
        <v>#REF!</v>
      </c>
      <c r="AC145" s="288"/>
      <c r="AD145" s="290" t="e">
        <f t="shared" si="106"/>
        <v>#REF!</v>
      </c>
      <c r="AE145" s="288">
        <f t="shared" si="107"/>
        <v>0</v>
      </c>
      <c r="AF145" s="290" t="e">
        <f t="shared" si="108"/>
        <v>#REF!</v>
      </c>
      <c r="AG145" s="288">
        <f t="shared" si="116"/>
        <v>0</v>
      </c>
      <c r="AH145" s="290" t="e">
        <f t="shared" si="117"/>
        <v>#REF!</v>
      </c>
      <c r="AI145" s="288"/>
      <c r="AJ145" s="290" t="e">
        <f t="shared" si="111"/>
        <v>#REF!</v>
      </c>
      <c r="AK145" s="288"/>
      <c r="AL145" s="290" t="e">
        <f t="shared" si="112"/>
        <v>#REF!</v>
      </c>
      <c r="AM145" s="288">
        <f t="shared" si="113"/>
        <v>0</v>
      </c>
      <c r="AN145" s="290" t="e">
        <f t="shared" si="114"/>
        <v>#REF!</v>
      </c>
      <c r="AO145" s="349"/>
    </row>
    <row r="146" spans="2:41" s="345" customFormat="1" ht="30" hidden="1" customHeight="1">
      <c r="B146" s="346"/>
      <c r="C146" s="309">
        <f t="shared" si="115"/>
        <v>115</v>
      </c>
      <c r="D146" s="329" t="s">
        <v>592</v>
      </c>
      <c r="E146" s="329"/>
      <c r="F146" s="329" t="s">
        <v>592</v>
      </c>
      <c r="G146" s="393" t="s">
        <v>215</v>
      </c>
      <c r="H146" s="394" t="s">
        <v>82</v>
      </c>
      <c r="I146" s="289" t="e">
        <f>#REF!</f>
        <v>#REF!</v>
      </c>
      <c r="J146" s="288"/>
      <c r="K146" s="290" t="e">
        <f t="shared" si="96"/>
        <v>#REF!</v>
      </c>
      <c r="L146" s="288"/>
      <c r="M146" s="290" t="e">
        <f t="shared" si="97"/>
        <v>#REF!</v>
      </c>
      <c r="N146" s="288"/>
      <c r="O146" s="290" t="e">
        <f t="shared" si="98"/>
        <v>#REF!</v>
      </c>
      <c r="P146" s="288"/>
      <c r="Q146" s="290" t="e">
        <f t="shared" si="99"/>
        <v>#REF!</v>
      </c>
      <c r="R146" s="288"/>
      <c r="S146" s="290" t="e">
        <f t="shared" si="100"/>
        <v>#REF!</v>
      </c>
      <c r="T146" s="288">
        <f t="shared" si="101"/>
        <v>0</v>
      </c>
      <c r="U146" s="437"/>
      <c r="V146" s="290" t="e">
        <f t="shared" si="102"/>
        <v>#REF!</v>
      </c>
      <c r="W146" s="288"/>
      <c r="X146" s="290" t="e">
        <f t="shared" si="103"/>
        <v>#REF!</v>
      </c>
      <c r="Y146" s="288"/>
      <c r="Z146" s="290" t="e">
        <f t="shared" si="104"/>
        <v>#REF!</v>
      </c>
      <c r="AA146" s="288"/>
      <c r="AB146" s="290" t="e">
        <f t="shared" si="105"/>
        <v>#REF!</v>
      </c>
      <c r="AC146" s="288"/>
      <c r="AD146" s="290" t="e">
        <f t="shared" si="106"/>
        <v>#REF!</v>
      </c>
      <c r="AE146" s="288">
        <f t="shared" si="107"/>
        <v>0</v>
      </c>
      <c r="AF146" s="290" t="e">
        <f t="shared" si="108"/>
        <v>#REF!</v>
      </c>
      <c r="AG146" s="288">
        <f t="shared" si="116"/>
        <v>0</v>
      </c>
      <c r="AH146" s="290" t="e">
        <f t="shared" si="117"/>
        <v>#REF!</v>
      </c>
      <c r="AI146" s="288"/>
      <c r="AJ146" s="290" t="e">
        <f t="shared" si="111"/>
        <v>#REF!</v>
      </c>
      <c r="AK146" s="288"/>
      <c r="AL146" s="290" t="e">
        <f t="shared" si="112"/>
        <v>#REF!</v>
      </c>
      <c r="AM146" s="288">
        <f t="shared" si="113"/>
        <v>0</v>
      </c>
      <c r="AN146" s="290" t="e">
        <f t="shared" si="114"/>
        <v>#REF!</v>
      </c>
      <c r="AO146" s="349"/>
    </row>
    <row r="147" spans="2:41" s="345" customFormat="1" ht="30" hidden="1" customHeight="1">
      <c r="B147" s="346"/>
      <c r="C147" s="309">
        <f t="shared" si="115"/>
        <v>116</v>
      </c>
      <c r="D147" s="329" t="s">
        <v>593</v>
      </c>
      <c r="E147" s="329"/>
      <c r="F147" s="329" t="s">
        <v>593</v>
      </c>
      <c r="G147" s="393" t="s">
        <v>216</v>
      </c>
      <c r="H147" s="394" t="s">
        <v>82</v>
      </c>
      <c r="I147" s="289" t="e">
        <f>#REF!</f>
        <v>#REF!</v>
      </c>
      <c r="J147" s="288"/>
      <c r="K147" s="290" t="e">
        <f t="shared" si="96"/>
        <v>#REF!</v>
      </c>
      <c r="L147" s="288"/>
      <c r="M147" s="290" t="e">
        <f t="shared" si="97"/>
        <v>#REF!</v>
      </c>
      <c r="N147" s="288"/>
      <c r="O147" s="290" t="e">
        <f t="shared" si="98"/>
        <v>#REF!</v>
      </c>
      <c r="P147" s="288"/>
      <c r="Q147" s="290" t="e">
        <f t="shared" si="99"/>
        <v>#REF!</v>
      </c>
      <c r="R147" s="288"/>
      <c r="S147" s="290" t="e">
        <f t="shared" si="100"/>
        <v>#REF!</v>
      </c>
      <c r="T147" s="288">
        <f t="shared" si="101"/>
        <v>0</v>
      </c>
      <c r="U147" s="437"/>
      <c r="V147" s="290" t="e">
        <f t="shared" si="102"/>
        <v>#REF!</v>
      </c>
      <c r="W147" s="288"/>
      <c r="X147" s="290" t="e">
        <f t="shared" si="103"/>
        <v>#REF!</v>
      </c>
      <c r="Y147" s="288"/>
      <c r="Z147" s="290" t="e">
        <f t="shared" si="104"/>
        <v>#REF!</v>
      </c>
      <c r="AA147" s="288"/>
      <c r="AB147" s="290" t="e">
        <f t="shared" si="105"/>
        <v>#REF!</v>
      </c>
      <c r="AC147" s="288"/>
      <c r="AD147" s="290" t="e">
        <f t="shared" si="106"/>
        <v>#REF!</v>
      </c>
      <c r="AE147" s="288">
        <f t="shared" si="107"/>
        <v>0</v>
      </c>
      <c r="AF147" s="290" t="e">
        <f t="shared" si="108"/>
        <v>#REF!</v>
      </c>
      <c r="AG147" s="288">
        <f t="shared" si="116"/>
        <v>0</v>
      </c>
      <c r="AH147" s="290" t="e">
        <f t="shared" si="117"/>
        <v>#REF!</v>
      </c>
      <c r="AI147" s="288"/>
      <c r="AJ147" s="290" t="e">
        <f t="shared" si="111"/>
        <v>#REF!</v>
      </c>
      <c r="AK147" s="288"/>
      <c r="AL147" s="290" t="e">
        <f t="shared" si="112"/>
        <v>#REF!</v>
      </c>
      <c r="AM147" s="288">
        <f t="shared" si="113"/>
        <v>0</v>
      </c>
      <c r="AN147" s="290" t="e">
        <f t="shared" si="114"/>
        <v>#REF!</v>
      </c>
      <c r="AO147" s="349"/>
    </row>
    <row r="148" spans="2:41" s="345" customFormat="1" ht="30" hidden="1" customHeight="1">
      <c r="B148" s="346"/>
      <c r="C148" s="309">
        <f t="shared" si="115"/>
        <v>117</v>
      </c>
      <c r="D148" s="347" t="s">
        <v>594</v>
      </c>
      <c r="E148" s="329"/>
      <c r="F148" s="347" t="s">
        <v>594</v>
      </c>
      <c r="G148" s="393" t="s">
        <v>217</v>
      </c>
      <c r="H148" s="394" t="s">
        <v>82</v>
      </c>
      <c r="I148" s="289" t="e">
        <f>#REF!</f>
        <v>#REF!</v>
      </c>
      <c r="J148" s="288"/>
      <c r="K148" s="290" t="e">
        <f t="shared" si="96"/>
        <v>#REF!</v>
      </c>
      <c r="L148" s="288"/>
      <c r="M148" s="290" t="e">
        <f t="shared" si="97"/>
        <v>#REF!</v>
      </c>
      <c r="N148" s="288"/>
      <c r="O148" s="290" t="e">
        <f t="shared" si="98"/>
        <v>#REF!</v>
      </c>
      <c r="P148" s="288"/>
      <c r="Q148" s="290" t="e">
        <f t="shared" si="99"/>
        <v>#REF!</v>
      </c>
      <c r="R148" s="288"/>
      <c r="S148" s="290" t="e">
        <f t="shared" si="100"/>
        <v>#REF!</v>
      </c>
      <c r="T148" s="288">
        <f t="shared" si="101"/>
        <v>0</v>
      </c>
      <c r="U148" s="437"/>
      <c r="V148" s="290" t="e">
        <f t="shared" si="102"/>
        <v>#REF!</v>
      </c>
      <c r="W148" s="288"/>
      <c r="X148" s="290" t="e">
        <f t="shared" si="103"/>
        <v>#REF!</v>
      </c>
      <c r="Y148" s="288"/>
      <c r="Z148" s="290" t="e">
        <f t="shared" si="104"/>
        <v>#REF!</v>
      </c>
      <c r="AA148" s="288"/>
      <c r="AB148" s="290" t="e">
        <f t="shared" si="105"/>
        <v>#REF!</v>
      </c>
      <c r="AC148" s="288"/>
      <c r="AD148" s="290" t="e">
        <f t="shared" si="106"/>
        <v>#REF!</v>
      </c>
      <c r="AE148" s="288">
        <f t="shared" si="107"/>
        <v>0</v>
      </c>
      <c r="AF148" s="290" t="e">
        <f t="shared" si="108"/>
        <v>#REF!</v>
      </c>
      <c r="AG148" s="288">
        <f t="shared" si="116"/>
        <v>0</v>
      </c>
      <c r="AH148" s="290" t="e">
        <f t="shared" si="117"/>
        <v>#REF!</v>
      </c>
      <c r="AI148" s="288"/>
      <c r="AJ148" s="290" t="e">
        <f t="shared" si="111"/>
        <v>#REF!</v>
      </c>
      <c r="AK148" s="288"/>
      <c r="AL148" s="290" t="e">
        <f t="shared" si="112"/>
        <v>#REF!</v>
      </c>
      <c r="AM148" s="288">
        <f t="shared" si="113"/>
        <v>0</v>
      </c>
      <c r="AN148" s="290" t="e">
        <f t="shared" si="114"/>
        <v>#REF!</v>
      </c>
      <c r="AO148" s="349"/>
    </row>
    <row r="149" spans="2:41" s="345" customFormat="1" ht="30" hidden="1" customHeight="1">
      <c r="B149" s="346"/>
      <c r="C149" s="309">
        <f t="shared" si="115"/>
        <v>118</v>
      </c>
      <c r="D149" s="347" t="s">
        <v>595</v>
      </c>
      <c r="E149" s="347"/>
      <c r="F149" s="347" t="s">
        <v>595</v>
      </c>
      <c r="G149" s="344" t="s">
        <v>507</v>
      </c>
      <c r="H149" s="347" t="s">
        <v>82</v>
      </c>
      <c r="I149" s="388" t="e">
        <f>#REF!</f>
        <v>#REF!</v>
      </c>
      <c r="J149" s="288"/>
      <c r="K149" s="290" t="e">
        <f t="shared" ref="K149:K192" si="118">I149*J149</f>
        <v>#REF!</v>
      </c>
      <c r="L149" s="288"/>
      <c r="M149" s="290" t="e">
        <f t="shared" ref="M149:M192" si="119">L149*I149</f>
        <v>#REF!</v>
      </c>
      <c r="N149" s="288"/>
      <c r="O149" s="290" t="e">
        <f t="shared" ref="O149:O192" si="120">N149*I149</f>
        <v>#REF!</v>
      </c>
      <c r="P149" s="288"/>
      <c r="Q149" s="290" t="e">
        <f t="shared" ref="Q149:Q192" si="121">I149*P149</f>
        <v>#REF!</v>
      </c>
      <c r="R149" s="288"/>
      <c r="S149" s="290" t="e">
        <f t="shared" ref="S149:S192" si="122">R149*I149</f>
        <v>#REF!</v>
      </c>
      <c r="T149" s="288">
        <f t="shared" ref="T149:T192" si="123">J149+L149+N149+P149+R149</f>
        <v>0</v>
      </c>
      <c r="U149" s="437"/>
      <c r="V149" s="290" t="e">
        <f t="shared" ref="V149:V192" si="124">I149*T149</f>
        <v>#REF!</v>
      </c>
      <c r="W149" s="288"/>
      <c r="X149" s="290" t="e">
        <f t="shared" ref="X149:X192" si="125">W149*I149</f>
        <v>#REF!</v>
      </c>
      <c r="Y149" s="288"/>
      <c r="Z149" s="290" t="e">
        <f t="shared" ref="Z149:Z192" si="126">Y149*I149</f>
        <v>#REF!</v>
      </c>
      <c r="AA149" s="288"/>
      <c r="AB149" s="290" t="e">
        <f t="shared" ref="AB149:AB192" si="127">AA149*I149</f>
        <v>#REF!</v>
      </c>
      <c r="AC149" s="288"/>
      <c r="AD149" s="290" t="e">
        <f t="shared" ref="AD149:AD192" si="128">I149*AC149</f>
        <v>#REF!</v>
      </c>
      <c r="AE149" s="288">
        <f t="shared" ref="AE149:AE192" si="129">Y149+AA149+AC149+W149</f>
        <v>0</v>
      </c>
      <c r="AF149" s="290" t="e">
        <f t="shared" ref="AF149:AF192" si="130">AE149*I149</f>
        <v>#REF!</v>
      </c>
      <c r="AG149" s="288">
        <f t="shared" ref="AG149:AG180" si="131">T149+AE149</f>
        <v>0</v>
      </c>
      <c r="AH149" s="290" t="e">
        <f t="shared" ref="AH149:AH180" si="132">V149+AF149</f>
        <v>#REF!</v>
      </c>
      <c r="AI149" s="288"/>
      <c r="AJ149" s="290" t="e">
        <f t="shared" ref="AJ149:AJ192" si="133">AI149*I149</f>
        <v>#REF!</v>
      </c>
      <c r="AK149" s="288"/>
      <c r="AL149" s="290" t="e">
        <f t="shared" ref="AL149:AL192" si="134">AK149*I149</f>
        <v>#REF!</v>
      </c>
      <c r="AM149" s="288">
        <f t="shared" ref="AM149:AM192" si="135">AG149-AI149-AK149</f>
        <v>0</v>
      </c>
      <c r="AN149" s="290" t="e">
        <f t="shared" ref="AN149:AN192" si="136">AM149*I149</f>
        <v>#REF!</v>
      </c>
      <c r="AO149" s="349"/>
    </row>
    <row r="150" spans="2:41" s="345" customFormat="1" ht="30" hidden="1" customHeight="1">
      <c r="B150" s="346"/>
      <c r="C150" s="309">
        <f t="shared" si="115"/>
        <v>119</v>
      </c>
      <c r="D150" s="347" t="s">
        <v>596</v>
      </c>
      <c r="E150" s="347"/>
      <c r="F150" s="347" t="s">
        <v>596</v>
      </c>
      <c r="G150" s="344" t="s">
        <v>508</v>
      </c>
      <c r="H150" s="347" t="s">
        <v>82</v>
      </c>
      <c r="I150" s="388" t="e">
        <f>#REF!</f>
        <v>#REF!</v>
      </c>
      <c r="J150" s="288"/>
      <c r="K150" s="290" t="e">
        <f t="shared" si="118"/>
        <v>#REF!</v>
      </c>
      <c r="L150" s="288"/>
      <c r="M150" s="290" t="e">
        <f t="shared" si="119"/>
        <v>#REF!</v>
      </c>
      <c r="N150" s="288"/>
      <c r="O150" s="290" t="e">
        <f t="shared" si="120"/>
        <v>#REF!</v>
      </c>
      <c r="P150" s="288"/>
      <c r="Q150" s="290" t="e">
        <f t="shared" si="121"/>
        <v>#REF!</v>
      </c>
      <c r="R150" s="288"/>
      <c r="S150" s="290" t="e">
        <f t="shared" si="122"/>
        <v>#REF!</v>
      </c>
      <c r="T150" s="288">
        <f t="shared" si="123"/>
        <v>0</v>
      </c>
      <c r="U150" s="437"/>
      <c r="V150" s="290" t="e">
        <f t="shared" si="124"/>
        <v>#REF!</v>
      </c>
      <c r="W150" s="288"/>
      <c r="X150" s="290" t="e">
        <f t="shared" si="125"/>
        <v>#REF!</v>
      </c>
      <c r="Y150" s="288"/>
      <c r="Z150" s="290" t="e">
        <f t="shared" si="126"/>
        <v>#REF!</v>
      </c>
      <c r="AA150" s="288"/>
      <c r="AB150" s="290" t="e">
        <f t="shared" si="127"/>
        <v>#REF!</v>
      </c>
      <c r="AC150" s="288"/>
      <c r="AD150" s="290" t="e">
        <f t="shared" si="128"/>
        <v>#REF!</v>
      </c>
      <c r="AE150" s="288">
        <f t="shared" si="129"/>
        <v>0</v>
      </c>
      <c r="AF150" s="290" t="e">
        <f t="shared" si="130"/>
        <v>#REF!</v>
      </c>
      <c r="AG150" s="288">
        <f t="shared" si="131"/>
        <v>0</v>
      </c>
      <c r="AH150" s="290" t="e">
        <f t="shared" si="132"/>
        <v>#REF!</v>
      </c>
      <c r="AI150" s="288"/>
      <c r="AJ150" s="290" t="e">
        <f t="shared" si="133"/>
        <v>#REF!</v>
      </c>
      <c r="AK150" s="288"/>
      <c r="AL150" s="290" t="e">
        <f t="shared" si="134"/>
        <v>#REF!</v>
      </c>
      <c r="AM150" s="288">
        <f t="shared" si="135"/>
        <v>0</v>
      </c>
      <c r="AN150" s="290" t="e">
        <f t="shared" si="136"/>
        <v>#REF!</v>
      </c>
      <c r="AO150" s="349"/>
    </row>
    <row r="151" spans="2:41" s="345" customFormat="1" ht="30" hidden="1" customHeight="1">
      <c r="B151" s="346"/>
      <c r="C151" s="309">
        <f t="shared" ref="C151:C192" si="137">C150+1</f>
        <v>120</v>
      </c>
      <c r="D151" s="329">
        <v>642.20000000000005</v>
      </c>
      <c r="E151" s="329" t="s">
        <v>597</v>
      </c>
      <c r="F151" s="329"/>
      <c r="G151" s="393" t="s">
        <v>495</v>
      </c>
      <c r="H151" s="394" t="s">
        <v>81</v>
      </c>
      <c r="I151" s="289" t="e">
        <f>#REF!</f>
        <v>#REF!</v>
      </c>
      <c r="J151" s="288"/>
      <c r="K151" s="290" t="e">
        <f t="shared" si="118"/>
        <v>#REF!</v>
      </c>
      <c r="L151" s="288"/>
      <c r="M151" s="290" t="e">
        <f t="shared" si="119"/>
        <v>#REF!</v>
      </c>
      <c r="N151" s="288"/>
      <c r="O151" s="290" t="e">
        <f t="shared" si="120"/>
        <v>#REF!</v>
      </c>
      <c r="P151" s="288"/>
      <c r="Q151" s="290" t="e">
        <f t="shared" si="121"/>
        <v>#REF!</v>
      </c>
      <c r="R151" s="288"/>
      <c r="S151" s="290" t="e">
        <f t="shared" si="122"/>
        <v>#REF!</v>
      </c>
      <c r="T151" s="288">
        <f t="shared" si="123"/>
        <v>0</v>
      </c>
      <c r="U151" s="437"/>
      <c r="V151" s="290" t="e">
        <f t="shared" si="124"/>
        <v>#REF!</v>
      </c>
      <c r="W151" s="288"/>
      <c r="X151" s="290" t="e">
        <f t="shared" si="125"/>
        <v>#REF!</v>
      </c>
      <c r="Y151" s="288"/>
      <c r="Z151" s="290" t="e">
        <f t="shared" si="126"/>
        <v>#REF!</v>
      </c>
      <c r="AA151" s="288"/>
      <c r="AB151" s="290" t="e">
        <f t="shared" si="127"/>
        <v>#REF!</v>
      </c>
      <c r="AC151" s="288"/>
      <c r="AD151" s="290" t="e">
        <f t="shared" si="128"/>
        <v>#REF!</v>
      </c>
      <c r="AE151" s="288">
        <f t="shared" si="129"/>
        <v>0</v>
      </c>
      <c r="AF151" s="290" t="e">
        <f t="shared" si="130"/>
        <v>#REF!</v>
      </c>
      <c r="AG151" s="288">
        <f t="shared" si="131"/>
        <v>0</v>
      </c>
      <c r="AH151" s="290" t="e">
        <f t="shared" si="132"/>
        <v>#REF!</v>
      </c>
      <c r="AI151" s="288"/>
      <c r="AJ151" s="290" t="e">
        <f t="shared" si="133"/>
        <v>#REF!</v>
      </c>
      <c r="AK151" s="288"/>
      <c r="AL151" s="290" t="e">
        <f t="shared" si="134"/>
        <v>#REF!</v>
      </c>
      <c r="AM151" s="288">
        <f t="shared" si="135"/>
        <v>0</v>
      </c>
      <c r="AN151" s="290" t="e">
        <f t="shared" si="136"/>
        <v>#REF!</v>
      </c>
      <c r="AO151" s="349"/>
    </row>
    <row r="152" spans="2:41" s="345" customFormat="1" ht="30" hidden="1" customHeight="1">
      <c r="B152" s="346"/>
      <c r="C152" s="309">
        <f t="shared" si="137"/>
        <v>121</v>
      </c>
      <c r="D152" s="285" t="s">
        <v>494</v>
      </c>
      <c r="E152" s="285" t="s">
        <v>456</v>
      </c>
      <c r="F152" s="285"/>
      <c r="G152" s="287" t="s">
        <v>223</v>
      </c>
      <c r="H152" s="285" t="s">
        <v>81</v>
      </c>
      <c r="I152" s="289" t="e">
        <f>+#REF!</f>
        <v>#REF!</v>
      </c>
      <c r="J152" s="288"/>
      <c r="K152" s="290" t="e">
        <f t="shared" si="118"/>
        <v>#REF!</v>
      </c>
      <c r="L152" s="288"/>
      <c r="M152" s="290" t="e">
        <f t="shared" si="119"/>
        <v>#REF!</v>
      </c>
      <c r="N152" s="288"/>
      <c r="O152" s="290" t="e">
        <f t="shared" si="120"/>
        <v>#REF!</v>
      </c>
      <c r="P152" s="288"/>
      <c r="Q152" s="290" t="e">
        <f t="shared" si="121"/>
        <v>#REF!</v>
      </c>
      <c r="R152" s="288"/>
      <c r="S152" s="290" t="e">
        <f t="shared" si="122"/>
        <v>#REF!</v>
      </c>
      <c r="T152" s="288">
        <f t="shared" si="123"/>
        <v>0</v>
      </c>
      <c r="U152" s="437"/>
      <c r="V152" s="290" t="e">
        <f t="shared" si="124"/>
        <v>#REF!</v>
      </c>
      <c r="W152" s="288"/>
      <c r="X152" s="290" t="e">
        <f t="shared" si="125"/>
        <v>#REF!</v>
      </c>
      <c r="Y152" s="288"/>
      <c r="Z152" s="290" t="e">
        <f t="shared" si="126"/>
        <v>#REF!</v>
      </c>
      <c r="AA152" s="288"/>
      <c r="AB152" s="290" t="e">
        <f t="shared" si="127"/>
        <v>#REF!</v>
      </c>
      <c r="AC152" s="288"/>
      <c r="AD152" s="290" t="e">
        <f t="shared" si="128"/>
        <v>#REF!</v>
      </c>
      <c r="AE152" s="288">
        <f t="shared" si="129"/>
        <v>0</v>
      </c>
      <c r="AF152" s="290" t="e">
        <f t="shared" si="130"/>
        <v>#REF!</v>
      </c>
      <c r="AG152" s="288">
        <f t="shared" si="131"/>
        <v>0</v>
      </c>
      <c r="AH152" s="290" t="e">
        <f t="shared" si="132"/>
        <v>#REF!</v>
      </c>
      <c r="AI152" s="288"/>
      <c r="AJ152" s="290" t="e">
        <f t="shared" si="133"/>
        <v>#REF!</v>
      </c>
      <c r="AK152" s="288"/>
      <c r="AL152" s="290" t="e">
        <f t="shared" si="134"/>
        <v>#REF!</v>
      </c>
      <c r="AM152" s="288">
        <f t="shared" si="135"/>
        <v>0</v>
      </c>
      <c r="AN152" s="290" t="e">
        <f t="shared" si="136"/>
        <v>#REF!</v>
      </c>
      <c r="AO152" s="349"/>
    </row>
    <row r="153" spans="2:41" s="345" customFormat="1" ht="30" hidden="1" customHeight="1">
      <c r="B153" s="346"/>
      <c r="C153" s="309">
        <f t="shared" si="137"/>
        <v>122</v>
      </c>
      <c r="D153" s="329" t="s">
        <v>295</v>
      </c>
      <c r="E153" s="329"/>
      <c r="F153" s="329" t="s">
        <v>295</v>
      </c>
      <c r="G153" s="343" t="s">
        <v>350</v>
      </c>
      <c r="H153" s="329" t="s">
        <v>81</v>
      </c>
      <c r="I153" s="289" t="e">
        <f>#REF!</f>
        <v>#REF!</v>
      </c>
      <c r="J153" s="288"/>
      <c r="K153" s="290" t="e">
        <f t="shared" si="118"/>
        <v>#REF!</v>
      </c>
      <c r="L153" s="288"/>
      <c r="M153" s="290" t="e">
        <f t="shared" si="119"/>
        <v>#REF!</v>
      </c>
      <c r="N153" s="288"/>
      <c r="O153" s="290" t="e">
        <f t="shared" si="120"/>
        <v>#REF!</v>
      </c>
      <c r="P153" s="288"/>
      <c r="Q153" s="290" t="e">
        <f t="shared" si="121"/>
        <v>#REF!</v>
      </c>
      <c r="R153" s="288"/>
      <c r="S153" s="290" t="e">
        <f t="shared" si="122"/>
        <v>#REF!</v>
      </c>
      <c r="T153" s="288">
        <f t="shared" si="123"/>
        <v>0</v>
      </c>
      <c r="U153" s="437"/>
      <c r="V153" s="290" t="e">
        <f t="shared" si="124"/>
        <v>#REF!</v>
      </c>
      <c r="W153" s="288"/>
      <c r="X153" s="290" t="e">
        <f t="shared" si="125"/>
        <v>#REF!</v>
      </c>
      <c r="Y153" s="288"/>
      <c r="Z153" s="290" t="e">
        <f t="shared" si="126"/>
        <v>#REF!</v>
      </c>
      <c r="AA153" s="288"/>
      <c r="AB153" s="290" t="e">
        <f t="shared" si="127"/>
        <v>#REF!</v>
      </c>
      <c r="AC153" s="288"/>
      <c r="AD153" s="290" t="e">
        <f t="shared" si="128"/>
        <v>#REF!</v>
      </c>
      <c r="AE153" s="288">
        <f t="shared" si="129"/>
        <v>0</v>
      </c>
      <c r="AF153" s="290" t="e">
        <f t="shared" si="130"/>
        <v>#REF!</v>
      </c>
      <c r="AG153" s="288">
        <f t="shared" si="131"/>
        <v>0</v>
      </c>
      <c r="AH153" s="290" t="e">
        <f t="shared" si="132"/>
        <v>#REF!</v>
      </c>
      <c r="AI153" s="288"/>
      <c r="AJ153" s="290" t="e">
        <f t="shared" si="133"/>
        <v>#REF!</v>
      </c>
      <c r="AK153" s="288"/>
      <c r="AL153" s="290" t="e">
        <f t="shared" si="134"/>
        <v>#REF!</v>
      </c>
      <c r="AM153" s="288">
        <f t="shared" si="135"/>
        <v>0</v>
      </c>
      <c r="AN153" s="290" t="e">
        <f t="shared" si="136"/>
        <v>#REF!</v>
      </c>
      <c r="AO153" s="349"/>
    </row>
    <row r="154" spans="2:41" s="345" customFormat="1" ht="30" hidden="1" customHeight="1">
      <c r="B154" s="346"/>
      <c r="C154" s="309">
        <f t="shared" si="137"/>
        <v>123</v>
      </c>
      <c r="D154" s="329" t="s">
        <v>390</v>
      </c>
      <c r="E154" s="285"/>
      <c r="F154" s="329" t="s">
        <v>390</v>
      </c>
      <c r="G154" s="343" t="s">
        <v>351</v>
      </c>
      <c r="H154" s="329" t="s">
        <v>81</v>
      </c>
      <c r="I154" s="289" t="e">
        <f>#REF!</f>
        <v>#REF!</v>
      </c>
      <c r="J154" s="288"/>
      <c r="K154" s="290" t="e">
        <f t="shared" si="118"/>
        <v>#REF!</v>
      </c>
      <c r="L154" s="288"/>
      <c r="M154" s="290" t="e">
        <f t="shared" si="119"/>
        <v>#REF!</v>
      </c>
      <c r="N154" s="288"/>
      <c r="O154" s="290" t="e">
        <f t="shared" si="120"/>
        <v>#REF!</v>
      </c>
      <c r="P154" s="288"/>
      <c r="Q154" s="290" t="e">
        <f t="shared" si="121"/>
        <v>#REF!</v>
      </c>
      <c r="R154" s="288"/>
      <c r="S154" s="290" t="e">
        <f t="shared" si="122"/>
        <v>#REF!</v>
      </c>
      <c r="T154" s="288">
        <f t="shared" si="123"/>
        <v>0</v>
      </c>
      <c r="U154" s="437"/>
      <c r="V154" s="290" t="e">
        <f t="shared" si="124"/>
        <v>#REF!</v>
      </c>
      <c r="W154" s="288"/>
      <c r="X154" s="290" t="e">
        <f t="shared" si="125"/>
        <v>#REF!</v>
      </c>
      <c r="Y154" s="288"/>
      <c r="Z154" s="290" t="e">
        <f t="shared" si="126"/>
        <v>#REF!</v>
      </c>
      <c r="AA154" s="288"/>
      <c r="AB154" s="290" t="e">
        <f t="shared" si="127"/>
        <v>#REF!</v>
      </c>
      <c r="AC154" s="288"/>
      <c r="AD154" s="290" t="e">
        <f t="shared" si="128"/>
        <v>#REF!</v>
      </c>
      <c r="AE154" s="288">
        <f t="shared" si="129"/>
        <v>0</v>
      </c>
      <c r="AF154" s="290" t="e">
        <f t="shared" si="130"/>
        <v>#REF!</v>
      </c>
      <c r="AG154" s="288">
        <f t="shared" si="131"/>
        <v>0</v>
      </c>
      <c r="AH154" s="290" t="e">
        <f t="shared" si="132"/>
        <v>#REF!</v>
      </c>
      <c r="AI154" s="288"/>
      <c r="AJ154" s="290" t="e">
        <f t="shared" si="133"/>
        <v>#REF!</v>
      </c>
      <c r="AK154" s="288"/>
      <c r="AL154" s="290" t="e">
        <f t="shared" si="134"/>
        <v>#REF!</v>
      </c>
      <c r="AM154" s="288">
        <f t="shared" si="135"/>
        <v>0</v>
      </c>
      <c r="AN154" s="290" t="e">
        <f t="shared" si="136"/>
        <v>#REF!</v>
      </c>
      <c r="AO154" s="349"/>
    </row>
    <row r="155" spans="2:41" s="345" customFormat="1" ht="30" hidden="1" customHeight="1">
      <c r="B155" s="346"/>
      <c r="C155" s="309">
        <f t="shared" si="137"/>
        <v>124</v>
      </c>
      <c r="D155" s="329" t="s">
        <v>391</v>
      </c>
      <c r="E155" s="329"/>
      <c r="F155" s="329" t="s">
        <v>391</v>
      </c>
      <c r="G155" s="343" t="s">
        <v>352</v>
      </c>
      <c r="H155" s="329" t="s">
        <v>81</v>
      </c>
      <c r="I155" s="289" t="e">
        <f>#REF!</f>
        <v>#REF!</v>
      </c>
      <c r="J155" s="288"/>
      <c r="K155" s="290" t="e">
        <f t="shared" si="118"/>
        <v>#REF!</v>
      </c>
      <c r="L155" s="288"/>
      <c r="M155" s="290" t="e">
        <f t="shared" si="119"/>
        <v>#REF!</v>
      </c>
      <c r="N155" s="288"/>
      <c r="O155" s="290" t="e">
        <f t="shared" si="120"/>
        <v>#REF!</v>
      </c>
      <c r="P155" s="288"/>
      <c r="Q155" s="290" t="e">
        <f t="shared" si="121"/>
        <v>#REF!</v>
      </c>
      <c r="R155" s="288"/>
      <c r="S155" s="290" t="e">
        <f t="shared" si="122"/>
        <v>#REF!</v>
      </c>
      <c r="T155" s="288">
        <f t="shared" si="123"/>
        <v>0</v>
      </c>
      <c r="U155" s="437"/>
      <c r="V155" s="290" t="e">
        <f t="shared" si="124"/>
        <v>#REF!</v>
      </c>
      <c r="W155" s="288"/>
      <c r="X155" s="290" t="e">
        <f t="shared" si="125"/>
        <v>#REF!</v>
      </c>
      <c r="Y155" s="288"/>
      <c r="Z155" s="290" t="e">
        <f t="shared" si="126"/>
        <v>#REF!</v>
      </c>
      <c r="AA155" s="288"/>
      <c r="AB155" s="290" t="e">
        <f t="shared" si="127"/>
        <v>#REF!</v>
      </c>
      <c r="AC155" s="288"/>
      <c r="AD155" s="290" t="e">
        <f t="shared" si="128"/>
        <v>#REF!</v>
      </c>
      <c r="AE155" s="288">
        <f t="shared" si="129"/>
        <v>0</v>
      </c>
      <c r="AF155" s="290" t="e">
        <f t="shared" si="130"/>
        <v>#REF!</v>
      </c>
      <c r="AG155" s="288">
        <f t="shared" si="131"/>
        <v>0</v>
      </c>
      <c r="AH155" s="290" t="e">
        <f t="shared" si="132"/>
        <v>#REF!</v>
      </c>
      <c r="AI155" s="288"/>
      <c r="AJ155" s="290" t="e">
        <f t="shared" si="133"/>
        <v>#REF!</v>
      </c>
      <c r="AK155" s="288"/>
      <c r="AL155" s="290" t="e">
        <f t="shared" si="134"/>
        <v>#REF!</v>
      </c>
      <c r="AM155" s="288">
        <f t="shared" si="135"/>
        <v>0</v>
      </c>
      <c r="AN155" s="290" t="e">
        <f t="shared" si="136"/>
        <v>#REF!</v>
      </c>
      <c r="AO155" s="349"/>
    </row>
    <row r="156" spans="2:41" s="345" customFormat="1" ht="30" hidden="1" customHeight="1">
      <c r="B156" s="346"/>
      <c r="C156" s="309">
        <f t="shared" si="137"/>
        <v>125</v>
      </c>
      <c r="D156" s="329" t="s">
        <v>582</v>
      </c>
      <c r="E156" s="329"/>
      <c r="F156" s="329" t="s">
        <v>582</v>
      </c>
      <c r="G156" s="343" t="s">
        <v>538</v>
      </c>
      <c r="H156" s="329" t="s">
        <v>81</v>
      </c>
      <c r="I156" s="289" t="e">
        <f>#REF!</f>
        <v>#REF!</v>
      </c>
      <c r="J156" s="288"/>
      <c r="K156" s="290" t="e">
        <f t="shared" si="118"/>
        <v>#REF!</v>
      </c>
      <c r="L156" s="288"/>
      <c r="M156" s="290" t="e">
        <f t="shared" si="119"/>
        <v>#REF!</v>
      </c>
      <c r="N156" s="288"/>
      <c r="O156" s="290" t="e">
        <f t="shared" si="120"/>
        <v>#REF!</v>
      </c>
      <c r="P156" s="288"/>
      <c r="Q156" s="290" t="e">
        <f t="shared" si="121"/>
        <v>#REF!</v>
      </c>
      <c r="R156" s="288"/>
      <c r="S156" s="290" t="e">
        <f t="shared" si="122"/>
        <v>#REF!</v>
      </c>
      <c r="T156" s="288">
        <f t="shared" si="123"/>
        <v>0</v>
      </c>
      <c r="U156" s="437"/>
      <c r="V156" s="290" t="e">
        <f t="shared" si="124"/>
        <v>#REF!</v>
      </c>
      <c r="W156" s="288"/>
      <c r="X156" s="290" t="e">
        <f t="shared" si="125"/>
        <v>#REF!</v>
      </c>
      <c r="Y156" s="288"/>
      <c r="Z156" s="290" t="e">
        <f t="shared" si="126"/>
        <v>#REF!</v>
      </c>
      <c r="AA156" s="288"/>
      <c r="AB156" s="290" t="e">
        <f t="shared" si="127"/>
        <v>#REF!</v>
      </c>
      <c r="AC156" s="288"/>
      <c r="AD156" s="290" t="e">
        <f t="shared" si="128"/>
        <v>#REF!</v>
      </c>
      <c r="AE156" s="288">
        <f t="shared" si="129"/>
        <v>0</v>
      </c>
      <c r="AF156" s="290" t="e">
        <f t="shared" si="130"/>
        <v>#REF!</v>
      </c>
      <c r="AG156" s="288">
        <f t="shared" si="131"/>
        <v>0</v>
      </c>
      <c r="AH156" s="290" t="e">
        <f t="shared" si="132"/>
        <v>#REF!</v>
      </c>
      <c r="AI156" s="288"/>
      <c r="AJ156" s="290" t="e">
        <f t="shared" si="133"/>
        <v>#REF!</v>
      </c>
      <c r="AK156" s="288"/>
      <c r="AL156" s="290" t="e">
        <f t="shared" si="134"/>
        <v>#REF!</v>
      </c>
      <c r="AM156" s="288">
        <f t="shared" si="135"/>
        <v>0</v>
      </c>
      <c r="AN156" s="290" t="e">
        <f t="shared" si="136"/>
        <v>#REF!</v>
      </c>
      <c r="AO156" s="349"/>
    </row>
    <row r="157" spans="2:41" s="345" customFormat="1" ht="30" hidden="1" customHeight="1">
      <c r="B157" s="346"/>
      <c r="C157" s="309">
        <f t="shared" si="137"/>
        <v>126</v>
      </c>
      <c r="D157" s="285" t="s">
        <v>583</v>
      </c>
      <c r="E157" s="285"/>
      <c r="F157" s="285" t="s">
        <v>583</v>
      </c>
      <c r="G157" s="287" t="s">
        <v>370</v>
      </c>
      <c r="H157" s="386" t="s">
        <v>145</v>
      </c>
      <c r="I157" s="289" t="e">
        <f>#REF!</f>
        <v>#REF!</v>
      </c>
      <c r="J157" s="288"/>
      <c r="K157" s="290" t="e">
        <f t="shared" si="118"/>
        <v>#REF!</v>
      </c>
      <c r="L157" s="288"/>
      <c r="M157" s="290" t="e">
        <f t="shared" si="119"/>
        <v>#REF!</v>
      </c>
      <c r="N157" s="288"/>
      <c r="O157" s="290" t="e">
        <f t="shared" si="120"/>
        <v>#REF!</v>
      </c>
      <c r="P157" s="288"/>
      <c r="Q157" s="290" t="e">
        <f t="shared" si="121"/>
        <v>#REF!</v>
      </c>
      <c r="R157" s="288"/>
      <c r="S157" s="290" t="e">
        <f t="shared" si="122"/>
        <v>#REF!</v>
      </c>
      <c r="T157" s="288">
        <f t="shared" si="123"/>
        <v>0</v>
      </c>
      <c r="U157" s="437"/>
      <c r="V157" s="290" t="e">
        <f t="shared" si="124"/>
        <v>#REF!</v>
      </c>
      <c r="W157" s="288"/>
      <c r="X157" s="290" t="e">
        <f t="shared" si="125"/>
        <v>#REF!</v>
      </c>
      <c r="Y157" s="288"/>
      <c r="Z157" s="290" t="e">
        <f t="shared" si="126"/>
        <v>#REF!</v>
      </c>
      <c r="AA157" s="288"/>
      <c r="AB157" s="290" t="e">
        <f t="shared" si="127"/>
        <v>#REF!</v>
      </c>
      <c r="AC157" s="288"/>
      <c r="AD157" s="290" t="e">
        <f t="shared" si="128"/>
        <v>#REF!</v>
      </c>
      <c r="AE157" s="288">
        <f t="shared" si="129"/>
        <v>0</v>
      </c>
      <c r="AF157" s="290" t="e">
        <f t="shared" si="130"/>
        <v>#REF!</v>
      </c>
      <c r="AG157" s="288">
        <f t="shared" si="131"/>
        <v>0</v>
      </c>
      <c r="AH157" s="290" t="e">
        <f t="shared" si="132"/>
        <v>#REF!</v>
      </c>
      <c r="AI157" s="288"/>
      <c r="AJ157" s="290" t="e">
        <f t="shared" si="133"/>
        <v>#REF!</v>
      </c>
      <c r="AK157" s="288"/>
      <c r="AL157" s="290" t="e">
        <f t="shared" si="134"/>
        <v>#REF!</v>
      </c>
      <c r="AM157" s="288">
        <f t="shared" si="135"/>
        <v>0</v>
      </c>
      <c r="AN157" s="290" t="e">
        <f t="shared" si="136"/>
        <v>#REF!</v>
      </c>
      <c r="AO157" s="349"/>
    </row>
    <row r="158" spans="2:41" s="345" customFormat="1" ht="30" hidden="1" customHeight="1">
      <c r="B158" s="346"/>
      <c r="C158" s="309">
        <f t="shared" si="137"/>
        <v>127</v>
      </c>
      <c r="D158" s="329" t="s">
        <v>690</v>
      </c>
      <c r="E158" s="329" t="s">
        <v>694</v>
      </c>
      <c r="F158" s="329"/>
      <c r="G158" s="343" t="s">
        <v>707</v>
      </c>
      <c r="H158" s="329" t="s">
        <v>79</v>
      </c>
      <c r="I158" s="289" t="e">
        <f>#REF!</f>
        <v>#REF!</v>
      </c>
      <c r="J158" s="288"/>
      <c r="K158" s="290" t="e">
        <f t="shared" si="118"/>
        <v>#REF!</v>
      </c>
      <c r="L158" s="288"/>
      <c r="M158" s="290" t="e">
        <f t="shared" si="119"/>
        <v>#REF!</v>
      </c>
      <c r="N158" s="288"/>
      <c r="O158" s="290" t="e">
        <f t="shared" si="120"/>
        <v>#REF!</v>
      </c>
      <c r="P158" s="288"/>
      <c r="Q158" s="290" t="e">
        <f t="shared" si="121"/>
        <v>#REF!</v>
      </c>
      <c r="R158" s="288"/>
      <c r="S158" s="290" t="e">
        <f t="shared" si="122"/>
        <v>#REF!</v>
      </c>
      <c r="T158" s="288">
        <f t="shared" si="123"/>
        <v>0</v>
      </c>
      <c r="U158" s="437"/>
      <c r="V158" s="290" t="e">
        <f t="shared" si="124"/>
        <v>#REF!</v>
      </c>
      <c r="W158" s="288"/>
      <c r="X158" s="290" t="e">
        <f t="shared" si="125"/>
        <v>#REF!</v>
      </c>
      <c r="Y158" s="288"/>
      <c r="Z158" s="290" t="e">
        <f t="shared" si="126"/>
        <v>#REF!</v>
      </c>
      <c r="AA158" s="288"/>
      <c r="AB158" s="290" t="e">
        <f t="shared" si="127"/>
        <v>#REF!</v>
      </c>
      <c r="AC158" s="288"/>
      <c r="AD158" s="290" t="e">
        <f t="shared" si="128"/>
        <v>#REF!</v>
      </c>
      <c r="AE158" s="288">
        <f t="shared" si="129"/>
        <v>0</v>
      </c>
      <c r="AF158" s="290" t="e">
        <f t="shared" si="130"/>
        <v>#REF!</v>
      </c>
      <c r="AG158" s="288">
        <f t="shared" si="131"/>
        <v>0</v>
      </c>
      <c r="AH158" s="290" t="e">
        <f t="shared" si="132"/>
        <v>#REF!</v>
      </c>
      <c r="AI158" s="288"/>
      <c r="AJ158" s="290" t="e">
        <f t="shared" si="133"/>
        <v>#REF!</v>
      </c>
      <c r="AK158" s="288"/>
      <c r="AL158" s="290" t="e">
        <f t="shared" si="134"/>
        <v>#REF!</v>
      </c>
      <c r="AM158" s="288">
        <f t="shared" si="135"/>
        <v>0</v>
      </c>
      <c r="AN158" s="290" t="e">
        <f t="shared" si="136"/>
        <v>#REF!</v>
      </c>
      <c r="AO158" s="349"/>
    </row>
    <row r="159" spans="2:41" s="345" customFormat="1" ht="30" hidden="1" customHeight="1">
      <c r="B159" s="346"/>
      <c r="C159" s="309">
        <f t="shared" si="137"/>
        <v>128</v>
      </c>
      <c r="D159" s="329" t="s">
        <v>691</v>
      </c>
      <c r="E159" s="329" t="s">
        <v>694</v>
      </c>
      <c r="F159" s="329"/>
      <c r="G159" s="343" t="s">
        <v>692</v>
      </c>
      <c r="H159" s="329" t="s">
        <v>79</v>
      </c>
      <c r="I159" s="289" t="e">
        <f>#REF!</f>
        <v>#REF!</v>
      </c>
      <c r="J159" s="288"/>
      <c r="K159" s="290" t="e">
        <f t="shared" si="118"/>
        <v>#REF!</v>
      </c>
      <c r="L159" s="288"/>
      <c r="M159" s="290" t="e">
        <f t="shared" si="119"/>
        <v>#REF!</v>
      </c>
      <c r="N159" s="288"/>
      <c r="O159" s="290" t="e">
        <f t="shared" si="120"/>
        <v>#REF!</v>
      </c>
      <c r="P159" s="288"/>
      <c r="Q159" s="290" t="e">
        <f t="shared" si="121"/>
        <v>#REF!</v>
      </c>
      <c r="R159" s="288"/>
      <c r="S159" s="290" t="e">
        <f t="shared" si="122"/>
        <v>#REF!</v>
      </c>
      <c r="T159" s="288">
        <f t="shared" si="123"/>
        <v>0</v>
      </c>
      <c r="U159" s="437"/>
      <c r="V159" s="290" t="e">
        <f t="shared" si="124"/>
        <v>#REF!</v>
      </c>
      <c r="W159" s="288"/>
      <c r="X159" s="290" t="e">
        <f t="shared" si="125"/>
        <v>#REF!</v>
      </c>
      <c r="Y159" s="288"/>
      <c r="Z159" s="290" t="e">
        <f t="shared" si="126"/>
        <v>#REF!</v>
      </c>
      <c r="AA159" s="288"/>
      <c r="AB159" s="290" t="e">
        <f t="shared" si="127"/>
        <v>#REF!</v>
      </c>
      <c r="AC159" s="288"/>
      <c r="AD159" s="290" t="e">
        <f t="shared" si="128"/>
        <v>#REF!</v>
      </c>
      <c r="AE159" s="288">
        <f t="shared" si="129"/>
        <v>0</v>
      </c>
      <c r="AF159" s="290" t="e">
        <f t="shared" si="130"/>
        <v>#REF!</v>
      </c>
      <c r="AG159" s="288">
        <f t="shared" si="131"/>
        <v>0</v>
      </c>
      <c r="AH159" s="290" t="e">
        <f t="shared" si="132"/>
        <v>#REF!</v>
      </c>
      <c r="AI159" s="288"/>
      <c r="AJ159" s="290" t="e">
        <f t="shared" si="133"/>
        <v>#REF!</v>
      </c>
      <c r="AK159" s="288"/>
      <c r="AL159" s="290" t="e">
        <f t="shared" si="134"/>
        <v>#REF!</v>
      </c>
      <c r="AM159" s="288">
        <f t="shared" si="135"/>
        <v>0</v>
      </c>
      <c r="AN159" s="290" t="e">
        <f t="shared" si="136"/>
        <v>#REF!</v>
      </c>
      <c r="AO159" s="349"/>
    </row>
    <row r="160" spans="2:41" s="345" customFormat="1" ht="30" hidden="1" customHeight="1">
      <c r="B160" s="346"/>
      <c r="C160" s="309">
        <f t="shared" si="137"/>
        <v>129</v>
      </c>
      <c r="D160" s="329" t="s">
        <v>693</v>
      </c>
      <c r="E160" s="329" t="s">
        <v>694</v>
      </c>
      <c r="F160" s="329"/>
      <c r="G160" s="343" t="s">
        <v>708</v>
      </c>
      <c r="H160" s="329" t="s">
        <v>79</v>
      </c>
      <c r="I160" s="289" t="e">
        <f>#REF!</f>
        <v>#REF!</v>
      </c>
      <c r="J160" s="288"/>
      <c r="K160" s="290" t="e">
        <f t="shared" si="118"/>
        <v>#REF!</v>
      </c>
      <c r="L160" s="288"/>
      <c r="M160" s="290" t="e">
        <f t="shared" si="119"/>
        <v>#REF!</v>
      </c>
      <c r="N160" s="288"/>
      <c r="O160" s="290" t="e">
        <f t="shared" si="120"/>
        <v>#REF!</v>
      </c>
      <c r="P160" s="288"/>
      <c r="Q160" s="290" t="e">
        <f t="shared" si="121"/>
        <v>#REF!</v>
      </c>
      <c r="R160" s="288"/>
      <c r="S160" s="290" t="e">
        <f t="shared" si="122"/>
        <v>#REF!</v>
      </c>
      <c r="T160" s="288">
        <f t="shared" si="123"/>
        <v>0</v>
      </c>
      <c r="U160" s="437"/>
      <c r="V160" s="290" t="e">
        <f t="shared" si="124"/>
        <v>#REF!</v>
      </c>
      <c r="W160" s="288"/>
      <c r="X160" s="290" t="e">
        <f t="shared" si="125"/>
        <v>#REF!</v>
      </c>
      <c r="Y160" s="288"/>
      <c r="Z160" s="290" t="e">
        <f t="shared" si="126"/>
        <v>#REF!</v>
      </c>
      <c r="AA160" s="288"/>
      <c r="AB160" s="290" t="e">
        <f t="shared" si="127"/>
        <v>#REF!</v>
      </c>
      <c r="AC160" s="288"/>
      <c r="AD160" s="290" t="e">
        <f t="shared" si="128"/>
        <v>#REF!</v>
      </c>
      <c r="AE160" s="288">
        <f t="shared" si="129"/>
        <v>0</v>
      </c>
      <c r="AF160" s="290" t="e">
        <f t="shared" si="130"/>
        <v>#REF!</v>
      </c>
      <c r="AG160" s="288">
        <f t="shared" si="131"/>
        <v>0</v>
      </c>
      <c r="AH160" s="290" t="e">
        <f t="shared" si="132"/>
        <v>#REF!</v>
      </c>
      <c r="AI160" s="288"/>
      <c r="AJ160" s="290" t="e">
        <f t="shared" si="133"/>
        <v>#REF!</v>
      </c>
      <c r="AK160" s="288"/>
      <c r="AL160" s="290" t="e">
        <f t="shared" si="134"/>
        <v>#REF!</v>
      </c>
      <c r="AM160" s="288">
        <f t="shared" si="135"/>
        <v>0</v>
      </c>
      <c r="AN160" s="290" t="e">
        <f t="shared" si="136"/>
        <v>#REF!</v>
      </c>
      <c r="AO160" s="349"/>
    </row>
    <row r="161" spans="2:41" s="345" customFormat="1" ht="30" hidden="1" customHeight="1">
      <c r="B161" s="346"/>
      <c r="C161" s="309">
        <f>C157+1</f>
        <v>127</v>
      </c>
      <c r="D161" s="329" t="s">
        <v>705</v>
      </c>
      <c r="E161" s="329"/>
      <c r="F161" s="329" t="s">
        <v>705</v>
      </c>
      <c r="G161" s="343" t="s">
        <v>361</v>
      </c>
      <c r="H161" s="329" t="s">
        <v>79</v>
      </c>
      <c r="I161" s="289" t="e">
        <f>#REF!</f>
        <v>#REF!</v>
      </c>
      <c r="J161" s="288"/>
      <c r="K161" s="290" t="e">
        <f t="shared" si="118"/>
        <v>#REF!</v>
      </c>
      <c r="L161" s="288"/>
      <c r="M161" s="290" t="e">
        <f t="shared" si="119"/>
        <v>#REF!</v>
      </c>
      <c r="N161" s="288"/>
      <c r="O161" s="290" t="e">
        <f t="shared" si="120"/>
        <v>#REF!</v>
      </c>
      <c r="P161" s="288"/>
      <c r="Q161" s="290" t="e">
        <f t="shared" si="121"/>
        <v>#REF!</v>
      </c>
      <c r="R161" s="288"/>
      <c r="S161" s="290" t="e">
        <f t="shared" si="122"/>
        <v>#REF!</v>
      </c>
      <c r="T161" s="288">
        <f t="shared" si="123"/>
        <v>0</v>
      </c>
      <c r="U161" s="437"/>
      <c r="V161" s="290" t="e">
        <f t="shared" si="124"/>
        <v>#REF!</v>
      </c>
      <c r="W161" s="288"/>
      <c r="X161" s="290" t="e">
        <f t="shared" si="125"/>
        <v>#REF!</v>
      </c>
      <c r="Y161" s="288"/>
      <c r="Z161" s="290" t="e">
        <f t="shared" si="126"/>
        <v>#REF!</v>
      </c>
      <c r="AA161" s="288"/>
      <c r="AB161" s="290" t="e">
        <f t="shared" si="127"/>
        <v>#REF!</v>
      </c>
      <c r="AC161" s="288"/>
      <c r="AD161" s="290" t="e">
        <f t="shared" si="128"/>
        <v>#REF!</v>
      </c>
      <c r="AE161" s="288">
        <f t="shared" si="129"/>
        <v>0</v>
      </c>
      <c r="AF161" s="290" t="e">
        <f t="shared" si="130"/>
        <v>#REF!</v>
      </c>
      <c r="AG161" s="288">
        <f t="shared" si="131"/>
        <v>0</v>
      </c>
      <c r="AH161" s="290" t="e">
        <f t="shared" si="132"/>
        <v>#REF!</v>
      </c>
      <c r="AI161" s="288"/>
      <c r="AJ161" s="290" t="e">
        <f t="shared" si="133"/>
        <v>#REF!</v>
      </c>
      <c r="AK161" s="288"/>
      <c r="AL161" s="290" t="e">
        <f t="shared" si="134"/>
        <v>#REF!</v>
      </c>
      <c r="AM161" s="288">
        <f t="shared" si="135"/>
        <v>0</v>
      </c>
      <c r="AN161" s="290" t="e">
        <f t="shared" si="136"/>
        <v>#REF!</v>
      </c>
      <c r="AO161" s="349"/>
    </row>
    <row r="162" spans="2:41" s="345" customFormat="1" ht="30" hidden="1" customHeight="1">
      <c r="B162" s="346"/>
      <c r="C162" s="309">
        <f>C158+1</f>
        <v>128</v>
      </c>
      <c r="D162" s="329" t="s">
        <v>400</v>
      </c>
      <c r="E162" s="329"/>
      <c r="F162" s="329" t="s">
        <v>400</v>
      </c>
      <c r="G162" s="343" t="s">
        <v>706</v>
      </c>
      <c r="H162" s="329" t="s">
        <v>79</v>
      </c>
      <c r="I162" s="289" t="e">
        <f>#REF!</f>
        <v>#REF!</v>
      </c>
      <c r="J162" s="288"/>
      <c r="K162" s="290" t="e">
        <f t="shared" si="118"/>
        <v>#REF!</v>
      </c>
      <c r="L162" s="288"/>
      <c r="M162" s="290" t="e">
        <f t="shared" si="119"/>
        <v>#REF!</v>
      </c>
      <c r="N162" s="288"/>
      <c r="O162" s="290" t="e">
        <f t="shared" si="120"/>
        <v>#REF!</v>
      </c>
      <c r="P162" s="288"/>
      <c r="Q162" s="290" t="e">
        <f t="shared" si="121"/>
        <v>#REF!</v>
      </c>
      <c r="R162" s="288"/>
      <c r="S162" s="290" t="e">
        <f t="shared" si="122"/>
        <v>#REF!</v>
      </c>
      <c r="T162" s="288">
        <f t="shared" si="123"/>
        <v>0</v>
      </c>
      <c r="U162" s="437"/>
      <c r="V162" s="290" t="e">
        <f t="shared" si="124"/>
        <v>#REF!</v>
      </c>
      <c r="W162" s="288"/>
      <c r="X162" s="290" t="e">
        <f t="shared" si="125"/>
        <v>#REF!</v>
      </c>
      <c r="Y162" s="288"/>
      <c r="Z162" s="290" t="e">
        <f t="shared" si="126"/>
        <v>#REF!</v>
      </c>
      <c r="AA162" s="288"/>
      <c r="AB162" s="290" t="e">
        <f t="shared" si="127"/>
        <v>#REF!</v>
      </c>
      <c r="AC162" s="288"/>
      <c r="AD162" s="290" t="e">
        <f t="shared" si="128"/>
        <v>#REF!</v>
      </c>
      <c r="AE162" s="288">
        <f t="shared" si="129"/>
        <v>0</v>
      </c>
      <c r="AF162" s="290" t="e">
        <f t="shared" si="130"/>
        <v>#REF!</v>
      </c>
      <c r="AG162" s="288">
        <f t="shared" si="131"/>
        <v>0</v>
      </c>
      <c r="AH162" s="290" t="e">
        <f t="shared" si="132"/>
        <v>#REF!</v>
      </c>
      <c r="AI162" s="288"/>
      <c r="AJ162" s="290" t="e">
        <f t="shared" si="133"/>
        <v>#REF!</v>
      </c>
      <c r="AK162" s="288"/>
      <c r="AL162" s="290" t="e">
        <f t="shared" si="134"/>
        <v>#REF!</v>
      </c>
      <c r="AM162" s="288">
        <f t="shared" si="135"/>
        <v>0</v>
      </c>
      <c r="AN162" s="290" t="e">
        <f t="shared" si="136"/>
        <v>#REF!</v>
      </c>
      <c r="AO162" s="349"/>
    </row>
    <row r="163" spans="2:41" s="345" customFormat="1" ht="30" hidden="1" customHeight="1">
      <c r="B163" s="346"/>
      <c r="C163" s="309">
        <f t="shared" si="137"/>
        <v>129</v>
      </c>
      <c r="D163" s="329" t="s">
        <v>362</v>
      </c>
      <c r="E163" s="329"/>
      <c r="F163" s="329" t="s">
        <v>362</v>
      </c>
      <c r="G163" s="343" t="s">
        <v>363</v>
      </c>
      <c r="H163" s="329" t="s">
        <v>79</v>
      </c>
      <c r="I163" s="289" t="e">
        <f>#REF!</f>
        <v>#REF!</v>
      </c>
      <c r="J163" s="288"/>
      <c r="K163" s="290" t="e">
        <f t="shared" si="118"/>
        <v>#REF!</v>
      </c>
      <c r="L163" s="288"/>
      <c r="M163" s="290" t="e">
        <f t="shared" si="119"/>
        <v>#REF!</v>
      </c>
      <c r="N163" s="288"/>
      <c r="O163" s="290" t="e">
        <f t="shared" si="120"/>
        <v>#REF!</v>
      </c>
      <c r="P163" s="288"/>
      <c r="Q163" s="290" t="e">
        <f t="shared" si="121"/>
        <v>#REF!</v>
      </c>
      <c r="R163" s="288"/>
      <c r="S163" s="290" t="e">
        <f t="shared" si="122"/>
        <v>#REF!</v>
      </c>
      <c r="T163" s="288">
        <f t="shared" si="123"/>
        <v>0</v>
      </c>
      <c r="U163" s="437"/>
      <c r="V163" s="290" t="e">
        <f t="shared" si="124"/>
        <v>#REF!</v>
      </c>
      <c r="W163" s="288"/>
      <c r="X163" s="290" t="e">
        <f t="shared" si="125"/>
        <v>#REF!</v>
      </c>
      <c r="Y163" s="288"/>
      <c r="Z163" s="290" t="e">
        <f t="shared" si="126"/>
        <v>#REF!</v>
      </c>
      <c r="AA163" s="288"/>
      <c r="AB163" s="290" t="e">
        <f t="shared" si="127"/>
        <v>#REF!</v>
      </c>
      <c r="AC163" s="288"/>
      <c r="AD163" s="290" t="e">
        <f t="shared" si="128"/>
        <v>#REF!</v>
      </c>
      <c r="AE163" s="288">
        <f t="shared" si="129"/>
        <v>0</v>
      </c>
      <c r="AF163" s="290" t="e">
        <f t="shared" si="130"/>
        <v>#REF!</v>
      </c>
      <c r="AG163" s="288">
        <f t="shared" si="131"/>
        <v>0</v>
      </c>
      <c r="AH163" s="290" t="e">
        <f t="shared" si="132"/>
        <v>#REF!</v>
      </c>
      <c r="AI163" s="288"/>
      <c r="AJ163" s="290" t="e">
        <f t="shared" si="133"/>
        <v>#REF!</v>
      </c>
      <c r="AK163" s="288"/>
      <c r="AL163" s="290" t="e">
        <f t="shared" si="134"/>
        <v>#REF!</v>
      </c>
      <c r="AM163" s="288">
        <f t="shared" si="135"/>
        <v>0</v>
      </c>
      <c r="AN163" s="290" t="e">
        <f t="shared" si="136"/>
        <v>#REF!</v>
      </c>
      <c r="AO163" s="349"/>
    </row>
    <row r="164" spans="2:41" s="345" customFormat="1" ht="30" hidden="1" customHeight="1">
      <c r="B164" s="346"/>
      <c r="C164" s="309">
        <f t="shared" si="137"/>
        <v>130</v>
      </c>
      <c r="D164" s="329" t="s">
        <v>695</v>
      </c>
      <c r="E164" s="329"/>
      <c r="F164" s="329" t="s">
        <v>695</v>
      </c>
      <c r="G164" s="343" t="s">
        <v>709</v>
      </c>
      <c r="H164" s="329" t="s">
        <v>79</v>
      </c>
      <c r="I164" s="289" t="e">
        <f>#REF!</f>
        <v>#REF!</v>
      </c>
      <c r="J164" s="288"/>
      <c r="K164" s="290" t="e">
        <f t="shared" si="118"/>
        <v>#REF!</v>
      </c>
      <c r="L164" s="288"/>
      <c r="M164" s="290" t="e">
        <f t="shared" si="119"/>
        <v>#REF!</v>
      </c>
      <c r="N164" s="288"/>
      <c r="O164" s="290" t="e">
        <f t="shared" si="120"/>
        <v>#REF!</v>
      </c>
      <c r="P164" s="288"/>
      <c r="Q164" s="290" t="e">
        <f t="shared" si="121"/>
        <v>#REF!</v>
      </c>
      <c r="R164" s="288"/>
      <c r="S164" s="290" t="e">
        <f t="shared" si="122"/>
        <v>#REF!</v>
      </c>
      <c r="T164" s="288">
        <f t="shared" si="123"/>
        <v>0</v>
      </c>
      <c r="U164" s="437"/>
      <c r="V164" s="290" t="e">
        <f t="shared" si="124"/>
        <v>#REF!</v>
      </c>
      <c r="W164" s="288"/>
      <c r="X164" s="290" t="e">
        <f t="shared" si="125"/>
        <v>#REF!</v>
      </c>
      <c r="Y164" s="288"/>
      <c r="Z164" s="290" t="e">
        <f t="shared" si="126"/>
        <v>#REF!</v>
      </c>
      <c r="AA164" s="288"/>
      <c r="AB164" s="290" t="e">
        <f t="shared" si="127"/>
        <v>#REF!</v>
      </c>
      <c r="AC164" s="288"/>
      <c r="AD164" s="290" t="e">
        <f t="shared" si="128"/>
        <v>#REF!</v>
      </c>
      <c r="AE164" s="288">
        <f t="shared" si="129"/>
        <v>0</v>
      </c>
      <c r="AF164" s="290" t="e">
        <f t="shared" si="130"/>
        <v>#REF!</v>
      </c>
      <c r="AG164" s="288">
        <f t="shared" si="131"/>
        <v>0</v>
      </c>
      <c r="AH164" s="290" t="e">
        <f t="shared" si="132"/>
        <v>#REF!</v>
      </c>
      <c r="AI164" s="288"/>
      <c r="AJ164" s="290" t="e">
        <f t="shared" si="133"/>
        <v>#REF!</v>
      </c>
      <c r="AK164" s="288"/>
      <c r="AL164" s="290" t="e">
        <f t="shared" si="134"/>
        <v>#REF!</v>
      </c>
      <c r="AM164" s="288">
        <f t="shared" si="135"/>
        <v>0</v>
      </c>
      <c r="AN164" s="290" t="e">
        <f t="shared" si="136"/>
        <v>#REF!</v>
      </c>
      <c r="AO164" s="349"/>
    </row>
    <row r="165" spans="2:41" s="345" customFormat="1" ht="30" hidden="1" customHeight="1">
      <c r="B165" s="346"/>
      <c r="C165" s="309">
        <f>C163+1</f>
        <v>130</v>
      </c>
      <c r="D165" s="329" t="s">
        <v>703</v>
      </c>
      <c r="E165" s="329"/>
      <c r="F165" s="329" t="s">
        <v>703</v>
      </c>
      <c r="G165" s="343" t="s">
        <v>704</v>
      </c>
      <c r="H165" s="329" t="s">
        <v>82</v>
      </c>
      <c r="I165" s="289" t="e">
        <f>#REF!</f>
        <v>#REF!</v>
      </c>
      <c r="J165" s="288"/>
      <c r="K165" s="290" t="e">
        <f t="shared" si="118"/>
        <v>#REF!</v>
      </c>
      <c r="L165" s="288"/>
      <c r="M165" s="290" t="e">
        <f t="shared" si="119"/>
        <v>#REF!</v>
      </c>
      <c r="N165" s="288"/>
      <c r="O165" s="290" t="e">
        <f t="shared" si="120"/>
        <v>#REF!</v>
      </c>
      <c r="P165" s="288"/>
      <c r="Q165" s="290" t="e">
        <f t="shared" si="121"/>
        <v>#REF!</v>
      </c>
      <c r="R165" s="288"/>
      <c r="S165" s="290" t="e">
        <f t="shared" si="122"/>
        <v>#REF!</v>
      </c>
      <c r="T165" s="288">
        <f t="shared" si="123"/>
        <v>0</v>
      </c>
      <c r="U165" s="437"/>
      <c r="V165" s="290" t="e">
        <f t="shared" si="124"/>
        <v>#REF!</v>
      </c>
      <c r="W165" s="288"/>
      <c r="X165" s="290" t="e">
        <f t="shared" si="125"/>
        <v>#REF!</v>
      </c>
      <c r="Y165" s="288"/>
      <c r="Z165" s="290" t="e">
        <f t="shared" si="126"/>
        <v>#REF!</v>
      </c>
      <c r="AA165" s="288"/>
      <c r="AB165" s="290" t="e">
        <f t="shared" si="127"/>
        <v>#REF!</v>
      </c>
      <c r="AC165" s="288"/>
      <c r="AD165" s="290" t="e">
        <f t="shared" si="128"/>
        <v>#REF!</v>
      </c>
      <c r="AE165" s="288">
        <f t="shared" si="129"/>
        <v>0</v>
      </c>
      <c r="AF165" s="290" t="e">
        <f t="shared" si="130"/>
        <v>#REF!</v>
      </c>
      <c r="AG165" s="288">
        <f t="shared" si="131"/>
        <v>0</v>
      </c>
      <c r="AH165" s="290" t="e">
        <f t="shared" si="132"/>
        <v>#REF!</v>
      </c>
      <c r="AI165" s="288"/>
      <c r="AJ165" s="290" t="e">
        <f t="shared" si="133"/>
        <v>#REF!</v>
      </c>
      <c r="AK165" s="288"/>
      <c r="AL165" s="290" t="e">
        <f t="shared" si="134"/>
        <v>#REF!</v>
      </c>
      <c r="AM165" s="288">
        <f t="shared" si="135"/>
        <v>0</v>
      </c>
      <c r="AN165" s="290" t="e">
        <f t="shared" si="136"/>
        <v>#REF!</v>
      </c>
      <c r="AO165" s="349"/>
    </row>
    <row r="166" spans="2:41" s="345" customFormat="1" ht="30" customHeight="1">
      <c r="B166" s="346"/>
      <c r="C166" s="309">
        <f>C163+1</f>
        <v>130</v>
      </c>
      <c r="D166" s="285" t="s">
        <v>94</v>
      </c>
      <c r="E166" s="285" t="s">
        <v>459</v>
      </c>
      <c r="F166" s="285"/>
      <c r="G166" s="287" t="s">
        <v>696</v>
      </c>
      <c r="H166" s="285" t="s">
        <v>81</v>
      </c>
      <c r="I166" s="321">
        <f>+'661.1'!N85</f>
        <v>605897</v>
      </c>
      <c r="J166" s="288"/>
      <c r="K166" s="290">
        <f t="shared" si="118"/>
        <v>0</v>
      </c>
      <c r="L166" s="288"/>
      <c r="M166" s="290">
        <f t="shared" si="119"/>
        <v>0</v>
      </c>
      <c r="N166" s="288"/>
      <c r="O166" s="290">
        <f t="shared" si="120"/>
        <v>0</v>
      </c>
      <c r="P166" s="288"/>
      <c r="Q166" s="290">
        <f t="shared" si="121"/>
        <v>0</v>
      </c>
      <c r="R166" s="288"/>
      <c r="S166" s="290">
        <f t="shared" si="122"/>
        <v>0</v>
      </c>
      <c r="T166" s="288">
        <f t="shared" si="123"/>
        <v>0</v>
      </c>
      <c r="U166" s="437"/>
      <c r="V166" s="290">
        <f t="shared" si="124"/>
        <v>0</v>
      </c>
      <c r="W166" s="288"/>
      <c r="X166" s="290">
        <f t="shared" si="125"/>
        <v>0</v>
      </c>
      <c r="Y166" s="288">
        <f>10*15</f>
        <v>150</v>
      </c>
      <c r="Z166" s="290">
        <f t="shared" si="126"/>
        <v>90884550</v>
      </c>
      <c r="AA166" s="288">
        <v>500</v>
      </c>
      <c r="AB166" s="290">
        <f t="shared" si="127"/>
        <v>302948500</v>
      </c>
      <c r="AC166" s="288">
        <f>20*12</f>
        <v>240</v>
      </c>
      <c r="AD166" s="290">
        <f t="shared" si="128"/>
        <v>145415280</v>
      </c>
      <c r="AE166" s="288">
        <f t="shared" si="129"/>
        <v>890</v>
      </c>
      <c r="AF166" s="290">
        <f t="shared" si="130"/>
        <v>539248330</v>
      </c>
      <c r="AG166" s="288">
        <f t="shared" si="131"/>
        <v>890</v>
      </c>
      <c r="AH166" s="290">
        <f t="shared" si="132"/>
        <v>539248330</v>
      </c>
      <c r="AI166" s="288"/>
      <c r="AJ166" s="290">
        <f t="shared" si="133"/>
        <v>0</v>
      </c>
      <c r="AK166" s="288"/>
      <c r="AL166" s="290">
        <f t="shared" si="134"/>
        <v>0</v>
      </c>
      <c r="AM166" s="288">
        <f t="shared" si="135"/>
        <v>890</v>
      </c>
      <c r="AN166" s="290">
        <f t="shared" si="136"/>
        <v>539248330</v>
      </c>
      <c r="AO166" s="349"/>
    </row>
    <row r="167" spans="2:41" s="345" customFormat="1" ht="30" hidden="1" customHeight="1">
      <c r="B167" s="346"/>
      <c r="C167" s="309">
        <f t="shared" si="137"/>
        <v>131</v>
      </c>
      <c r="D167" s="285" t="s">
        <v>558</v>
      </c>
      <c r="E167" s="285" t="s">
        <v>563</v>
      </c>
      <c r="F167" s="285"/>
      <c r="G167" s="287" t="s">
        <v>564</v>
      </c>
      <c r="H167" s="285" t="s">
        <v>81</v>
      </c>
      <c r="I167" s="321" t="e">
        <f>#REF!</f>
        <v>#REF!</v>
      </c>
      <c r="J167" s="288"/>
      <c r="K167" s="290" t="e">
        <f t="shared" si="118"/>
        <v>#REF!</v>
      </c>
      <c r="L167" s="288"/>
      <c r="M167" s="290" t="e">
        <f t="shared" si="119"/>
        <v>#REF!</v>
      </c>
      <c r="N167" s="288"/>
      <c r="O167" s="290" t="e">
        <f t="shared" si="120"/>
        <v>#REF!</v>
      </c>
      <c r="P167" s="288"/>
      <c r="Q167" s="290" t="e">
        <f t="shared" si="121"/>
        <v>#REF!</v>
      </c>
      <c r="R167" s="288"/>
      <c r="S167" s="290" t="e">
        <f t="shared" si="122"/>
        <v>#REF!</v>
      </c>
      <c r="T167" s="288">
        <f t="shared" si="123"/>
        <v>0</v>
      </c>
      <c r="U167" s="437"/>
      <c r="V167" s="290" t="e">
        <f t="shared" si="124"/>
        <v>#REF!</v>
      </c>
      <c r="W167" s="288"/>
      <c r="X167" s="290" t="e">
        <f t="shared" si="125"/>
        <v>#REF!</v>
      </c>
      <c r="Y167" s="288"/>
      <c r="Z167" s="290" t="e">
        <f t="shared" si="126"/>
        <v>#REF!</v>
      </c>
      <c r="AA167" s="288"/>
      <c r="AB167" s="290" t="e">
        <f t="shared" si="127"/>
        <v>#REF!</v>
      </c>
      <c r="AC167" s="288"/>
      <c r="AD167" s="290" t="e">
        <f t="shared" si="128"/>
        <v>#REF!</v>
      </c>
      <c r="AE167" s="288">
        <f t="shared" si="129"/>
        <v>0</v>
      </c>
      <c r="AF167" s="290" t="e">
        <f t="shared" si="130"/>
        <v>#REF!</v>
      </c>
      <c r="AG167" s="288">
        <f t="shared" si="131"/>
        <v>0</v>
      </c>
      <c r="AH167" s="290" t="e">
        <f t="shared" si="132"/>
        <v>#REF!</v>
      </c>
      <c r="AI167" s="288"/>
      <c r="AJ167" s="290" t="e">
        <f t="shared" si="133"/>
        <v>#REF!</v>
      </c>
      <c r="AK167" s="288"/>
      <c r="AL167" s="290" t="e">
        <f t="shared" si="134"/>
        <v>#REF!</v>
      </c>
      <c r="AM167" s="288">
        <f t="shared" si="135"/>
        <v>0</v>
      </c>
      <c r="AN167" s="290" t="e">
        <f t="shared" si="136"/>
        <v>#REF!</v>
      </c>
      <c r="AO167" s="349"/>
    </row>
    <row r="168" spans="2:41" s="345" customFormat="1" ht="30" hidden="1" customHeight="1">
      <c r="B168" s="346"/>
      <c r="C168" s="309">
        <f t="shared" si="137"/>
        <v>132</v>
      </c>
      <c r="D168" s="285" t="s">
        <v>559</v>
      </c>
      <c r="E168" s="285" t="s">
        <v>563</v>
      </c>
      <c r="F168" s="285"/>
      <c r="G168" s="287" t="s">
        <v>565</v>
      </c>
      <c r="H168" s="285" t="s">
        <v>81</v>
      </c>
      <c r="I168" s="321" t="e">
        <f>#REF!</f>
        <v>#REF!</v>
      </c>
      <c r="J168" s="288"/>
      <c r="K168" s="290" t="e">
        <f t="shared" si="118"/>
        <v>#REF!</v>
      </c>
      <c r="L168" s="288"/>
      <c r="M168" s="290" t="e">
        <f t="shared" si="119"/>
        <v>#REF!</v>
      </c>
      <c r="N168" s="288"/>
      <c r="O168" s="290" t="e">
        <f t="shared" si="120"/>
        <v>#REF!</v>
      </c>
      <c r="P168" s="288"/>
      <c r="Q168" s="290" t="e">
        <f t="shared" si="121"/>
        <v>#REF!</v>
      </c>
      <c r="R168" s="288"/>
      <c r="S168" s="290" t="e">
        <f t="shared" si="122"/>
        <v>#REF!</v>
      </c>
      <c r="T168" s="288">
        <f t="shared" si="123"/>
        <v>0</v>
      </c>
      <c r="U168" s="437"/>
      <c r="V168" s="290" t="e">
        <f t="shared" si="124"/>
        <v>#REF!</v>
      </c>
      <c r="W168" s="288"/>
      <c r="X168" s="290" t="e">
        <f t="shared" si="125"/>
        <v>#REF!</v>
      </c>
      <c r="Y168" s="288"/>
      <c r="Z168" s="290" t="e">
        <f t="shared" si="126"/>
        <v>#REF!</v>
      </c>
      <c r="AA168" s="288"/>
      <c r="AB168" s="290" t="e">
        <f t="shared" si="127"/>
        <v>#REF!</v>
      </c>
      <c r="AC168" s="288"/>
      <c r="AD168" s="290" t="e">
        <f t="shared" si="128"/>
        <v>#REF!</v>
      </c>
      <c r="AE168" s="288">
        <f t="shared" si="129"/>
        <v>0</v>
      </c>
      <c r="AF168" s="290" t="e">
        <f t="shared" si="130"/>
        <v>#REF!</v>
      </c>
      <c r="AG168" s="288">
        <f t="shared" si="131"/>
        <v>0</v>
      </c>
      <c r="AH168" s="290" t="e">
        <f t="shared" si="132"/>
        <v>#REF!</v>
      </c>
      <c r="AI168" s="288"/>
      <c r="AJ168" s="290" t="e">
        <f t="shared" si="133"/>
        <v>#REF!</v>
      </c>
      <c r="AK168" s="288"/>
      <c r="AL168" s="290" t="e">
        <f t="shared" si="134"/>
        <v>#REF!</v>
      </c>
      <c r="AM168" s="288">
        <f t="shared" si="135"/>
        <v>0</v>
      </c>
      <c r="AN168" s="290" t="e">
        <f t="shared" si="136"/>
        <v>#REF!</v>
      </c>
      <c r="AO168" s="349"/>
    </row>
    <row r="169" spans="2:41" s="345" customFormat="1" ht="30" hidden="1" customHeight="1">
      <c r="B169" s="346"/>
      <c r="C169" s="309">
        <f t="shared" si="137"/>
        <v>133</v>
      </c>
      <c r="D169" s="285" t="s">
        <v>560</v>
      </c>
      <c r="E169" s="285" t="s">
        <v>563</v>
      </c>
      <c r="F169" s="285"/>
      <c r="G169" s="287" t="s">
        <v>566</v>
      </c>
      <c r="H169" s="285" t="s">
        <v>81</v>
      </c>
      <c r="I169" s="321" t="e">
        <f>#REF!</f>
        <v>#REF!</v>
      </c>
      <c r="J169" s="288"/>
      <c r="K169" s="290" t="e">
        <f t="shared" si="118"/>
        <v>#REF!</v>
      </c>
      <c r="L169" s="288"/>
      <c r="M169" s="290" t="e">
        <f t="shared" si="119"/>
        <v>#REF!</v>
      </c>
      <c r="N169" s="288"/>
      <c r="O169" s="290" t="e">
        <f t="shared" si="120"/>
        <v>#REF!</v>
      </c>
      <c r="P169" s="288"/>
      <c r="Q169" s="290" t="e">
        <f t="shared" si="121"/>
        <v>#REF!</v>
      </c>
      <c r="R169" s="288"/>
      <c r="S169" s="290" t="e">
        <f t="shared" si="122"/>
        <v>#REF!</v>
      </c>
      <c r="T169" s="288">
        <f t="shared" si="123"/>
        <v>0</v>
      </c>
      <c r="U169" s="437"/>
      <c r="V169" s="290" t="e">
        <f t="shared" si="124"/>
        <v>#REF!</v>
      </c>
      <c r="W169" s="288"/>
      <c r="X169" s="290" t="e">
        <f t="shared" si="125"/>
        <v>#REF!</v>
      </c>
      <c r="Y169" s="288"/>
      <c r="Z169" s="290" t="e">
        <f t="shared" si="126"/>
        <v>#REF!</v>
      </c>
      <c r="AA169" s="288"/>
      <c r="AB169" s="290" t="e">
        <f t="shared" si="127"/>
        <v>#REF!</v>
      </c>
      <c r="AC169" s="288"/>
      <c r="AD169" s="290" t="e">
        <f t="shared" si="128"/>
        <v>#REF!</v>
      </c>
      <c r="AE169" s="288">
        <f t="shared" si="129"/>
        <v>0</v>
      </c>
      <c r="AF169" s="290" t="e">
        <f t="shared" si="130"/>
        <v>#REF!</v>
      </c>
      <c r="AG169" s="288">
        <f t="shared" si="131"/>
        <v>0</v>
      </c>
      <c r="AH169" s="290" t="e">
        <f t="shared" si="132"/>
        <v>#REF!</v>
      </c>
      <c r="AI169" s="288"/>
      <c r="AJ169" s="290" t="e">
        <f t="shared" si="133"/>
        <v>#REF!</v>
      </c>
      <c r="AK169" s="288"/>
      <c r="AL169" s="290" t="e">
        <f t="shared" si="134"/>
        <v>#REF!</v>
      </c>
      <c r="AM169" s="288">
        <f t="shared" si="135"/>
        <v>0</v>
      </c>
      <c r="AN169" s="290" t="e">
        <f t="shared" si="136"/>
        <v>#REF!</v>
      </c>
      <c r="AO169" s="349"/>
    </row>
    <row r="170" spans="2:41" s="345" customFormat="1" ht="30" hidden="1" customHeight="1">
      <c r="B170" s="346"/>
      <c r="C170" s="309">
        <f t="shared" si="137"/>
        <v>134</v>
      </c>
      <c r="D170" s="285" t="s">
        <v>561</v>
      </c>
      <c r="E170" s="285" t="s">
        <v>563</v>
      </c>
      <c r="F170" s="285"/>
      <c r="G170" s="287" t="s">
        <v>567</v>
      </c>
      <c r="H170" s="285" t="s">
        <v>81</v>
      </c>
      <c r="I170" s="321" t="e">
        <f>#REF!</f>
        <v>#REF!</v>
      </c>
      <c r="J170" s="288"/>
      <c r="K170" s="290" t="e">
        <f t="shared" si="118"/>
        <v>#REF!</v>
      </c>
      <c r="L170" s="288"/>
      <c r="M170" s="290" t="e">
        <f t="shared" si="119"/>
        <v>#REF!</v>
      </c>
      <c r="N170" s="288"/>
      <c r="O170" s="290" t="e">
        <f t="shared" si="120"/>
        <v>#REF!</v>
      </c>
      <c r="P170" s="288"/>
      <c r="Q170" s="290" t="e">
        <f t="shared" si="121"/>
        <v>#REF!</v>
      </c>
      <c r="R170" s="288"/>
      <c r="S170" s="290" t="e">
        <f t="shared" si="122"/>
        <v>#REF!</v>
      </c>
      <c r="T170" s="288">
        <f t="shared" si="123"/>
        <v>0</v>
      </c>
      <c r="U170" s="437"/>
      <c r="V170" s="290" t="e">
        <f t="shared" si="124"/>
        <v>#REF!</v>
      </c>
      <c r="W170" s="288"/>
      <c r="X170" s="290" t="e">
        <f t="shared" si="125"/>
        <v>#REF!</v>
      </c>
      <c r="Y170" s="288"/>
      <c r="Z170" s="290" t="e">
        <f t="shared" si="126"/>
        <v>#REF!</v>
      </c>
      <c r="AA170" s="288"/>
      <c r="AB170" s="290" t="e">
        <f t="shared" si="127"/>
        <v>#REF!</v>
      </c>
      <c r="AC170" s="288"/>
      <c r="AD170" s="290" t="e">
        <f t="shared" si="128"/>
        <v>#REF!</v>
      </c>
      <c r="AE170" s="288">
        <f t="shared" si="129"/>
        <v>0</v>
      </c>
      <c r="AF170" s="290" t="e">
        <f t="shared" si="130"/>
        <v>#REF!</v>
      </c>
      <c r="AG170" s="288">
        <f t="shared" si="131"/>
        <v>0</v>
      </c>
      <c r="AH170" s="290" t="e">
        <f t="shared" si="132"/>
        <v>#REF!</v>
      </c>
      <c r="AI170" s="288"/>
      <c r="AJ170" s="290" t="e">
        <f t="shared" si="133"/>
        <v>#REF!</v>
      </c>
      <c r="AK170" s="288"/>
      <c r="AL170" s="290" t="e">
        <f t="shared" si="134"/>
        <v>#REF!</v>
      </c>
      <c r="AM170" s="288">
        <f t="shared" si="135"/>
        <v>0</v>
      </c>
      <c r="AN170" s="290" t="e">
        <f t="shared" si="136"/>
        <v>#REF!</v>
      </c>
      <c r="AO170" s="349"/>
    </row>
    <row r="171" spans="2:41" s="345" customFormat="1" ht="30" hidden="1" customHeight="1">
      <c r="B171" s="346"/>
      <c r="C171" s="309">
        <f t="shared" si="137"/>
        <v>135</v>
      </c>
      <c r="D171" s="285" t="s">
        <v>562</v>
      </c>
      <c r="E171" s="285" t="s">
        <v>563</v>
      </c>
      <c r="F171" s="285"/>
      <c r="G171" s="287" t="s">
        <v>568</v>
      </c>
      <c r="H171" s="285" t="s">
        <v>81</v>
      </c>
      <c r="I171" s="321" t="e">
        <f>#REF!</f>
        <v>#REF!</v>
      </c>
      <c r="J171" s="288"/>
      <c r="K171" s="290" t="e">
        <f t="shared" si="118"/>
        <v>#REF!</v>
      </c>
      <c r="L171" s="288"/>
      <c r="M171" s="290" t="e">
        <f t="shared" si="119"/>
        <v>#REF!</v>
      </c>
      <c r="N171" s="288"/>
      <c r="O171" s="290" t="e">
        <f t="shared" si="120"/>
        <v>#REF!</v>
      </c>
      <c r="P171" s="288"/>
      <c r="Q171" s="290" t="e">
        <f t="shared" si="121"/>
        <v>#REF!</v>
      </c>
      <c r="R171" s="288"/>
      <c r="S171" s="290" t="e">
        <f t="shared" si="122"/>
        <v>#REF!</v>
      </c>
      <c r="T171" s="288">
        <f t="shared" si="123"/>
        <v>0</v>
      </c>
      <c r="U171" s="437"/>
      <c r="V171" s="290" t="e">
        <f t="shared" si="124"/>
        <v>#REF!</v>
      </c>
      <c r="W171" s="288"/>
      <c r="X171" s="290" t="e">
        <f t="shared" si="125"/>
        <v>#REF!</v>
      </c>
      <c r="Y171" s="288"/>
      <c r="Z171" s="290" t="e">
        <f t="shared" si="126"/>
        <v>#REF!</v>
      </c>
      <c r="AA171" s="288"/>
      <c r="AB171" s="290" t="e">
        <f t="shared" si="127"/>
        <v>#REF!</v>
      </c>
      <c r="AC171" s="288"/>
      <c r="AD171" s="290" t="e">
        <f t="shared" si="128"/>
        <v>#REF!</v>
      </c>
      <c r="AE171" s="288">
        <f t="shared" si="129"/>
        <v>0</v>
      </c>
      <c r="AF171" s="290" t="e">
        <f t="shared" si="130"/>
        <v>#REF!</v>
      </c>
      <c r="AG171" s="288">
        <f t="shared" si="131"/>
        <v>0</v>
      </c>
      <c r="AH171" s="290" t="e">
        <f t="shared" si="132"/>
        <v>#REF!</v>
      </c>
      <c r="AI171" s="288"/>
      <c r="AJ171" s="290" t="e">
        <f t="shared" si="133"/>
        <v>#REF!</v>
      </c>
      <c r="AK171" s="288"/>
      <c r="AL171" s="290" t="e">
        <f t="shared" si="134"/>
        <v>#REF!</v>
      </c>
      <c r="AM171" s="288">
        <f t="shared" si="135"/>
        <v>0</v>
      </c>
      <c r="AN171" s="290" t="e">
        <f t="shared" si="136"/>
        <v>#REF!</v>
      </c>
      <c r="AO171" s="349"/>
    </row>
    <row r="172" spans="2:41" s="345" customFormat="1" ht="30" hidden="1" customHeight="1">
      <c r="B172" s="346"/>
      <c r="C172" s="309">
        <f t="shared" si="137"/>
        <v>136</v>
      </c>
      <c r="D172" s="329" t="s">
        <v>432</v>
      </c>
      <c r="E172" s="329"/>
      <c r="F172" s="329" t="s">
        <v>432</v>
      </c>
      <c r="G172" s="343" t="s">
        <v>364</v>
      </c>
      <c r="H172" s="329" t="str">
        <f>+H166</f>
        <v>m</v>
      </c>
      <c r="I172" s="321" t="e">
        <f>#REF!</f>
        <v>#REF!</v>
      </c>
      <c r="J172" s="288"/>
      <c r="K172" s="290" t="e">
        <f t="shared" si="118"/>
        <v>#REF!</v>
      </c>
      <c r="L172" s="288"/>
      <c r="M172" s="290" t="e">
        <f t="shared" si="119"/>
        <v>#REF!</v>
      </c>
      <c r="N172" s="288"/>
      <c r="O172" s="290" t="e">
        <f t="shared" si="120"/>
        <v>#REF!</v>
      </c>
      <c r="P172" s="288"/>
      <c r="Q172" s="290" t="e">
        <f t="shared" si="121"/>
        <v>#REF!</v>
      </c>
      <c r="R172" s="288"/>
      <c r="S172" s="290" t="e">
        <f t="shared" si="122"/>
        <v>#REF!</v>
      </c>
      <c r="T172" s="288">
        <f t="shared" si="123"/>
        <v>0</v>
      </c>
      <c r="U172" s="437"/>
      <c r="V172" s="290" t="e">
        <f t="shared" si="124"/>
        <v>#REF!</v>
      </c>
      <c r="W172" s="288"/>
      <c r="X172" s="290" t="e">
        <f t="shared" si="125"/>
        <v>#REF!</v>
      </c>
      <c r="Y172" s="288"/>
      <c r="Z172" s="290" t="e">
        <f t="shared" si="126"/>
        <v>#REF!</v>
      </c>
      <c r="AA172" s="288"/>
      <c r="AB172" s="290" t="e">
        <f t="shared" si="127"/>
        <v>#REF!</v>
      </c>
      <c r="AC172" s="288"/>
      <c r="AD172" s="290" t="e">
        <f t="shared" si="128"/>
        <v>#REF!</v>
      </c>
      <c r="AE172" s="288">
        <f t="shared" si="129"/>
        <v>0</v>
      </c>
      <c r="AF172" s="290" t="e">
        <f t="shared" si="130"/>
        <v>#REF!</v>
      </c>
      <c r="AG172" s="288">
        <f t="shared" si="131"/>
        <v>0</v>
      </c>
      <c r="AH172" s="290" t="e">
        <f t="shared" si="132"/>
        <v>#REF!</v>
      </c>
      <c r="AI172" s="288"/>
      <c r="AJ172" s="290" t="e">
        <f t="shared" si="133"/>
        <v>#REF!</v>
      </c>
      <c r="AK172" s="288"/>
      <c r="AL172" s="290" t="e">
        <f t="shared" si="134"/>
        <v>#REF!</v>
      </c>
      <c r="AM172" s="288">
        <f t="shared" si="135"/>
        <v>0</v>
      </c>
      <c r="AN172" s="290" t="e">
        <f t="shared" si="136"/>
        <v>#REF!</v>
      </c>
      <c r="AO172" s="349"/>
    </row>
    <row r="173" spans="2:41" s="345" customFormat="1" ht="30" hidden="1" customHeight="1">
      <c r="B173" s="346"/>
      <c r="C173" s="309">
        <f t="shared" si="137"/>
        <v>137</v>
      </c>
      <c r="D173" s="329" t="s">
        <v>433</v>
      </c>
      <c r="E173" s="329"/>
      <c r="F173" s="329" t="s">
        <v>433</v>
      </c>
      <c r="G173" s="343" t="s">
        <v>365</v>
      </c>
      <c r="H173" s="329" t="str">
        <f>+H172</f>
        <v>m</v>
      </c>
      <c r="I173" s="321" t="e">
        <f>#REF!</f>
        <v>#REF!</v>
      </c>
      <c r="J173" s="288"/>
      <c r="K173" s="290" t="e">
        <f t="shared" si="118"/>
        <v>#REF!</v>
      </c>
      <c r="L173" s="288"/>
      <c r="M173" s="290" t="e">
        <f t="shared" si="119"/>
        <v>#REF!</v>
      </c>
      <c r="N173" s="288"/>
      <c r="O173" s="290" t="e">
        <f t="shared" si="120"/>
        <v>#REF!</v>
      </c>
      <c r="P173" s="288"/>
      <c r="Q173" s="290" t="e">
        <f t="shared" si="121"/>
        <v>#REF!</v>
      </c>
      <c r="R173" s="288"/>
      <c r="S173" s="290" t="e">
        <f t="shared" si="122"/>
        <v>#REF!</v>
      </c>
      <c r="T173" s="288">
        <f t="shared" si="123"/>
        <v>0</v>
      </c>
      <c r="U173" s="437"/>
      <c r="V173" s="290" t="e">
        <f t="shared" si="124"/>
        <v>#REF!</v>
      </c>
      <c r="W173" s="288"/>
      <c r="X173" s="290" t="e">
        <f t="shared" si="125"/>
        <v>#REF!</v>
      </c>
      <c r="Y173" s="288"/>
      <c r="Z173" s="290" t="e">
        <f t="shared" si="126"/>
        <v>#REF!</v>
      </c>
      <c r="AA173" s="288"/>
      <c r="AB173" s="290" t="e">
        <f t="shared" si="127"/>
        <v>#REF!</v>
      </c>
      <c r="AC173" s="288"/>
      <c r="AD173" s="290" t="e">
        <f t="shared" si="128"/>
        <v>#REF!</v>
      </c>
      <c r="AE173" s="288">
        <f t="shared" si="129"/>
        <v>0</v>
      </c>
      <c r="AF173" s="290" t="e">
        <f t="shared" si="130"/>
        <v>#REF!</v>
      </c>
      <c r="AG173" s="288">
        <f t="shared" si="131"/>
        <v>0</v>
      </c>
      <c r="AH173" s="290" t="e">
        <f t="shared" si="132"/>
        <v>#REF!</v>
      </c>
      <c r="AI173" s="288"/>
      <c r="AJ173" s="290" t="e">
        <f t="shared" si="133"/>
        <v>#REF!</v>
      </c>
      <c r="AK173" s="288"/>
      <c r="AL173" s="290" t="e">
        <f t="shared" si="134"/>
        <v>#REF!</v>
      </c>
      <c r="AM173" s="288">
        <f t="shared" si="135"/>
        <v>0</v>
      </c>
      <c r="AN173" s="290" t="e">
        <f t="shared" si="136"/>
        <v>#REF!</v>
      </c>
      <c r="AO173" s="349"/>
    </row>
    <row r="174" spans="2:41" s="345" customFormat="1" ht="30" customHeight="1">
      <c r="B174" s="346"/>
      <c r="C174" s="309">
        <f t="shared" si="137"/>
        <v>138</v>
      </c>
      <c r="D174" s="329" t="s">
        <v>484</v>
      </c>
      <c r="E174" s="329"/>
      <c r="F174" s="329" t="s">
        <v>484</v>
      </c>
      <c r="G174" s="343" t="s">
        <v>483</v>
      </c>
      <c r="H174" s="329" t="str">
        <f>+H173</f>
        <v>m</v>
      </c>
      <c r="I174" s="321" t="e">
        <f>#REF!</f>
        <v>#REF!</v>
      </c>
      <c r="J174" s="288"/>
      <c r="K174" s="290" t="e">
        <f t="shared" si="118"/>
        <v>#REF!</v>
      </c>
      <c r="L174" s="288"/>
      <c r="M174" s="290" t="e">
        <f t="shared" si="119"/>
        <v>#REF!</v>
      </c>
      <c r="N174" s="288"/>
      <c r="O174" s="290" t="e">
        <f t="shared" si="120"/>
        <v>#REF!</v>
      </c>
      <c r="P174" s="288"/>
      <c r="Q174" s="290" t="e">
        <f t="shared" si="121"/>
        <v>#REF!</v>
      </c>
      <c r="R174" s="288"/>
      <c r="S174" s="290" t="e">
        <f t="shared" si="122"/>
        <v>#REF!</v>
      </c>
      <c r="T174" s="288">
        <f t="shared" si="123"/>
        <v>0</v>
      </c>
      <c r="U174" s="437"/>
      <c r="V174" s="290" t="e">
        <f t="shared" si="124"/>
        <v>#REF!</v>
      </c>
      <c r="W174" s="288"/>
      <c r="X174" s="290" t="e">
        <f t="shared" si="125"/>
        <v>#REF!</v>
      </c>
      <c r="Y174" s="288" t="e">
        <f>#REF!</f>
        <v>#REF!</v>
      </c>
      <c r="Z174" s="290" t="e">
        <f t="shared" si="126"/>
        <v>#REF!</v>
      </c>
      <c r="AA174" s="288"/>
      <c r="AB174" s="290" t="e">
        <f t="shared" si="127"/>
        <v>#REF!</v>
      </c>
      <c r="AC174" s="288"/>
      <c r="AD174" s="290" t="e">
        <f t="shared" si="128"/>
        <v>#REF!</v>
      </c>
      <c r="AE174" s="288" t="e">
        <f t="shared" si="129"/>
        <v>#REF!</v>
      </c>
      <c r="AF174" s="290" t="e">
        <f t="shared" si="130"/>
        <v>#REF!</v>
      </c>
      <c r="AG174" s="288" t="e">
        <f t="shared" si="131"/>
        <v>#REF!</v>
      </c>
      <c r="AH174" s="290" t="e">
        <f t="shared" si="132"/>
        <v>#REF!</v>
      </c>
      <c r="AI174" s="288"/>
      <c r="AJ174" s="290" t="e">
        <f t="shared" si="133"/>
        <v>#REF!</v>
      </c>
      <c r="AK174" s="288"/>
      <c r="AL174" s="290" t="e">
        <f t="shared" si="134"/>
        <v>#REF!</v>
      </c>
      <c r="AM174" s="288" t="e">
        <f t="shared" si="135"/>
        <v>#REF!</v>
      </c>
      <c r="AN174" s="290" t="e">
        <f t="shared" si="136"/>
        <v>#REF!</v>
      </c>
      <c r="AO174" s="349"/>
    </row>
    <row r="175" spans="2:41" s="345" customFormat="1" ht="30" hidden="1" customHeight="1">
      <c r="B175" s="346"/>
      <c r="C175" s="309">
        <f>C173+1</f>
        <v>138</v>
      </c>
      <c r="D175" s="329" t="s">
        <v>698</v>
      </c>
      <c r="E175" s="329" t="s">
        <v>699</v>
      </c>
      <c r="F175" s="329"/>
      <c r="G175" s="343" t="s">
        <v>700</v>
      </c>
      <c r="H175" s="386" t="s">
        <v>111</v>
      </c>
      <c r="I175" s="321" t="e">
        <f>#REF!</f>
        <v>#REF!</v>
      </c>
      <c r="J175" s="288"/>
      <c r="K175" s="290" t="e">
        <f t="shared" si="118"/>
        <v>#REF!</v>
      </c>
      <c r="L175" s="288"/>
      <c r="M175" s="290" t="e">
        <f t="shared" si="119"/>
        <v>#REF!</v>
      </c>
      <c r="N175" s="288"/>
      <c r="O175" s="290" t="e">
        <f t="shared" si="120"/>
        <v>#REF!</v>
      </c>
      <c r="P175" s="288"/>
      <c r="Q175" s="290" t="e">
        <f t="shared" si="121"/>
        <v>#REF!</v>
      </c>
      <c r="R175" s="288"/>
      <c r="S175" s="290" t="e">
        <f t="shared" si="122"/>
        <v>#REF!</v>
      </c>
      <c r="T175" s="288">
        <f t="shared" si="123"/>
        <v>0</v>
      </c>
      <c r="U175" s="437"/>
      <c r="V175" s="290" t="e">
        <f t="shared" si="124"/>
        <v>#REF!</v>
      </c>
      <c r="W175" s="288"/>
      <c r="X175" s="290" t="e">
        <f t="shared" si="125"/>
        <v>#REF!</v>
      </c>
      <c r="Y175" s="288"/>
      <c r="Z175" s="290" t="e">
        <f t="shared" si="126"/>
        <v>#REF!</v>
      </c>
      <c r="AA175" s="288"/>
      <c r="AB175" s="290" t="e">
        <f t="shared" si="127"/>
        <v>#REF!</v>
      </c>
      <c r="AC175" s="288"/>
      <c r="AD175" s="290" t="e">
        <f t="shared" si="128"/>
        <v>#REF!</v>
      </c>
      <c r="AE175" s="288">
        <f t="shared" si="129"/>
        <v>0</v>
      </c>
      <c r="AF175" s="290" t="e">
        <f t="shared" si="130"/>
        <v>#REF!</v>
      </c>
      <c r="AG175" s="288">
        <f t="shared" si="131"/>
        <v>0</v>
      </c>
      <c r="AH175" s="290" t="e">
        <f t="shared" si="132"/>
        <v>#REF!</v>
      </c>
      <c r="AI175" s="288"/>
      <c r="AJ175" s="290" t="e">
        <f t="shared" si="133"/>
        <v>#REF!</v>
      </c>
      <c r="AK175" s="288"/>
      <c r="AL175" s="290" t="e">
        <f t="shared" si="134"/>
        <v>#REF!</v>
      </c>
      <c r="AM175" s="288">
        <f t="shared" si="135"/>
        <v>0</v>
      </c>
      <c r="AN175" s="290" t="e">
        <f t="shared" si="136"/>
        <v>#REF!</v>
      </c>
      <c r="AO175" s="349"/>
    </row>
    <row r="176" spans="2:41" s="345" customFormat="1" ht="30" hidden="1" customHeight="1">
      <c r="B176" s="346"/>
      <c r="C176" s="309">
        <f>C174+1</f>
        <v>139</v>
      </c>
      <c r="D176" s="329" t="s">
        <v>393</v>
      </c>
      <c r="E176" s="329"/>
      <c r="F176" s="329" t="s">
        <v>393</v>
      </c>
      <c r="G176" s="343" t="s">
        <v>369</v>
      </c>
      <c r="H176" s="386" t="s">
        <v>81</v>
      </c>
      <c r="I176" s="321" t="e">
        <f>#REF!</f>
        <v>#REF!</v>
      </c>
      <c r="J176" s="288"/>
      <c r="K176" s="290" t="e">
        <f t="shared" si="118"/>
        <v>#REF!</v>
      </c>
      <c r="L176" s="288"/>
      <c r="M176" s="290" t="e">
        <f t="shared" si="119"/>
        <v>#REF!</v>
      </c>
      <c r="N176" s="288"/>
      <c r="O176" s="290" t="e">
        <f t="shared" si="120"/>
        <v>#REF!</v>
      </c>
      <c r="P176" s="288"/>
      <c r="Q176" s="290" t="e">
        <f t="shared" si="121"/>
        <v>#REF!</v>
      </c>
      <c r="R176" s="288"/>
      <c r="S176" s="290" t="e">
        <f t="shared" si="122"/>
        <v>#REF!</v>
      </c>
      <c r="T176" s="288">
        <f t="shared" si="123"/>
        <v>0</v>
      </c>
      <c r="U176" s="437"/>
      <c r="V176" s="290" t="e">
        <f t="shared" si="124"/>
        <v>#REF!</v>
      </c>
      <c r="W176" s="288"/>
      <c r="X176" s="290" t="e">
        <f t="shared" si="125"/>
        <v>#REF!</v>
      </c>
      <c r="Y176" s="288"/>
      <c r="Z176" s="290" t="e">
        <f t="shared" si="126"/>
        <v>#REF!</v>
      </c>
      <c r="AA176" s="288"/>
      <c r="AB176" s="290" t="e">
        <f t="shared" si="127"/>
        <v>#REF!</v>
      </c>
      <c r="AC176" s="288"/>
      <c r="AD176" s="290" t="e">
        <f t="shared" si="128"/>
        <v>#REF!</v>
      </c>
      <c r="AE176" s="288">
        <f t="shared" si="129"/>
        <v>0</v>
      </c>
      <c r="AF176" s="290" t="e">
        <f t="shared" si="130"/>
        <v>#REF!</v>
      </c>
      <c r="AG176" s="288">
        <f t="shared" si="131"/>
        <v>0</v>
      </c>
      <c r="AH176" s="290" t="e">
        <f t="shared" si="132"/>
        <v>#REF!</v>
      </c>
      <c r="AI176" s="288"/>
      <c r="AJ176" s="290" t="e">
        <f t="shared" si="133"/>
        <v>#REF!</v>
      </c>
      <c r="AK176" s="288"/>
      <c r="AL176" s="290" t="e">
        <f t="shared" si="134"/>
        <v>#REF!</v>
      </c>
      <c r="AM176" s="288">
        <f t="shared" si="135"/>
        <v>0</v>
      </c>
      <c r="AN176" s="290" t="e">
        <f t="shared" si="136"/>
        <v>#REF!</v>
      </c>
      <c r="AO176" s="349"/>
    </row>
    <row r="177" spans="2:41" s="345" customFormat="1" ht="30" hidden="1" customHeight="1">
      <c r="B177" s="346"/>
      <c r="C177" s="309">
        <f t="shared" si="137"/>
        <v>140</v>
      </c>
      <c r="D177" s="285" t="s">
        <v>269</v>
      </c>
      <c r="E177" s="285"/>
      <c r="F177" s="285" t="s">
        <v>269</v>
      </c>
      <c r="G177" s="287" t="s">
        <v>181</v>
      </c>
      <c r="H177" s="285" t="s">
        <v>111</v>
      </c>
      <c r="I177" s="321" t="e">
        <f>+#REF!</f>
        <v>#REF!</v>
      </c>
      <c r="J177" s="288"/>
      <c r="K177" s="290" t="e">
        <f t="shared" si="118"/>
        <v>#REF!</v>
      </c>
      <c r="L177" s="288"/>
      <c r="M177" s="290" t="e">
        <f t="shared" si="119"/>
        <v>#REF!</v>
      </c>
      <c r="N177" s="288"/>
      <c r="O177" s="290" t="e">
        <f t="shared" si="120"/>
        <v>#REF!</v>
      </c>
      <c r="P177" s="288"/>
      <c r="Q177" s="290" t="e">
        <f t="shared" si="121"/>
        <v>#REF!</v>
      </c>
      <c r="R177" s="288"/>
      <c r="S177" s="290" t="e">
        <f t="shared" si="122"/>
        <v>#REF!</v>
      </c>
      <c r="T177" s="288">
        <f t="shared" si="123"/>
        <v>0</v>
      </c>
      <c r="U177" s="437"/>
      <c r="V177" s="290" t="e">
        <f t="shared" si="124"/>
        <v>#REF!</v>
      </c>
      <c r="W177" s="288"/>
      <c r="X177" s="290" t="e">
        <f t="shared" si="125"/>
        <v>#REF!</v>
      </c>
      <c r="Y177" s="288"/>
      <c r="Z177" s="290" t="e">
        <f t="shared" si="126"/>
        <v>#REF!</v>
      </c>
      <c r="AA177" s="288"/>
      <c r="AB177" s="290" t="e">
        <f t="shared" si="127"/>
        <v>#REF!</v>
      </c>
      <c r="AC177" s="288"/>
      <c r="AD177" s="290" t="e">
        <f t="shared" si="128"/>
        <v>#REF!</v>
      </c>
      <c r="AE177" s="288">
        <f t="shared" si="129"/>
        <v>0</v>
      </c>
      <c r="AF177" s="290" t="e">
        <f t="shared" si="130"/>
        <v>#REF!</v>
      </c>
      <c r="AG177" s="288">
        <f t="shared" si="131"/>
        <v>0</v>
      </c>
      <c r="AH177" s="290" t="e">
        <f t="shared" si="132"/>
        <v>#REF!</v>
      </c>
      <c r="AI177" s="288"/>
      <c r="AJ177" s="290" t="e">
        <f t="shared" si="133"/>
        <v>#REF!</v>
      </c>
      <c r="AK177" s="288"/>
      <c r="AL177" s="290" t="e">
        <f t="shared" si="134"/>
        <v>#REF!</v>
      </c>
      <c r="AM177" s="288">
        <f t="shared" si="135"/>
        <v>0</v>
      </c>
      <c r="AN177" s="290" t="e">
        <f t="shared" si="136"/>
        <v>#REF!</v>
      </c>
      <c r="AO177" s="349"/>
    </row>
    <row r="178" spans="2:41" s="345" customFormat="1" ht="30" customHeight="1">
      <c r="B178" s="346"/>
      <c r="C178" s="309">
        <f t="shared" si="137"/>
        <v>141</v>
      </c>
      <c r="D178" s="285" t="s">
        <v>300</v>
      </c>
      <c r="E178" s="456" t="s">
        <v>457</v>
      </c>
      <c r="F178" s="285"/>
      <c r="G178" s="287" t="s">
        <v>650</v>
      </c>
      <c r="H178" s="285" t="s">
        <v>111</v>
      </c>
      <c r="I178" s="321">
        <f>+'671.1'!N80</f>
        <v>450699</v>
      </c>
      <c r="J178" s="288">
        <f>+'[113]CANTIDADES TOTALIZADAS'!$AF$65</f>
        <v>49.6</v>
      </c>
      <c r="K178" s="290">
        <f t="shared" si="118"/>
        <v>22354670.400000002</v>
      </c>
      <c r="L178" s="288">
        <f>'[112]CANTIDADES TOTALIZADAS'!$AQ$65</f>
        <v>980.32</v>
      </c>
      <c r="M178" s="290">
        <f t="shared" si="119"/>
        <v>441829243.68000001</v>
      </c>
      <c r="N178" s="288"/>
      <c r="O178" s="290">
        <f t="shared" si="120"/>
        <v>0</v>
      </c>
      <c r="P178" s="288"/>
      <c r="Q178" s="290">
        <f t="shared" si="121"/>
        <v>0</v>
      </c>
      <c r="R178" s="288">
        <f>'[112]CANTIDADES TOTALIZADAS'!$BI$65</f>
        <v>301.12</v>
      </c>
      <c r="S178" s="290">
        <f t="shared" si="122"/>
        <v>135714482.88</v>
      </c>
      <c r="T178" s="288">
        <f t="shared" si="123"/>
        <v>1331.04</v>
      </c>
      <c r="U178" s="437">
        <f>'[112]CANTIDADES TOTALIZADAS'!$BJ$65</f>
        <v>1331.04</v>
      </c>
      <c r="V178" s="290">
        <f t="shared" si="124"/>
        <v>599898396.96000004</v>
      </c>
      <c r="W178" s="288"/>
      <c r="X178" s="290">
        <f t="shared" si="125"/>
        <v>0</v>
      </c>
      <c r="Y178" s="288" t="e">
        <f>#REF!</f>
        <v>#REF!</v>
      </c>
      <c r="Z178" s="290" t="e">
        <f t="shared" si="126"/>
        <v>#REF!</v>
      </c>
      <c r="AA178" s="288" t="e">
        <f>#REF!+#REF!+#REF!</f>
        <v>#REF!</v>
      </c>
      <c r="AB178" s="290" t="e">
        <f t="shared" si="127"/>
        <v>#REF!</v>
      </c>
      <c r="AC178" s="288" t="e">
        <f>#REF!+#REF!</f>
        <v>#REF!</v>
      </c>
      <c r="AD178" s="290" t="e">
        <f t="shared" si="128"/>
        <v>#REF!</v>
      </c>
      <c r="AE178" s="288" t="e">
        <f t="shared" si="129"/>
        <v>#REF!</v>
      </c>
      <c r="AF178" s="290" t="e">
        <f t="shared" si="130"/>
        <v>#REF!</v>
      </c>
      <c r="AG178" s="288" t="e">
        <f t="shared" si="131"/>
        <v>#REF!</v>
      </c>
      <c r="AH178" s="290" t="e">
        <f t="shared" si="132"/>
        <v>#REF!</v>
      </c>
      <c r="AI178" s="288">
        <f>'CANTIDADES TOTALIZADAS'!AD65</f>
        <v>49.6</v>
      </c>
      <c r="AJ178" s="290">
        <f t="shared" si="133"/>
        <v>22354670.400000002</v>
      </c>
      <c r="AK178" s="288"/>
      <c r="AL178" s="290">
        <f t="shared" si="134"/>
        <v>0</v>
      </c>
      <c r="AM178" s="288" t="e">
        <f t="shared" si="135"/>
        <v>#REF!</v>
      </c>
      <c r="AN178" s="290" t="e">
        <f t="shared" si="136"/>
        <v>#REF!</v>
      </c>
      <c r="AO178" s="349"/>
    </row>
    <row r="179" spans="2:41" s="345" customFormat="1" ht="30" hidden="1" customHeight="1">
      <c r="B179" s="346"/>
      <c r="C179" s="309">
        <f t="shared" si="137"/>
        <v>142</v>
      </c>
      <c r="D179" s="285" t="s">
        <v>677</v>
      </c>
      <c r="E179" s="285" t="s">
        <v>457</v>
      </c>
      <c r="F179" s="285"/>
      <c r="G179" s="287" t="s">
        <v>678</v>
      </c>
      <c r="H179" s="285" t="s">
        <v>111</v>
      </c>
      <c r="I179" s="321" t="e">
        <f>#REF!</f>
        <v>#REF!</v>
      </c>
      <c r="J179" s="288"/>
      <c r="K179" s="290" t="e">
        <f t="shared" si="118"/>
        <v>#REF!</v>
      </c>
      <c r="L179" s="288"/>
      <c r="M179" s="290" t="e">
        <f t="shared" si="119"/>
        <v>#REF!</v>
      </c>
      <c r="N179" s="288"/>
      <c r="O179" s="290" t="e">
        <f t="shared" si="120"/>
        <v>#REF!</v>
      </c>
      <c r="P179" s="288"/>
      <c r="Q179" s="290" t="e">
        <f t="shared" si="121"/>
        <v>#REF!</v>
      </c>
      <c r="R179" s="288"/>
      <c r="S179" s="290" t="e">
        <f t="shared" si="122"/>
        <v>#REF!</v>
      </c>
      <c r="T179" s="288">
        <f t="shared" si="123"/>
        <v>0</v>
      </c>
      <c r="U179" s="437"/>
      <c r="V179" s="290" t="e">
        <f t="shared" si="124"/>
        <v>#REF!</v>
      </c>
      <c r="W179" s="288"/>
      <c r="X179" s="290" t="e">
        <f t="shared" si="125"/>
        <v>#REF!</v>
      </c>
      <c r="Y179" s="288"/>
      <c r="Z179" s="290" t="e">
        <f t="shared" si="126"/>
        <v>#REF!</v>
      </c>
      <c r="AA179" s="288"/>
      <c r="AB179" s="290" t="e">
        <f t="shared" si="127"/>
        <v>#REF!</v>
      </c>
      <c r="AC179" s="288"/>
      <c r="AD179" s="290" t="e">
        <f t="shared" si="128"/>
        <v>#REF!</v>
      </c>
      <c r="AE179" s="288">
        <f t="shared" si="129"/>
        <v>0</v>
      </c>
      <c r="AF179" s="290" t="e">
        <f t="shared" si="130"/>
        <v>#REF!</v>
      </c>
      <c r="AG179" s="288">
        <f t="shared" si="131"/>
        <v>0</v>
      </c>
      <c r="AH179" s="290" t="e">
        <f t="shared" si="132"/>
        <v>#REF!</v>
      </c>
      <c r="AI179" s="288"/>
      <c r="AJ179" s="290" t="e">
        <f t="shared" si="133"/>
        <v>#REF!</v>
      </c>
      <c r="AK179" s="288"/>
      <c r="AL179" s="290" t="e">
        <f t="shared" si="134"/>
        <v>#REF!</v>
      </c>
      <c r="AM179" s="288">
        <f t="shared" si="135"/>
        <v>0</v>
      </c>
      <c r="AN179" s="290" t="e">
        <f t="shared" si="136"/>
        <v>#REF!</v>
      </c>
      <c r="AO179" s="349"/>
    </row>
    <row r="180" spans="2:41" s="345" customFormat="1" ht="30" hidden="1" customHeight="1">
      <c r="B180" s="346"/>
      <c r="C180" s="309">
        <f t="shared" si="137"/>
        <v>143</v>
      </c>
      <c r="D180" s="329" t="s">
        <v>367</v>
      </c>
      <c r="E180" s="329"/>
      <c r="F180" s="329" t="s">
        <v>367</v>
      </c>
      <c r="G180" s="343" t="s">
        <v>366</v>
      </c>
      <c r="H180" s="386" t="s">
        <v>111</v>
      </c>
      <c r="I180" s="321" t="e">
        <f>#REF!</f>
        <v>#REF!</v>
      </c>
      <c r="J180" s="288"/>
      <c r="K180" s="290" t="e">
        <f t="shared" si="118"/>
        <v>#REF!</v>
      </c>
      <c r="L180" s="288"/>
      <c r="M180" s="290" t="e">
        <f t="shared" si="119"/>
        <v>#REF!</v>
      </c>
      <c r="N180" s="288"/>
      <c r="O180" s="290" t="e">
        <f t="shared" si="120"/>
        <v>#REF!</v>
      </c>
      <c r="P180" s="288"/>
      <c r="Q180" s="290" t="e">
        <f t="shared" si="121"/>
        <v>#REF!</v>
      </c>
      <c r="R180" s="288"/>
      <c r="S180" s="290" t="e">
        <f t="shared" si="122"/>
        <v>#REF!</v>
      </c>
      <c r="T180" s="288">
        <f t="shared" si="123"/>
        <v>0</v>
      </c>
      <c r="U180" s="437"/>
      <c r="V180" s="290" t="e">
        <f t="shared" si="124"/>
        <v>#REF!</v>
      </c>
      <c r="W180" s="288"/>
      <c r="X180" s="290" t="e">
        <f t="shared" si="125"/>
        <v>#REF!</v>
      </c>
      <c r="Y180" s="288"/>
      <c r="Z180" s="290" t="e">
        <f t="shared" si="126"/>
        <v>#REF!</v>
      </c>
      <c r="AA180" s="288"/>
      <c r="AB180" s="290" t="e">
        <f t="shared" si="127"/>
        <v>#REF!</v>
      </c>
      <c r="AC180" s="288"/>
      <c r="AD180" s="290" t="e">
        <f t="shared" si="128"/>
        <v>#REF!</v>
      </c>
      <c r="AE180" s="288">
        <f t="shared" si="129"/>
        <v>0</v>
      </c>
      <c r="AF180" s="290" t="e">
        <f t="shared" si="130"/>
        <v>#REF!</v>
      </c>
      <c r="AG180" s="288">
        <f t="shared" si="131"/>
        <v>0</v>
      </c>
      <c r="AH180" s="290" t="e">
        <f t="shared" si="132"/>
        <v>#REF!</v>
      </c>
      <c r="AI180" s="288"/>
      <c r="AJ180" s="290" t="e">
        <f t="shared" si="133"/>
        <v>#REF!</v>
      </c>
      <c r="AK180" s="288"/>
      <c r="AL180" s="290" t="e">
        <f t="shared" si="134"/>
        <v>#REF!</v>
      </c>
      <c r="AM180" s="288">
        <f t="shared" si="135"/>
        <v>0</v>
      </c>
      <c r="AN180" s="290" t="e">
        <f t="shared" si="136"/>
        <v>#REF!</v>
      </c>
      <c r="AO180" s="349"/>
    </row>
    <row r="181" spans="2:41" s="345" customFormat="1" ht="30" hidden="1" customHeight="1">
      <c r="B181" s="346"/>
      <c r="C181" s="309">
        <f t="shared" si="137"/>
        <v>144</v>
      </c>
      <c r="D181" s="329" t="s">
        <v>569</v>
      </c>
      <c r="E181" s="329"/>
      <c r="F181" s="329" t="s">
        <v>569</v>
      </c>
      <c r="G181" s="343" t="s">
        <v>368</v>
      </c>
      <c r="H181" s="386" t="s">
        <v>111</v>
      </c>
      <c r="I181" s="321" t="e">
        <f>#REF!</f>
        <v>#REF!</v>
      </c>
      <c r="J181" s="288"/>
      <c r="K181" s="290" t="e">
        <f t="shared" si="118"/>
        <v>#REF!</v>
      </c>
      <c r="L181" s="288"/>
      <c r="M181" s="290" t="e">
        <f t="shared" si="119"/>
        <v>#REF!</v>
      </c>
      <c r="N181" s="288"/>
      <c r="O181" s="290" t="e">
        <f t="shared" si="120"/>
        <v>#REF!</v>
      </c>
      <c r="P181" s="288"/>
      <c r="Q181" s="290" t="e">
        <f t="shared" si="121"/>
        <v>#REF!</v>
      </c>
      <c r="R181" s="288"/>
      <c r="S181" s="290" t="e">
        <f t="shared" si="122"/>
        <v>#REF!</v>
      </c>
      <c r="T181" s="288">
        <f t="shared" si="123"/>
        <v>0</v>
      </c>
      <c r="U181" s="437"/>
      <c r="V181" s="290" t="e">
        <f t="shared" si="124"/>
        <v>#REF!</v>
      </c>
      <c r="W181" s="288"/>
      <c r="X181" s="290" t="e">
        <f t="shared" si="125"/>
        <v>#REF!</v>
      </c>
      <c r="Y181" s="288"/>
      <c r="Z181" s="290" t="e">
        <f t="shared" si="126"/>
        <v>#REF!</v>
      </c>
      <c r="AA181" s="288"/>
      <c r="AB181" s="290" t="e">
        <f t="shared" si="127"/>
        <v>#REF!</v>
      </c>
      <c r="AC181" s="288"/>
      <c r="AD181" s="290" t="e">
        <f t="shared" si="128"/>
        <v>#REF!</v>
      </c>
      <c r="AE181" s="288">
        <f t="shared" si="129"/>
        <v>0</v>
      </c>
      <c r="AF181" s="290" t="e">
        <f t="shared" si="130"/>
        <v>#REF!</v>
      </c>
      <c r="AG181" s="288">
        <f t="shared" ref="AG181:AG192" si="138">T181+AE181</f>
        <v>0</v>
      </c>
      <c r="AH181" s="290" t="e">
        <f t="shared" ref="AH181:AH192" si="139">V181+AF181</f>
        <v>#REF!</v>
      </c>
      <c r="AI181" s="288"/>
      <c r="AJ181" s="290" t="e">
        <f t="shared" si="133"/>
        <v>#REF!</v>
      </c>
      <c r="AK181" s="288"/>
      <c r="AL181" s="290" t="e">
        <f t="shared" si="134"/>
        <v>#REF!</v>
      </c>
      <c r="AM181" s="288">
        <f t="shared" si="135"/>
        <v>0</v>
      </c>
      <c r="AN181" s="290" t="e">
        <f t="shared" si="136"/>
        <v>#REF!</v>
      </c>
      <c r="AO181" s="349"/>
    </row>
    <row r="182" spans="2:41" s="345" customFormat="1" ht="30" hidden="1" customHeight="1">
      <c r="B182" s="346"/>
      <c r="C182" s="309">
        <f t="shared" si="137"/>
        <v>145</v>
      </c>
      <c r="D182" s="285" t="s">
        <v>580</v>
      </c>
      <c r="E182" s="285"/>
      <c r="F182" s="285" t="s">
        <v>580</v>
      </c>
      <c r="G182" s="287" t="s">
        <v>581</v>
      </c>
      <c r="H182" s="285" t="s">
        <v>82</v>
      </c>
      <c r="I182" s="321" t="e">
        <f>#REF!</f>
        <v>#REF!</v>
      </c>
      <c r="J182" s="288"/>
      <c r="K182" s="290" t="e">
        <f t="shared" si="118"/>
        <v>#REF!</v>
      </c>
      <c r="L182" s="288"/>
      <c r="M182" s="290" t="e">
        <f t="shared" si="119"/>
        <v>#REF!</v>
      </c>
      <c r="N182" s="288"/>
      <c r="O182" s="290" t="e">
        <f t="shared" si="120"/>
        <v>#REF!</v>
      </c>
      <c r="P182" s="288"/>
      <c r="Q182" s="290" t="e">
        <f t="shared" si="121"/>
        <v>#REF!</v>
      </c>
      <c r="R182" s="288"/>
      <c r="S182" s="290" t="e">
        <f t="shared" si="122"/>
        <v>#REF!</v>
      </c>
      <c r="T182" s="288">
        <f t="shared" si="123"/>
        <v>0</v>
      </c>
      <c r="U182" s="437"/>
      <c r="V182" s="290" t="e">
        <f t="shared" si="124"/>
        <v>#REF!</v>
      </c>
      <c r="W182" s="288"/>
      <c r="X182" s="290" t="e">
        <f t="shared" si="125"/>
        <v>#REF!</v>
      </c>
      <c r="Y182" s="288"/>
      <c r="Z182" s="290" t="e">
        <f t="shared" si="126"/>
        <v>#REF!</v>
      </c>
      <c r="AA182" s="288"/>
      <c r="AB182" s="290" t="e">
        <f t="shared" si="127"/>
        <v>#REF!</v>
      </c>
      <c r="AC182" s="288"/>
      <c r="AD182" s="290" t="e">
        <f t="shared" si="128"/>
        <v>#REF!</v>
      </c>
      <c r="AE182" s="288">
        <f t="shared" si="129"/>
        <v>0</v>
      </c>
      <c r="AF182" s="290" t="e">
        <f t="shared" si="130"/>
        <v>#REF!</v>
      </c>
      <c r="AG182" s="288">
        <f t="shared" si="138"/>
        <v>0</v>
      </c>
      <c r="AH182" s="290" t="e">
        <f t="shared" si="139"/>
        <v>#REF!</v>
      </c>
      <c r="AI182" s="288"/>
      <c r="AJ182" s="290" t="e">
        <f t="shared" si="133"/>
        <v>#REF!</v>
      </c>
      <c r="AK182" s="288"/>
      <c r="AL182" s="290" t="e">
        <f t="shared" si="134"/>
        <v>#REF!</v>
      </c>
      <c r="AM182" s="288">
        <f t="shared" si="135"/>
        <v>0</v>
      </c>
      <c r="AN182" s="290" t="e">
        <f t="shared" si="136"/>
        <v>#REF!</v>
      </c>
      <c r="AO182" s="349"/>
    </row>
    <row r="183" spans="2:41" s="345" customFormat="1" ht="30" hidden="1" customHeight="1">
      <c r="B183" s="346"/>
      <c r="C183" s="309">
        <f t="shared" si="137"/>
        <v>146</v>
      </c>
      <c r="D183" s="329">
        <v>672.1</v>
      </c>
      <c r="E183" s="329" t="s">
        <v>461</v>
      </c>
      <c r="F183" s="329"/>
      <c r="G183" s="343" t="s">
        <v>701</v>
      </c>
      <c r="H183" s="386" t="s">
        <v>81</v>
      </c>
      <c r="I183" s="321" t="e">
        <f>#REF!</f>
        <v>#REF!</v>
      </c>
      <c r="J183" s="288"/>
      <c r="K183" s="290" t="e">
        <f t="shared" si="118"/>
        <v>#REF!</v>
      </c>
      <c r="L183" s="288"/>
      <c r="M183" s="290" t="e">
        <f t="shared" si="119"/>
        <v>#REF!</v>
      </c>
      <c r="N183" s="288"/>
      <c r="O183" s="290" t="e">
        <f t="shared" si="120"/>
        <v>#REF!</v>
      </c>
      <c r="P183" s="288"/>
      <c r="Q183" s="290" t="e">
        <f t="shared" si="121"/>
        <v>#REF!</v>
      </c>
      <c r="R183" s="288"/>
      <c r="S183" s="290" t="e">
        <f t="shared" si="122"/>
        <v>#REF!</v>
      </c>
      <c r="T183" s="288">
        <f t="shared" si="123"/>
        <v>0</v>
      </c>
      <c r="U183" s="437"/>
      <c r="V183" s="290" t="e">
        <f t="shared" si="124"/>
        <v>#REF!</v>
      </c>
      <c r="W183" s="288"/>
      <c r="X183" s="290" t="e">
        <f t="shared" si="125"/>
        <v>#REF!</v>
      </c>
      <c r="Y183" s="288"/>
      <c r="Z183" s="290" t="e">
        <f t="shared" si="126"/>
        <v>#REF!</v>
      </c>
      <c r="AA183" s="288"/>
      <c r="AB183" s="290" t="e">
        <f t="shared" si="127"/>
        <v>#REF!</v>
      </c>
      <c r="AC183" s="288"/>
      <c r="AD183" s="290" t="e">
        <f t="shared" si="128"/>
        <v>#REF!</v>
      </c>
      <c r="AE183" s="288">
        <f t="shared" si="129"/>
        <v>0</v>
      </c>
      <c r="AF183" s="290" t="e">
        <f t="shared" si="130"/>
        <v>#REF!</v>
      </c>
      <c r="AG183" s="288">
        <f t="shared" si="138"/>
        <v>0</v>
      </c>
      <c r="AH183" s="290" t="e">
        <f t="shared" si="139"/>
        <v>#REF!</v>
      </c>
      <c r="AI183" s="288"/>
      <c r="AJ183" s="290" t="e">
        <f t="shared" si="133"/>
        <v>#REF!</v>
      </c>
      <c r="AK183" s="288"/>
      <c r="AL183" s="290" t="e">
        <f t="shared" si="134"/>
        <v>#REF!</v>
      </c>
      <c r="AM183" s="288">
        <f t="shared" si="135"/>
        <v>0</v>
      </c>
      <c r="AN183" s="290" t="e">
        <f t="shared" si="136"/>
        <v>#REF!</v>
      </c>
      <c r="AO183" s="349"/>
    </row>
    <row r="184" spans="2:41" s="345" customFormat="1" ht="30" customHeight="1">
      <c r="B184" s="346"/>
      <c r="C184" s="309">
        <f t="shared" si="137"/>
        <v>147</v>
      </c>
      <c r="D184" s="285" t="s">
        <v>95</v>
      </c>
      <c r="E184" s="293" t="s">
        <v>460</v>
      </c>
      <c r="F184" s="285"/>
      <c r="G184" s="344" t="s">
        <v>651</v>
      </c>
      <c r="H184" s="285" t="s">
        <v>28</v>
      </c>
      <c r="I184" s="289">
        <f>+'673.1'!$N$79</f>
        <v>8890</v>
      </c>
      <c r="J184" s="288"/>
      <c r="K184" s="290">
        <f t="shared" si="118"/>
        <v>0</v>
      </c>
      <c r="L184" s="288"/>
      <c r="M184" s="290">
        <f t="shared" si="119"/>
        <v>0</v>
      </c>
      <c r="N184" s="288"/>
      <c r="O184" s="290">
        <f t="shared" si="120"/>
        <v>0</v>
      </c>
      <c r="P184" s="288"/>
      <c r="Q184" s="290">
        <f t="shared" si="121"/>
        <v>0</v>
      </c>
      <c r="R184" s="288"/>
      <c r="S184" s="290">
        <f t="shared" si="122"/>
        <v>0</v>
      </c>
      <c r="T184" s="288">
        <f t="shared" si="123"/>
        <v>0</v>
      </c>
      <c r="U184" s="437"/>
      <c r="V184" s="290">
        <f t="shared" si="124"/>
        <v>0</v>
      </c>
      <c r="W184" s="288"/>
      <c r="X184" s="290">
        <f t="shared" si="125"/>
        <v>0</v>
      </c>
      <c r="Y184" s="288" t="e">
        <f>#REF!</f>
        <v>#REF!</v>
      </c>
      <c r="Z184" s="290" t="e">
        <f t="shared" si="126"/>
        <v>#REF!</v>
      </c>
      <c r="AA184" s="288" t="e">
        <f>#REF!+#REF!+#REF!</f>
        <v>#REF!</v>
      </c>
      <c r="AB184" s="290" t="e">
        <f t="shared" si="127"/>
        <v>#REF!</v>
      </c>
      <c r="AC184" s="288" t="e">
        <f>#REF!+#REF!</f>
        <v>#REF!</v>
      </c>
      <c r="AD184" s="290" t="e">
        <f t="shared" si="128"/>
        <v>#REF!</v>
      </c>
      <c r="AE184" s="288" t="e">
        <f t="shared" si="129"/>
        <v>#REF!</v>
      </c>
      <c r="AF184" s="290" t="e">
        <f t="shared" si="130"/>
        <v>#REF!</v>
      </c>
      <c r="AG184" s="288" t="e">
        <f t="shared" si="138"/>
        <v>#REF!</v>
      </c>
      <c r="AH184" s="290" t="e">
        <f t="shared" si="139"/>
        <v>#REF!</v>
      </c>
      <c r="AI184" s="288"/>
      <c r="AJ184" s="290">
        <f t="shared" si="133"/>
        <v>0</v>
      </c>
      <c r="AK184" s="288"/>
      <c r="AL184" s="290">
        <f t="shared" si="134"/>
        <v>0</v>
      </c>
      <c r="AM184" s="288" t="e">
        <f t="shared" si="135"/>
        <v>#REF!</v>
      </c>
      <c r="AN184" s="290" t="e">
        <f t="shared" si="136"/>
        <v>#REF!</v>
      </c>
      <c r="AO184" s="349"/>
    </row>
    <row r="185" spans="2:41" s="345" customFormat="1" ht="30" hidden="1" customHeight="1">
      <c r="B185" s="346"/>
      <c r="C185" s="309">
        <f t="shared" si="137"/>
        <v>148</v>
      </c>
      <c r="D185" s="285" t="s">
        <v>426</v>
      </c>
      <c r="E185" s="285"/>
      <c r="F185" s="285" t="s">
        <v>426</v>
      </c>
      <c r="G185" s="287" t="s">
        <v>182</v>
      </c>
      <c r="H185" s="292" t="s">
        <v>111</v>
      </c>
      <c r="I185" s="289" t="e">
        <f>+#REF!</f>
        <v>#REF!</v>
      </c>
      <c r="J185" s="288"/>
      <c r="K185" s="290" t="e">
        <f t="shared" si="118"/>
        <v>#REF!</v>
      </c>
      <c r="L185" s="288"/>
      <c r="M185" s="290" t="e">
        <f t="shared" si="119"/>
        <v>#REF!</v>
      </c>
      <c r="N185" s="288"/>
      <c r="O185" s="290" t="e">
        <f t="shared" si="120"/>
        <v>#REF!</v>
      </c>
      <c r="P185" s="288"/>
      <c r="Q185" s="290" t="e">
        <f t="shared" si="121"/>
        <v>#REF!</v>
      </c>
      <c r="R185" s="288"/>
      <c r="S185" s="290" t="e">
        <f t="shared" si="122"/>
        <v>#REF!</v>
      </c>
      <c r="T185" s="288">
        <f t="shared" si="123"/>
        <v>0</v>
      </c>
      <c r="U185" s="437"/>
      <c r="V185" s="290" t="e">
        <f t="shared" si="124"/>
        <v>#REF!</v>
      </c>
      <c r="W185" s="288"/>
      <c r="X185" s="290" t="e">
        <f t="shared" si="125"/>
        <v>#REF!</v>
      </c>
      <c r="Y185" s="288"/>
      <c r="Z185" s="290" t="e">
        <f t="shared" si="126"/>
        <v>#REF!</v>
      </c>
      <c r="AA185" s="288"/>
      <c r="AB185" s="290" t="e">
        <f t="shared" si="127"/>
        <v>#REF!</v>
      </c>
      <c r="AC185" s="288"/>
      <c r="AD185" s="290" t="e">
        <f t="shared" si="128"/>
        <v>#REF!</v>
      </c>
      <c r="AE185" s="288">
        <f t="shared" si="129"/>
        <v>0</v>
      </c>
      <c r="AF185" s="290" t="e">
        <f t="shared" si="130"/>
        <v>#REF!</v>
      </c>
      <c r="AG185" s="288">
        <f t="shared" si="138"/>
        <v>0</v>
      </c>
      <c r="AH185" s="290" t="e">
        <f t="shared" si="139"/>
        <v>#REF!</v>
      </c>
      <c r="AI185" s="288"/>
      <c r="AJ185" s="290" t="e">
        <f t="shared" si="133"/>
        <v>#REF!</v>
      </c>
      <c r="AK185" s="288"/>
      <c r="AL185" s="290" t="e">
        <f t="shared" si="134"/>
        <v>#REF!</v>
      </c>
      <c r="AM185" s="288">
        <f t="shared" si="135"/>
        <v>0</v>
      </c>
      <c r="AN185" s="290" t="e">
        <f t="shared" si="136"/>
        <v>#REF!</v>
      </c>
      <c r="AO185" s="349"/>
    </row>
    <row r="186" spans="2:41" s="345" customFormat="1" ht="30" customHeight="1">
      <c r="B186" s="346"/>
      <c r="C186" s="309">
        <f t="shared" si="137"/>
        <v>149</v>
      </c>
      <c r="D186" s="285" t="s">
        <v>96</v>
      </c>
      <c r="E186" s="456" t="s">
        <v>460</v>
      </c>
      <c r="F186" s="285"/>
      <c r="G186" s="287" t="s">
        <v>544</v>
      </c>
      <c r="H186" s="292" t="s">
        <v>111</v>
      </c>
      <c r="I186" s="289">
        <f>+'673.2'!N82</f>
        <v>123908</v>
      </c>
      <c r="J186" s="288">
        <f>'[112]CANTIDADES TOTALIZADAS'!$AF$72</f>
        <v>109.72642774442582</v>
      </c>
      <c r="K186" s="290">
        <f t="shared" si="118"/>
        <v>13595982.208956314</v>
      </c>
      <c r="L186" s="288">
        <f>'[112]CANTIDADES TOTALIZADAS'!$AQ$72</f>
        <v>115.26375079128927</v>
      </c>
      <c r="M186" s="290">
        <f t="shared" si="119"/>
        <v>14282100.833047071</v>
      </c>
      <c r="N186" s="288">
        <f>'[112]CANTIDADES TOTALIZADAS'!$AU$72</f>
        <v>303.95337664417167</v>
      </c>
      <c r="O186" s="290">
        <f t="shared" si="120"/>
        <v>37662254.993226022</v>
      </c>
      <c r="P186" s="288">
        <f>'[112]CANTIDADES TOTALIZADAS'!$BA$72</f>
        <v>6.8973673039878118</v>
      </c>
      <c r="Q186" s="290">
        <f t="shared" si="121"/>
        <v>854638.98790252174</v>
      </c>
      <c r="R186" s="288">
        <f>'[112]CANTIDADES TOTALIZADAS'!$BI$72</f>
        <v>46.630088815692247</v>
      </c>
      <c r="S186" s="290">
        <f t="shared" si="122"/>
        <v>5777841.0449747946</v>
      </c>
      <c r="T186" s="288">
        <f t="shared" si="123"/>
        <v>582.47101129956684</v>
      </c>
      <c r="U186" s="437">
        <f>'[112]CANTIDADES TOTALIZADAS'!$BJ$72</f>
        <v>582.47101129956684</v>
      </c>
      <c r="V186" s="290">
        <f t="shared" si="124"/>
        <v>72172818.068106726</v>
      </c>
      <c r="W186" s="288"/>
      <c r="X186" s="290">
        <f t="shared" si="125"/>
        <v>0</v>
      </c>
      <c r="Y186" s="288" t="e">
        <f>#REF!</f>
        <v>#REF!</v>
      </c>
      <c r="Z186" s="290" t="e">
        <f t="shared" si="126"/>
        <v>#REF!</v>
      </c>
      <c r="AA186" s="288" t="e">
        <f>#REF!+#REF!+#REF!</f>
        <v>#REF!</v>
      </c>
      <c r="AB186" s="290" t="e">
        <f t="shared" si="127"/>
        <v>#REF!</v>
      </c>
      <c r="AC186" s="288" t="e">
        <f>#REF!+#REF!</f>
        <v>#REF!</v>
      </c>
      <c r="AD186" s="290" t="e">
        <f t="shared" si="128"/>
        <v>#REF!</v>
      </c>
      <c r="AE186" s="288" t="e">
        <f t="shared" si="129"/>
        <v>#REF!</v>
      </c>
      <c r="AF186" s="290" t="e">
        <f t="shared" si="130"/>
        <v>#REF!</v>
      </c>
      <c r="AG186" s="288" t="e">
        <f t="shared" si="138"/>
        <v>#REF!</v>
      </c>
      <c r="AH186" s="290" t="e">
        <f t="shared" si="139"/>
        <v>#REF!</v>
      </c>
      <c r="AI186" s="288">
        <f>'CANTIDADES TOTALIZADAS'!AG72</f>
        <v>15.980520021211197</v>
      </c>
      <c r="AJ186" s="290">
        <f t="shared" si="133"/>
        <v>1980114.2747882369</v>
      </c>
      <c r="AK186" s="288">
        <f>'CANTIDADES TOTALIZADAS'!AT72</f>
        <v>28.172345326147401</v>
      </c>
      <c r="AL186" s="290">
        <f t="shared" si="134"/>
        <v>3490778.9646722721</v>
      </c>
      <c r="AM186" s="288" t="e">
        <f t="shared" si="135"/>
        <v>#REF!</v>
      </c>
      <c r="AN186" s="290" t="e">
        <f t="shared" si="136"/>
        <v>#REF!</v>
      </c>
      <c r="AO186" s="349"/>
    </row>
    <row r="187" spans="2:41" s="345" customFormat="1" ht="30" hidden="1" customHeight="1">
      <c r="B187" s="346"/>
      <c r="C187" s="309">
        <f t="shared" si="137"/>
        <v>150</v>
      </c>
      <c r="D187" s="285" t="s">
        <v>97</v>
      </c>
      <c r="E187" s="285" t="s">
        <v>460</v>
      </c>
      <c r="F187" s="285"/>
      <c r="G187" s="344" t="s">
        <v>600</v>
      </c>
      <c r="H187" s="285" t="s">
        <v>111</v>
      </c>
      <c r="I187" s="289">
        <f>+'673.3'!N82</f>
        <v>155966</v>
      </c>
      <c r="J187" s="288"/>
      <c r="K187" s="290">
        <f t="shared" si="118"/>
        <v>0</v>
      </c>
      <c r="L187" s="288"/>
      <c r="M187" s="290">
        <f t="shared" si="119"/>
        <v>0</v>
      </c>
      <c r="N187" s="288"/>
      <c r="O187" s="290">
        <f t="shared" si="120"/>
        <v>0</v>
      </c>
      <c r="P187" s="288"/>
      <c r="Q187" s="290">
        <f t="shared" si="121"/>
        <v>0</v>
      </c>
      <c r="R187" s="288"/>
      <c r="S187" s="290">
        <f t="shared" si="122"/>
        <v>0</v>
      </c>
      <c r="T187" s="288">
        <f t="shared" si="123"/>
        <v>0</v>
      </c>
      <c r="U187" s="437"/>
      <c r="V187" s="290">
        <f t="shared" si="124"/>
        <v>0</v>
      </c>
      <c r="W187" s="288"/>
      <c r="X187" s="290">
        <f t="shared" si="125"/>
        <v>0</v>
      </c>
      <c r="Y187" s="288"/>
      <c r="Z187" s="290">
        <f t="shared" si="126"/>
        <v>0</v>
      </c>
      <c r="AA187" s="288"/>
      <c r="AB187" s="290">
        <f t="shared" si="127"/>
        <v>0</v>
      </c>
      <c r="AC187" s="288"/>
      <c r="AD187" s="290">
        <f t="shared" si="128"/>
        <v>0</v>
      </c>
      <c r="AE187" s="288">
        <f t="shared" si="129"/>
        <v>0</v>
      </c>
      <c r="AF187" s="290">
        <f t="shared" si="130"/>
        <v>0</v>
      </c>
      <c r="AG187" s="288">
        <f t="shared" si="138"/>
        <v>0</v>
      </c>
      <c r="AH187" s="290">
        <f t="shared" si="139"/>
        <v>0</v>
      </c>
      <c r="AI187" s="288"/>
      <c r="AJ187" s="290">
        <f t="shared" si="133"/>
        <v>0</v>
      </c>
      <c r="AK187" s="288"/>
      <c r="AL187" s="290">
        <f t="shared" si="134"/>
        <v>0</v>
      </c>
      <c r="AM187" s="288">
        <f t="shared" si="135"/>
        <v>0</v>
      </c>
      <c r="AN187" s="290">
        <f t="shared" si="136"/>
        <v>0</v>
      </c>
      <c r="AO187" s="349"/>
    </row>
    <row r="188" spans="2:41" s="345" customFormat="1" ht="30" customHeight="1">
      <c r="B188" s="346"/>
      <c r="C188" s="309">
        <f t="shared" si="137"/>
        <v>151</v>
      </c>
      <c r="D188" s="329" t="s">
        <v>371</v>
      </c>
      <c r="E188" s="454" t="s">
        <v>460</v>
      </c>
      <c r="F188" s="329" t="s">
        <v>371</v>
      </c>
      <c r="G188" s="343" t="s">
        <v>372</v>
      </c>
      <c r="H188" s="329" t="s">
        <v>81</v>
      </c>
      <c r="I188" s="289">
        <f>'673.3P'!N81</f>
        <v>145403</v>
      </c>
      <c r="J188" s="288">
        <f>'[112]CANTIDADES TOTALIZADAS'!$AF$74</f>
        <v>2259</v>
      </c>
      <c r="K188" s="290">
        <f t="shared" si="118"/>
        <v>328465377</v>
      </c>
      <c r="L188" s="288">
        <f>'[112]CANTIDADES TOTALIZADAS'!$AQ$74</f>
        <v>2373</v>
      </c>
      <c r="M188" s="290">
        <f t="shared" si="119"/>
        <v>345041319</v>
      </c>
      <c r="N188" s="288">
        <f>'[112]CANTIDADES TOTALIZADAS'!$AU$74</f>
        <v>6257.66</v>
      </c>
      <c r="O188" s="290">
        <f t="shared" si="120"/>
        <v>909882536.98000002</v>
      </c>
      <c r="P188" s="288">
        <f>'[112]CANTIDADES TOTALIZADAS'!$BA$74</f>
        <v>142</v>
      </c>
      <c r="Q188" s="290">
        <f t="shared" si="121"/>
        <v>20647226</v>
      </c>
      <c r="R188" s="288">
        <f>'[112]CANTIDADES TOTALIZADAS'!$BI$74</f>
        <v>960</v>
      </c>
      <c r="S188" s="290">
        <f t="shared" si="122"/>
        <v>139586880</v>
      </c>
      <c r="T188" s="288">
        <f t="shared" si="123"/>
        <v>11991.66</v>
      </c>
      <c r="U188" s="437">
        <f>'[112]CANTIDADES TOTALIZADAS'!$BJ$74</f>
        <v>11991.66</v>
      </c>
      <c r="V188" s="290">
        <f t="shared" si="124"/>
        <v>1743623338.98</v>
      </c>
      <c r="W188" s="288"/>
      <c r="X188" s="290">
        <f t="shared" si="125"/>
        <v>0</v>
      </c>
      <c r="Y188" s="288"/>
      <c r="Z188" s="290">
        <f t="shared" si="126"/>
        <v>0</v>
      </c>
      <c r="AA188" s="288"/>
      <c r="AB188" s="290">
        <f t="shared" si="127"/>
        <v>0</v>
      </c>
      <c r="AC188" s="288"/>
      <c r="AD188" s="290">
        <f t="shared" si="128"/>
        <v>0</v>
      </c>
      <c r="AE188" s="288">
        <f t="shared" si="129"/>
        <v>0</v>
      </c>
      <c r="AF188" s="290">
        <f t="shared" si="130"/>
        <v>0</v>
      </c>
      <c r="AG188" s="288">
        <f t="shared" si="138"/>
        <v>11991.66</v>
      </c>
      <c r="AH188" s="290">
        <f t="shared" si="139"/>
        <v>1743623338.98</v>
      </c>
      <c r="AI188" s="288"/>
      <c r="AJ188" s="290">
        <f t="shared" si="133"/>
        <v>0</v>
      </c>
      <c r="AK188" s="288">
        <f>'CANTIDADES TOTALIZADAS'!AT74</f>
        <v>580</v>
      </c>
      <c r="AL188" s="290">
        <f t="shared" si="134"/>
        <v>84333740</v>
      </c>
      <c r="AM188" s="288">
        <f t="shared" si="135"/>
        <v>11411.66</v>
      </c>
      <c r="AN188" s="290">
        <f t="shared" si="136"/>
        <v>1659289598.98</v>
      </c>
      <c r="AO188" s="349"/>
    </row>
    <row r="189" spans="2:41" s="345" customFormat="1" ht="30" hidden="1" customHeight="1">
      <c r="B189" s="346"/>
      <c r="C189" s="309">
        <f t="shared" si="137"/>
        <v>152</v>
      </c>
      <c r="D189" s="329">
        <v>674.2</v>
      </c>
      <c r="E189" s="329" t="s">
        <v>463</v>
      </c>
      <c r="F189" s="329"/>
      <c r="G189" s="343" t="s">
        <v>373</v>
      </c>
      <c r="H189" s="329" t="s">
        <v>81</v>
      </c>
      <c r="I189" s="289" t="e">
        <f>#REF!</f>
        <v>#REF!</v>
      </c>
      <c r="J189" s="288"/>
      <c r="K189" s="290" t="e">
        <f t="shared" si="118"/>
        <v>#REF!</v>
      </c>
      <c r="L189" s="288"/>
      <c r="M189" s="290" t="e">
        <f t="shared" si="119"/>
        <v>#REF!</v>
      </c>
      <c r="N189" s="288"/>
      <c r="O189" s="290" t="e">
        <f t="shared" si="120"/>
        <v>#REF!</v>
      </c>
      <c r="P189" s="288"/>
      <c r="Q189" s="290" t="e">
        <f t="shared" si="121"/>
        <v>#REF!</v>
      </c>
      <c r="R189" s="288"/>
      <c r="S189" s="290" t="e">
        <f t="shared" si="122"/>
        <v>#REF!</v>
      </c>
      <c r="T189" s="288">
        <f t="shared" si="123"/>
        <v>0</v>
      </c>
      <c r="U189" s="437"/>
      <c r="V189" s="290" t="e">
        <f t="shared" si="124"/>
        <v>#REF!</v>
      </c>
      <c r="W189" s="288"/>
      <c r="X189" s="290" t="e">
        <f t="shared" si="125"/>
        <v>#REF!</v>
      </c>
      <c r="Y189" s="288"/>
      <c r="Z189" s="290" t="e">
        <f t="shared" si="126"/>
        <v>#REF!</v>
      </c>
      <c r="AA189" s="288"/>
      <c r="AB189" s="290" t="e">
        <f t="shared" si="127"/>
        <v>#REF!</v>
      </c>
      <c r="AC189" s="288"/>
      <c r="AD189" s="290" t="e">
        <f t="shared" si="128"/>
        <v>#REF!</v>
      </c>
      <c r="AE189" s="288">
        <f t="shared" si="129"/>
        <v>0</v>
      </c>
      <c r="AF189" s="290" t="e">
        <f t="shared" si="130"/>
        <v>#REF!</v>
      </c>
      <c r="AG189" s="288">
        <f t="shared" si="138"/>
        <v>0</v>
      </c>
      <c r="AH189" s="290" t="e">
        <f t="shared" si="139"/>
        <v>#REF!</v>
      </c>
      <c r="AI189" s="288"/>
      <c r="AJ189" s="290" t="e">
        <f t="shared" si="133"/>
        <v>#REF!</v>
      </c>
      <c r="AK189" s="288"/>
      <c r="AL189" s="290" t="e">
        <f t="shared" si="134"/>
        <v>#REF!</v>
      </c>
      <c r="AM189" s="288">
        <f t="shared" si="135"/>
        <v>0</v>
      </c>
      <c r="AN189" s="290" t="e">
        <f t="shared" si="136"/>
        <v>#REF!</v>
      </c>
      <c r="AO189" s="349"/>
    </row>
    <row r="190" spans="2:41" s="345" customFormat="1" ht="33.75" hidden="1" customHeight="1">
      <c r="B190" s="346"/>
      <c r="C190" s="309">
        <f t="shared" si="137"/>
        <v>153</v>
      </c>
      <c r="D190" s="285" t="s">
        <v>98</v>
      </c>
      <c r="E190" s="285" t="s">
        <v>464</v>
      </c>
      <c r="F190" s="285"/>
      <c r="G190" s="287" t="s">
        <v>702</v>
      </c>
      <c r="H190" s="285" t="s">
        <v>111</v>
      </c>
      <c r="I190" s="289" t="e">
        <f>+#REF!</f>
        <v>#REF!</v>
      </c>
      <c r="J190" s="288"/>
      <c r="K190" s="290" t="e">
        <f t="shared" si="118"/>
        <v>#REF!</v>
      </c>
      <c r="L190" s="288"/>
      <c r="M190" s="290" t="e">
        <f t="shared" si="119"/>
        <v>#REF!</v>
      </c>
      <c r="N190" s="288"/>
      <c r="O190" s="290" t="e">
        <f t="shared" si="120"/>
        <v>#REF!</v>
      </c>
      <c r="P190" s="288"/>
      <c r="Q190" s="290" t="e">
        <f t="shared" si="121"/>
        <v>#REF!</v>
      </c>
      <c r="R190" s="288"/>
      <c r="S190" s="290" t="e">
        <f t="shared" si="122"/>
        <v>#REF!</v>
      </c>
      <c r="T190" s="288">
        <f t="shared" si="123"/>
        <v>0</v>
      </c>
      <c r="U190" s="437"/>
      <c r="V190" s="290" t="e">
        <f t="shared" si="124"/>
        <v>#REF!</v>
      </c>
      <c r="W190" s="288"/>
      <c r="X190" s="290" t="e">
        <f t="shared" si="125"/>
        <v>#REF!</v>
      </c>
      <c r="Y190" s="288"/>
      <c r="Z190" s="290" t="e">
        <f t="shared" si="126"/>
        <v>#REF!</v>
      </c>
      <c r="AA190" s="288"/>
      <c r="AB190" s="290" t="e">
        <f t="shared" si="127"/>
        <v>#REF!</v>
      </c>
      <c r="AC190" s="288"/>
      <c r="AD190" s="290" t="e">
        <f t="shared" si="128"/>
        <v>#REF!</v>
      </c>
      <c r="AE190" s="288">
        <f t="shared" si="129"/>
        <v>0</v>
      </c>
      <c r="AF190" s="290" t="e">
        <f t="shared" si="130"/>
        <v>#REF!</v>
      </c>
      <c r="AG190" s="288">
        <f t="shared" si="138"/>
        <v>0</v>
      </c>
      <c r="AH190" s="290" t="e">
        <f t="shared" si="139"/>
        <v>#REF!</v>
      </c>
      <c r="AI190" s="288"/>
      <c r="AJ190" s="290" t="e">
        <f t="shared" si="133"/>
        <v>#REF!</v>
      </c>
      <c r="AK190" s="288"/>
      <c r="AL190" s="290" t="e">
        <f t="shared" si="134"/>
        <v>#REF!</v>
      </c>
      <c r="AM190" s="288">
        <f t="shared" si="135"/>
        <v>0</v>
      </c>
      <c r="AN190" s="290" t="e">
        <f t="shared" si="136"/>
        <v>#REF!</v>
      </c>
      <c r="AO190" s="349"/>
    </row>
    <row r="191" spans="2:41" s="345" customFormat="1" ht="30" hidden="1" customHeight="1">
      <c r="B191" s="346"/>
      <c r="C191" s="309">
        <f t="shared" si="137"/>
        <v>154</v>
      </c>
      <c r="D191" s="329" t="s">
        <v>399</v>
      </c>
      <c r="E191" s="329" t="s">
        <v>464</v>
      </c>
      <c r="F191" s="329" t="s">
        <v>399</v>
      </c>
      <c r="G191" s="343" t="s">
        <v>374</v>
      </c>
      <c r="H191" s="329" t="s">
        <v>111</v>
      </c>
      <c r="I191" s="289" t="e">
        <f>#REF!</f>
        <v>#REF!</v>
      </c>
      <c r="J191" s="288"/>
      <c r="K191" s="290" t="e">
        <f t="shared" si="118"/>
        <v>#REF!</v>
      </c>
      <c r="L191" s="288"/>
      <c r="M191" s="290" t="e">
        <f t="shared" si="119"/>
        <v>#REF!</v>
      </c>
      <c r="N191" s="288"/>
      <c r="O191" s="290" t="e">
        <f t="shared" si="120"/>
        <v>#REF!</v>
      </c>
      <c r="P191" s="288"/>
      <c r="Q191" s="290" t="e">
        <f t="shared" si="121"/>
        <v>#REF!</v>
      </c>
      <c r="R191" s="288"/>
      <c r="S191" s="290" t="e">
        <f t="shared" si="122"/>
        <v>#REF!</v>
      </c>
      <c r="T191" s="288">
        <f t="shared" si="123"/>
        <v>0</v>
      </c>
      <c r="U191" s="437"/>
      <c r="V191" s="290" t="e">
        <f t="shared" si="124"/>
        <v>#REF!</v>
      </c>
      <c r="W191" s="288"/>
      <c r="X191" s="290" t="e">
        <f t="shared" si="125"/>
        <v>#REF!</v>
      </c>
      <c r="Y191" s="288"/>
      <c r="Z191" s="290" t="e">
        <f t="shared" si="126"/>
        <v>#REF!</v>
      </c>
      <c r="AA191" s="288"/>
      <c r="AB191" s="290" t="e">
        <f t="shared" si="127"/>
        <v>#REF!</v>
      </c>
      <c r="AC191" s="288"/>
      <c r="AD191" s="290" t="e">
        <f t="shared" si="128"/>
        <v>#REF!</v>
      </c>
      <c r="AE191" s="288">
        <f t="shared" si="129"/>
        <v>0</v>
      </c>
      <c r="AF191" s="290" t="e">
        <f t="shared" si="130"/>
        <v>#REF!</v>
      </c>
      <c r="AG191" s="288">
        <f t="shared" si="138"/>
        <v>0</v>
      </c>
      <c r="AH191" s="290" t="e">
        <f t="shared" si="139"/>
        <v>#REF!</v>
      </c>
      <c r="AI191" s="288"/>
      <c r="AJ191" s="290" t="e">
        <f t="shared" si="133"/>
        <v>#REF!</v>
      </c>
      <c r="AK191" s="288"/>
      <c r="AL191" s="290" t="e">
        <f t="shared" si="134"/>
        <v>#REF!</v>
      </c>
      <c r="AM191" s="288">
        <f t="shared" si="135"/>
        <v>0</v>
      </c>
      <c r="AN191" s="290" t="e">
        <f t="shared" si="136"/>
        <v>#REF!</v>
      </c>
      <c r="AO191" s="349"/>
    </row>
    <row r="192" spans="2:41" s="345" customFormat="1" ht="30" hidden="1" customHeight="1">
      <c r="B192" s="346"/>
      <c r="C192" s="309">
        <f t="shared" si="137"/>
        <v>155</v>
      </c>
      <c r="D192" s="285" t="s">
        <v>427</v>
      </c>
      <c r="E192" s="293" t="s">
        <v>462</v>
      </c>
      <c r="F192" s="285"/>
      <c r="G192" s="287" t="s">
        <v>183</v>
      </c>
      <c r="H192" s="285" t="s">
        <v>28</v>
      </c>
      <c r="I192" s="289" t="e">
        <f>+#REF!</f>
        <v>#REF!</v>
      </c>
      <c r="J192" s="288"/>
      <c r="K192" s="290" t="e">
        <f t="shared" si="118"/>
        <v>#REF!</v>
      </c>
      <c r="L192" s="288"/>
      <c r="M192" s="290" t="e">
        <f t="shared" si="119"/>
        <v>#REF!</v>
      </c>
      <c r="N192" s="288"/>
      <c r="O192" s="290" t="e">
        <f t="shared" si="120"/>
        <v>#REF!</v>
      </c>
      <c r="P192" s="288"/>
      <c r="Q192" s="290" t="e">
        <f t="shared" si="121"/>
        <v>#REF!</v>
      </c>
      <c r="R192" s="288"/>
      <c r="S192" s="290" t="e">
        <f t="shared" si="122"/>
        <v>#REF!</v>
      </c>
      <c r="T192" s="288">
        <f t="shared" si="123"/>
        <v>0</v>
      </c>
      <c r="U192" s="437"/>
      <c r="V192" s="290" t="e">
        <f t="shared" si="124"/>
        <v>#REF!</v>
      </c>
      <c r="W192" s="288"/>
      <c r="X192" s="290" t="e">
        <f t="shared" si="125"/>
        <v>#REF!</v>
      </c>
      <c r="Y192" s="288"/>
      <c r="Z192" s="290" t="e">
        <f t="shared" si="126"/>
        <v>#REF!</v>
      </c>
      <c r="AA192" s="288"/>
      <c r="AB192" s="290" t="e">
        <f t="shared" si="127"/>
        <v>#REF!</v>
      </c>
      <c r="AC192" s="288"/>
      <c r="AD192" s="290" t="e">
        <f t="shared" si="128"/>
        <v>#REF!</v>
      </c>
      <c r="AE192" s="288">
        <f t="shared" si="129"/>
        <v>0</v>
      </c>
      <c r="AF192" s="290" t="e">
        <f t="shared" si="130"/>
        <v>#REF!</v>
      </c>
      <c r="AG192" s="288">
        <f t="shared" si="138"/>
        <v>0</v>
      </c>
      <c r="AH192" s="290" t="e">
        <f t="shared" si="139"/>
        <v>#REF!</v>
      </c>
      <c r="AI192" s="288"/>
      <c r="AJ192" s="290" t="e">
        <f t="shared" si="133"/>
        <v>#REF!</v>
      </c>
      <c r="AK192" s="288"/>
      <c r="AL192" s="290" t="e">
        <f t="shared" si="134"/>
        <v>#REF!</v>
      </c>
      <c r="AM192" s="288">
        <f t="shared" si="135"/>
        <v>0</v>
      </c>
      <c r="AN192" s="290" t="e">
        <f t="shared" si="136"/>
        <v>#REF!</v>
      </c>
      <c r="AO192" s="349"/>
    </row>
    <row r="193" spans="2:41" s="345" customFormat="1" ht="30" customHeight="1" thickBot="1">
      <c r="B193" s="346"/>
      <c r="C193" s="322" t="s">
        <v>170</v>
      </c>
      <c r="D193" s="323"/>
      <c r="E193" s="323"/>
      <c r="F193" s="323"/>
      <c r="G193" s="324"/>
      <c r="H193" s="323"/>
      <c r="I193" s="325"/>
      <c r="J193" s="288"/>
      <c r="K193" s="326" t="e">
        <f>ROUND(SUM(K85:K192),0)</f>
        <v>#REF!</v>
      </c>
      <c r="L193" s="288"/>
      <c r="M193" s="326" t="e">
        <f>ROUND(SUM(M85:M192),0)</f>
        <v>#REF!</v>
      </c>
      <c r="N193" s="288"/>
      <c r="O193" s="326" t="e">
        <f>ROUND(SUM(O85:O192),0)</f>
        <v>#REF!</v>
      </c>
      <c r="P193" s="288"/>
      <c r="Q193" s="326" t="e">
        <f>ROUND(SUM(Q85:Q192),0)</f>
        <v>#REF!</v>
      </c>
      <c r="R193" s="288"/>
      <c r="S193" s="326" t="e">
        <f>ROUND(SUM(S85:S192),0)</f>
        <v>#REF!</v>
      </c>
      <c r="T193" s="288"/>
      <c r="U193" s="438"/>
      <c r="V193" s="326" t="e">
        <f>ROUND(SUM(V85:V192),0)</f>
        <v>#REF!</v>
      </c>
      <c r="W193" s="288"/>
      <c r="X193" s="326" t="e">
        <f>ROUND(SUM(X85:X192),0)</f>
        <v>#REF!</v>
      </c>
      <c r="Y193" s="288"/>
      <c r="Z193" s="326" t="e">
        <f>ROUND(SUM(Z85:Z192),0)</f>
        <v>#REF!</v>
      </c>
      <c r="AA193" s="288"/>
      <c r="AB193" s="326" t="e">
        <f>ROUND(SUM(AB85:AB192),0)</f>
        <v>#REF!</v>
      </c>
      <c r="AC193" s="288"/>
      <c r="AD193" s="326" t="e">
        <f>ROUND(SUM(AD85:AD192),0)</f>
        <v>#REF!</v>
      </c>
      <c r="AE193" s="288"/>
      <c r="AF193" s="326" t="e">
        <f>ROUND(SUM(AF85:AF192),0)</f>
        <v>#REF!</v>
      </c>
      <c r="AG193" s="288"/>
      <c r="AH193" s="326" t="e">
        <f>ROUND(SUM(AH85:AH192),0)</f>
        <v>#REF!</v>
      </c>
      <c r="AI193" s="288"/>
      <c r="AJ193" s="326" t="e">
        <f>ROUND(SUM(AJ85:AJ192),0)</f>
        <v>#REF!</v>
      </c>
      <c r="AK193" s="288"/>
      <c r="AL193" s="326" t="e">
        <f>ROUND(SUM(AL85:AL192),0)</f>
        <v>#REF!</v>
      </c>
      <c r="AM193" s="288"/>
      <c r="AN193" s="326" t="e">
        <f>ROUND(SUM(AN85:AN192),0)</f>
        <v>#REF!</v>
      </c>
      <c r="AO193" s="349"/>
    </row>
    <row r="194" spans="2:41" s="345" customFormat="1" ht="30" customHeight="1" thickBot="1">
      <c r="B194" s="346"/>
      <c r="C194" s="281" t="s">
        <v>166</v>
      </c>
      <c r="D194" s="282"/>
      <c r="E194" s="282"/>
      <c r="F194" s="282"/>
      <c r="G194" s="282"/>
      <c r="H194" s="282"/>
      <c r="I194" s="282"/>
      <c r="J194" s="282"/>
      <c r="K194" s="283"/>
      <c r="L194" s="282"/>
      <c r="M194" s="283"/>
      <c r="N194" s="282"/>
      <c r="O194" s="283"/>
      <c r="P194" s="282"/>
      <c r="Q194" s="283"/>
      <c r="R194" s="282"/>
      <c r="S194" s="283"/>
      <c r="T194" s="282"/>
      <c r="U194" s="282"/>
      <c r="V194" s="283"/>
      <c r="W194" s="282"/>
      <c r="X194" s="283"/>
      <c r="Y194" s="282"/>
      <c r="Z194" s="283"/>
      <c r="AA194" s="282"/>
      <c r="AB194" s="283"/>
      <c r="AC194" s="282"/>
      <c r="AD194" s="283"/>
      <c r="AE194" s="282"/>
      <c r="AF194" s="283"/>
      <c r="AG194" s="282"/>
      <c r="AH194" s="283"/>
      <c r="AI194" s="282"/>
      <c r="AJ194" s="283"/>
      <c r="AK194" s="282"/>
      <c r="AL194" s="283"/>
      <c r="AM194" s="282"/>
      <c r="AN194" s="283"/>
      <c r="AO194" s="349"/>
    </row>
    <row r="195" spans="2:41" s="345" customFormat="1" ht="30" customHeight="1">
      <c r="B195" s="346"/>
      <c r="C195" s="302">
        <f>C192+1</f>
        <v>156</v>
      </c>
      <c r="D195" s="347" t="s">
        <v>140</v>
      </c>
      <c r="E195" s="1548" t="s">
        <v>652</v>
      </c>
      <c r="F195" s="1549"/>
      <c r="G195" s="344" t="s">
        <v>653</v>
      </c>
      <c r="H195" s="285" t="s">
        <v>81</v>
      </c>
      <c r="I195" s="289">
        <f>+'1p.'!N82</f>
        <v>1626</v>
      </c>
      <c r="J195" s="288">
        <f>'[112]CANTIDADES TOTALIZADAS'!$AF$139</f>
        <v>6777</v>
      </c>
      <c r="K195" s="290">
        <f t="shared" ref="K195:K208" si="140">I195*J195</f>
        <v>11019402</v>
      </c>
      <c r="L195" s="288">
        <f>'[112]CANTIDADES TOTALIZADAS'!$AQ$139</f>
        <v>30577.17</v>
      </c>
      <c r="M195" s="290">
        <f t="shared" ref="M195:M208" si="141">L195*I195</f>
        <v>49718478.419999994</v>
      </c>
      <c r="N195" s="288">
        <f>'[112]CANTIDADES TOTALIZADAS'!$AU$139</f>
        <v>18730.979999999996</v>
      </c>
      <c r="O195" s="290">
        <f t="shared" ref="O195:O208" si="142">N195*I195</f>
        <v>30456573.479999993</v>
      </c>
      <c r="P195" s="288">
        <f>'[112]CANTIDADES TOTALIZADAS'!$BA$139</f>
        <v>11451</v>
      </c>
      <c r="Q195" s="290">
        <f t="shared" ref="Q195:Q208" si="143">I195*P195</f>
        <v>18619326</v>
      </c>
      <c r="R195" s="288">
        <f>'[112]CANTIDADES TOTALIZADAS'!$BI$139</f>
        <v>13710</v>
      </c>
      <c r="S195" s="290">
        <f t="shared" ref="S195:S208" si="144">R195*I195</f>
        <v>22292460</v>
      </c>
      <c r="T195" s="288">
        <f t="shared" ref="T195:T208" si="145">J195+L195+N195+P195+R195</f>
        <v>81246.149999999994</v>
      </c>
      <c r="U195" s="437">
        <f>'[112]CANTIDADES TOTALIZADAS'!$BJ$139</f>
        <v>81246.149999999994</v>
      </c>
      <c r="V195" s="290">
        <f t="shared" ref="V195:V208" si="146">I195*T195</f>
        <v>132106239.89999999</v>
      </c>
      <c r="W195" s="288">
        <f>(175200*6)*0.3</f>
        <v>315360</v>
      </c>
      <c r="X195" s="290">
        <f t="shared" ref="X195:X208" si="147">W195*I195</f>
        <v>512775360</v>
      </c>
      <c r="Y195" s="288" t="e">
        <f>#REF!*6</f>
        <v>#REF!</v>
      </c>
      <c r="Z195" s="290" t="e">
        <f t="shared" ref="Z195:Z208" si="148">Y195*I195</f>
        <v>#REF!</v>
      </c>
      <c r="AA195" s="288">
        <f>(AB18*1000)*6</f>
        <v>10200</v>
      </c>
      <c r="AB195" s="290">
        <f t="shared" ref="AB195:AB208" si="149">AA195*I195</f>
        <v>16585200</v>
      </c>
      <c r="AC195" s="288"/>
      <c r="AD195" s="290">
        <f t="shared" ref="AD195:AD208" si="150">I195*AC195</f>
        <v>0</v>
      </c>
      <c r="AE195" s="288" t="e">
        <f t="shared" ref="AE195:AE207" si="151">Y195+AA195+AC195+W195</f>
        <v>#REF!</v>
      </c>
      <c r="AF195" s="290" t="e">
        <f t="shared" ref="AF195:AF208" si="152">AE195*I195</f>
        <v>#REF!</v>
      </c>
      <c r="AG195" s="288" t="e">
        <f t="shared" ref="AG195:AG208" si="153">T195+AE195</f>
        <v>#REF!</v>
      </c>
      <c r="AH195" s="290" t="e">
        <f t="shared" ref="AH195:AH208" si="154">V195+AF195</f>
        <v>#REF!</v>
      </c>
      <c r="AI195" s="288">
        <f>'CANTIDADES TOTALIZADAS'!AD139</f>
        <v>4077</v>
      </c>
      <c r="AJ195" s="290">
        <f t="shared" ref="AJ195:AJ208" si="155">AI195*I195</f>
        <v>6629202</v>
      </c>
      <c r="AK195" s="288">
        <f>'CANTIDADES TOTALIZADAS'!AT139</f>
        <v>1739.9999999999998</v>
      </c>
      <c r="AL195" s="290">
        <f t="shared" ref="AL195:AL208" si="156">AK195*I195</f>
        <v>2829239.9999999995</v>
      </c>
      <c r="AM195" s="288" t="e">
        <f t="shared" ref="AM195:AM208" si="157">AG195-AI195-AK195</f>
        <v>#REF!</v>
      </c>
      <c r="AN195" s="290" t="e">
        <f t="shared" ref="AN195:AN208" si="158">AM195*I195</f>
        <v>#REF!</v>
      </c>
      <c r="AO195" s="349"/>
    </row>
    <row r="196" spans="2:41" s="345" customFormat="1" ht="30" hidden="1" customHeight="1">
      <c r="B196" s="346"/>
      <c r="C196" s="309">
        <f>C195+1</f>
        <v>157</v>
      </c>
      <c r="D196" s="347" t="s">
        <v>148</v>
      </c>
      <c r="E196" s="1504" t="s">
        <v>652</v>
      </c>
      <c r="F196" s="1505"/>
      <c r="G196" s="344" t="s">
        <v>654</v>
      </c>
      <c r="H196" s="285" t="s">
        <v>28</v>
      </c>
      <c r="I196" s="289">
        <f>+'2p.'!N82</f>
        <v>21350</v>
      </c>
      <c r="J196" s="288"/>
      <c r="K196" s="290">
        <f t="shared" si="140"/>
        <v>0</v>
      </c>
      <c r="L196" s="288"/>
      <c r="M196" s="290">
        <f t="shared" si="141"/>
        <v>0</v>
      </c>
      <c r="N196" s="288"/>
      <c r="O196" s="290">
        <f t="shared" si="142"/>
        <v>0</v>
      </c>
      <c r="P196" s="288"/>
      <c r="Q196" s="290">
        <f t="shared" si="143"/>
        <v>0</v>
      </c>
      <c r="R196" s="288"/>
      <c r="S196" s="290">
        <f t="shared" si="144"/>
        <v>0</v>
      </c>
      <c r="T196" s="288">
        <f t="shared" si="145"/>
        <v>0</v>
      </c>
      <c r="U196" s="437"/>
      <c r="V196" s="290">
        <f t="shared" si="146"/>
        <v>0</v>
      </c>
      <c r="W196" s="288"/>
      <c r="X196" s="290">
        <f t="shared" si="147"/>
        <v>0</v>
      </c>
      <c r="Y196" s="288"/>
      <c r="Z196" s="290">
        <f t="shared" si="148"/>
        <v>0</v>
      </c>
      <c r="AA196" s="288"/>
      <c r="AB196" s="290">
        <f t="shared" si="149"/>
        <v>0</v>
      </c>
      <c r="AC196" s="288"/>
      <c r="AD196" s="290">
        <f t="shared" si="150"/>
        <v>0</v>
      </c>
      <c r="AE196" s="288">
        <f t="shared" si="151"/>
        <v>0</v>
      </c>
      <c r="AF196" s="290">
        <f t="shared" si="152"/>
        <v>0</v>
      </c>
      <c r="AG196" s="288">
        <f t="shared" si="153"/>
        <v>0</v>
      </c>
      <c r="AH196" s="290">
        <f t="shared" si="154"/>
        <v>0</v>
      </c>
      <c r="AI196" s="288"/>
      <c r="AJ196" s="290">
        <f t="shared" si="155"/>
        <v>0</v>
      </c>
      <c r="AK196" s="288"/>
      <c r="AL196" s="290">
        <f t="shared" si="156"/>
        <v>0</v>
      </c>
      <c r="AM196" s="288">
        <f t="shared" si="157"/>
        <v>0</v>
      </c>
      <c r="AN196" s="290">
        <f t="shared" si="158"/>
        <v>0</v>
      </c>
      <c r="AO196" s="349"/>
    </row>
    <row r="197" spans="2:41" s="345" customFormat="1" ht="30" hidden="1" customHeight="1">
      <c r="B197" s="346"/>
      <c r="C197" s="309">
        <f t="shared" ref="C197:C208" si="159">C196+1</f>
        <v>158</v>
      </c>
      <c r="D197" s="347" t="s">
        <v>672</v>
      </c>
      <c r="E197" s="1504" t="s">
        <v>652</v>
      </c>
      <c r="F197" s="1505"/>
      <c r="G197" s="344" t="s">
        <v>670</v>
      </c>
      <c r="H197" s="285" t="s">
        <v>28</v>
      </c>
      <c r="I197" s="289" t="e">
        <f>#REF!</f>
        <v>#REF!</v>
      </c>
      <c r="J197" s="288"/>
      <c r="K197" s="290" t="e">
        <f t="shared" si="140"/>
        <v>#REF!</v>
      </c>
      <c r="L197" s="288"/>
      <c r="M197" s="290" t="e">
        <f t="shared" si="141"/>
        <v>#REF!</v>
      </c>
      <c r="N197" s="288"/>
      <c r="O197" s="290" t="e">
        <f t="shared" si="142"/>
        <v>#REF!</v>
      </c>
      <c r="P197" s="288"/>
      <c r="Q197" s="290" t="e">
        <f t="shared" si="143"/>
        <v>#REF!</v>
      </c>
      <c r="R197" s="288"/>
      <c r="S197" s="290" t="e">
        <f t="shared" si="144"/>
        <v>#REF!</v>
      </c>
      <c r="T197" s="288">
        <f t="shared" si="145"/>
        <v>0</v>
      </c>
      <c r="U197" s="437"/>
      <c r="V197" s="290" t="e">
        <f t="shared" si="146"/>
        <v>#REF!</v>
      </c>
      <c r="W197" s="288"/>
      <c r="X197" s="290" t="e">
        <f t="shared" si="147"/>
        <v>#REF!</v>
      </c>
      <c r="Y197" s="288"/>
      <c r="Z197" s="290" t="e">
        <f t="shared" si="148"/>
        <v>#REF!</v>
      </c>
      <c r="AA197" s="288"/>
      <c r="AB197" s="290" t="e">
        <f t="shared" si="149"/>
        <v>#REF!</v>
      </c>
      <c r="AC197" s="288"/>
      <c r="AD197" s="290" t="e">
        <f t="shared" si="150"/>
        <v>#REF!</v>
      </c>
      <c r="AE197" s="288">
        <f t="shared" si="151"/>
        <v>0</v>
      </c>
      <c r="AF197" s="290" t="e">
        <f t="shared" si="152"/>
        <v>#REF!</v>
      </c>
      <c r="AG197" s="288">
        <f t="shared" si="153"/>
        <v>0</v>
      </c>
      <c r="AH197" s="290" t="e">
        <f t="shared" si="154"/>
        <v>#REF!</v>
      </c>
      <c r="AI197" s="288"/>
      <c r="AJ197" s="290" t="e">
        <f t="shared" si="155"/>
        <v>#REF!</v>
      </c>
      <c r="AK197" s="288"/>
      <c r="AL197" s="290" t="e">
        <f t="shared" si="156"/>
        <v>#REF!</v>
      </c>
      <c r="AM197" s="288">
        <f t="shared" si="157"/>
        <v>0</v>
      </c>
      <c r="AN197" s="290" t="e">
        <f t="shared" si="158"/>
        <v>#REF!</v>
      </c>
      <c r="AO197" s="349"/>
    </row>
    <row r="198" spans="2:41" s="345" customFormat="1" ht="30" customHeight="1">
      <c r="B198" s="346"/>
      <c r="C198" s="309">
        <f t="shared" si="159"/>
        <v>159</v>
      </c>
      <c r="D198" s="347" t="s">
        <v>387</v>
      </c>
      <c r="E198" s="1540" t="s">
        <v>652</v>
      </c>
      <c r="F198" s="1541"/>
      <c r="G198" s="344" t="s">
        <v>655</v>
      </c>
      <c r="H198" s="285" t="s">
        <v>82</v>
      </c>
      <c r="I198" s="289">
        <f>+'4p.'!N82</f>
        <v>6870</v>
      </c>
      <c r="J198" s="288">
        <f>'[112]CANTIDADES TOTALIZADAS'!$AF$140</f>
        <v>188</v>
      </c>
      <c r="K198" s="290">
        <f t="shared" si="140"/>
        <v>1291560</v>
      </c>
      <c r="L198" s="288">
        <f>'[112]CANTIDADES TOTALIZADAS'!$AQ$140</f>
        <v>855</v>
      </c>
      <c r="M198" s="290">
        <f t="shared" si="141"/>
        <v>5873850</v>
      </c>
      <c r="N198" s="288">
        <f>'[112]CANTIDADES TOTALIZADAS'!$AU$140</f>
        <v>522</v>
      </c>
      <c r="O198" s="290">
        <f t="shared" si="142"/>
        <v>3586140</v>
      </c>
      <c r="P198" s="288">
        <f>'[112]CANTIDADES TOTALIZADAS'!$BA$140</f>
        <v>318</v>
      </c>
      <c r="Q198" s="290">
        <f t="shared" si="143"/>
        <v>2184660</v>
      </c>
      <c r="R198" s="288">
        <f>'[112]CANTIDADES TOTALIZADAS'!$BI$140</f>
        <v>384</v>
      </c>
      <c r="S198" s="290">
        <f t="shared" si="144"/>
        <v>2638080</v>
      </c>
      <c r="T198" s="288">
        <f t="shared" si="145"/>
        <v>2267</v>
      </c>
      <c r="U198" s="437">
        <f>'[112]CANTIDADES TOTALIZADAS'!$BJ$140</f>
        <v>2267</v>
      </c>
      <c r="V198" s="290">
        <f t="shared" si="146"/>
        <v>15574290</v>
      </c>
      <c r="W198" s="288">
        <f>((175200/5)*4)*0.3</f>
        <v>42048</v>
      </c>
      <c r="X198" s="290">
        <f t="shared" si="147"/>
        <v>288869760</v>
      </c>
      <c r="Y198" s="288" t="e">
        <f>ROUND(#REF!/30*3,0)</f>
        <v>#REF!</v>
      </c>
      <c r="Z198" s="290" t="e">
        <f t="shared" si="148"/>
        <v>#REF!</v>
      </c>
      <c r="AA198" s="288" t="e">
        <f>ROUND((#REF!/30)*3,0)</f>
        <v>#REF!</v>
      </c>
      <c r="AB198" s="290" t="e">
        <f t="shared" si="149"/>
        <v>#REF!</v>
      </c>
      <c r="AC198" s="288"/>
      <c r="AD198" s="290">
        <f t="shared" si="150"/>
        <v>0</v>
      </c>
      <c r="AE198" s="288" t="e">
        <f t="shared" si="151"/>
        <v>#REF!</v>
      </c>
      <c r="AF198" s="290" t="e">
        <f t="shared" si="152"/>
        <v>#REF!</v>
      </c>
      <c r="AG198" s="288" t="e">
        <f t="shared" si="153"/>
        <v>#REF!</v>
      </c>
      <c r="AH198" s="290" t="e">
        <f t="shared" si="154"/>
        <v>#REF!</v>
      </c>
      <c r="AI198" s="288">
        <f>'CANTIDADES TOTALIZADAS'!AD140</f>
        <v>113</v>
      </c>
      <c r="AJ198" s="290">
        <f t="shared" si="155"/>
        <v>776310</v>
      </c>
      <c r="AK198" s="288">
        <f>'CANTIDADES TOTALIZADAS'!AT140</f>
        <v>49</v>
      </c>
      <c r="AL198" s="290">
        <f t="shared" si="156"/>
        <v>336630</v>
      </c>
      <c r="AM198" s="288" t="e">
        <f t="shared" si="157"/>
        <v>#REF!</v>
      </c>
      <c r="AN198" s="290" t="e">
        <f t="shared" si="158"/>
        <v>#REF!</v>
      </c>
      <c r="AO198" s="349"/>
    </row>
    <row r="199" spans="2:41" s="345" customFormat="1" ht="30" customHeight="1">
      <c r="B199" s="346"/>
      <c r="C199" s="309">
        <f t="shared" si="159"/>
        <v>160</v>
      </c>
      <c r="D199" s="347" t="s">
        <v>388</v>
      </c>
      <c r="E199" s="1506" t="s">
        <v>652</v>
      </c>
      <c r="F199" s="1507"/>
      <c r="G199" s="344" t="s">
        <v>656</v>
      </c>
      <c r="H199" s="285" t="s">
        <v>82</v>
      </c>
      <c r="I199" s="289">
        <f>+'5p.'!N82</f>
        <v>309131</v>
      </c>
      <c r="J199" s="288"/>
      <c r="K199" s="290">
        <f t="shared" si="140"/>
        <v>0</v>
      </c>
      <c r="L199" s="288">
        <f>'[112]CANTIDADES TOTALIZADAS'!$AQ$142+'[112]CANTIDADES TOTALIZADAS'!$AQ$143</f>
        <v>13</v>
      </c>
      <c r="M199" s="290">
        <f t="shared" si="141"/>
        <v>4018703</v>
      </c>
      <c r="N199" s="288">
        <f>'[112]CANTIDADES TOTALIZADAS'!$AU$142+'[112]CANTIDADES TOTALIZADAS'!$AU$143</f>
        <v>8</v>
      </c>
      <c r="O199" s="290">
        <f t="shared" si="142"/>
        <v>2473048</v>
      </c>
      <c r="P199" s="288">
        <f>'[112]CANTIDADES TOTALIZADAS'!$BA$142+'[112]CANTIDADES TOTALIZADAS'!$BA$143</f>
        <v>8</v>
      </c>
      <c r="Q199" s="290">
        <f t="shared" si="143"/>
        <v>2473048</v>
      </c>
      <c r="R199" s="288">
        <f>'[112]CANTIDADES TOTALIZADAS'!$BI$142</f>
        <v>13</v>
      </c>
      <c r="S199" s="290">
        <f t="shared" si="144"/>
        <v>4018703</v>
      </c>
      <c r="T199" s="288">
        <f t="shared" si="145"/>
        <v>42</v>
      </c>
      <c r="U199" s="437">
        <f>'[112]CANTIDADES TOTALIZADAS'!$BJ$142+'[112]CANTIDADES TOTALIZADAS'!$BJ$143</f>
        <v>42</v>
      </c>
      <c r="V199" s="290">
        <f t="shared" si="146"/>
        <v>12983502</v>
      </c>
      <c r="W199" s="288">
        <f>(175200/200)*0.3</f>
        <v>262.8</v>
      </c>
      <c r="X199" s="290">
        <f t="shared" si="147"/>
        <v>81239626.799999997</v>
      </c>
      <c r="Y199" s="288">
        <v>10</v>
      </c>
      <c r="Z199" s="290">
        <f t="shared" si="148"/>
        <v>3091310</v>
      </c>
      <c r="AA199" s="288"/>
      <c r="AB199" s="290">
        <f t="shared" si="149"/>
        <v>0</v>
      </c>
      <c r="AC199" s="288"/>
      <c r="AD199" s="290">
        <f t="shared" si="150"/>
        <v>0</v>
      </c>
      <c r="AE199" s="288">
        <f t="shared" si="151"/>
        <v>272.8</v>
      </c>
      <c r="AF199" s="290">
        <f t="shared" si="152"/>
        <v>84330936.799999997</v>
      </c>
      <c r="AG199" s="288">
        <f t="shared" si="153"/>
        <v>314.8</v>
      </c>
      <c r="AH199" s="290">
        <f t="shared" si="154"/>
        <v>97314438.799999997</v>
      </c>
      <c r="AI199" s="288"/>
      <c r="AJ199" s="290">
        <f t="shared" si="155"/>
        <v>0</v>
      </c>
      <c r="AK199" s="288">
        <f>'CANTIDADES TOTALIZADAS'!AT142</f>
        <v>5</v>
      </c>
      <c r="AL199" s="290">
        <f t="shared" si="156"/>
        <v>1545655</v>
      </c>
      <c r="AM199" s="288">
        <f t="shared" si="157"/>
        <v>309.8</v>
      </c>
      <c r="AN199" s="290">
        <f t="shared" si="158"/>
        <v>95768783.799999997</v>
      </c>
      <c r="AO199" s="349"/>
    </row>
    <row r="200" spans="2:41" s="345" customFormat="1" ht="30" hidden="1" customHeight="1">
      <c r="B200" s="346"/>
      <c r="C200" s="309">
        <f t="shared" si="159"/>
        <v>161</v>
      </c>
      <c r="D200" s="327" t="s">
        <v>389</v>
      </c>
      <c r="E200" s="1504" t="s">
        <v>652</v>
      </c>
      <c r="F200" s="1505"/>
      <c r="G200" s="344" t="s">
        <v>657</v>
      </c>
      <c r="H200" s="329" t="s">
        <v>82</v>
      </c>
      <c r="I200" s="289" t="e">
        <f>+#REF!</f>
        <v>#REF!</v>
      </c>
      <c r="J200" s="288"/>
      <c r="K200" s="290" t="e">
        <f t="shared" si="140"/>
        <v>#REF!</v>
      </c>
      <c r="L200" s="288"/>
      <c r="M200" s="290" t="e">
        <f t="shared" si="141"/>
        <v>#REF!</v>
      </c>
      <c r="N200" s="288"/>
      <c r="O200" s="290" t="e">
        <f t="shared" si="142"/>
        <v>#REF!</v>
      </c>
      <c r="P200" s="288"/>
      <c r="Q200" s="290" t="e">
        <f t="shared" si="143"/>
        <v>#REF!</v>
      </c>
      <c r="R200" s="288"/>
      <c r="S200" s="290" t="e">
        <f t="shared" si="144"/>
        <v>#REF!</v>
      </c>
      <c r="T200" s="288">
        <f t="shared" si="145"/>
        <v>0</v>
      </c>
      <c r="U200" s="437"/>
      <c r="V200" s="290" t="e">
        <f t="shared" si="146"/>
        <v>#REF!</v>
      </c>
      <c r="W200" s="288"/>
      <c r="X200" s="290" t="e">
        <f t="shared" si="147"/>
        <v>#REF!</v>
      </c>
      <c r="Y200" s="288"/>
      <c r="Z200" s="290" t="e">
        <f t="shared" si="148"/>
        <v>#REF!</v>
      </c>
      <c r="AA200" s="288"/>
      <c r="AB200" s="290" t="e">
        <f t="shared" si="149"/>
        <v>#REF!</v>
      </c>
      <c r="AC200" s="288"/>
      <c r="AD200" s="290" t="e">
        <f t="shared" si="150"/>
        <v>#REF!</v>
      </c>
      <c r="AE200" s="288">
        <f t="shared" si="151"/>
        <v>0</v>
      </c>
      <c r="AF200" s="290" t="e">
        <f t="shared" si="152"/>
        <v>#REF!</v>
      </c>
      <c r="AG200" s="288">
        <f t="shared" si="153"/>
        <v>0</v>
      </c>
      <c r="AH200" s="290" t="e">
        <f t="shared" si="154"/>
        <v>#REF!</v>
      </c>
      <c r="AI200" s="288"/>
      <c r="AJ200" s="290" t="e">
        <f t="shared" si="155"/>
        <v>#REF!</v>
      </c>
      <c r="AK200" s="288"/>
      <c r="AL200" s="290" t="e">
        <f t="shared" si="156"/>
        <v>#REF!</v>
      </c>
      <c r="AM200" s="288">
        <f t="shared" si="157"/>
        <v>0</v>
      </c>
      <c r="AN200" s="290" t="e">
        <f t="shared" si="158"/>
        <v>#REF!</v>
      </c>
      <c r="AO200" s="349"/>
    </row>
    <row r="201" spans="2:41" s="345" customFormat="1" ht="30" customHeight="1">
      <c r="B201" s="346"/>
      <c r="C201" s="309">
        <f t="shared" si="159"/>
        <v>162</v>
      </c>
      <c r="D201" s="327" t="s">
        <v>711</v>
      </c>
      <c r="E201" s="1540" t="s">
        <v>652</v>
      </c>
      <c r="F201" s="1541"/>
      <c r="G201" s="344" t="s">
        <v>710</v>
      </c>
      <c r="H201" s="329" t="s">
        <v>82</v>
      </c>
      <c r="I201" s="289" t="e">
        <f>#REF!</f>
        <v>#REF!</v>
      </c>
      <c r="J201" s="288">
        <f>'[112]CANTIDADES TOTALIZADAS'!$AF$145</f>
        <v>2</v>
      </c>
      <c r="K201" s="290" t="e">
        <f t="shared" si="140"/>
        <v>#REF!</v>
      </c>
      <c r="L201" s="288">
        <f>'[112]CANTIDADES TOTALIZADAS'!$AQ$145</f>
        <v>40</v>
      </c>
      <c r="M201" s="290" t="e">
        <f t="shared" si="141"/>
        <v>#REF!</v>
      </c>
      <c r="N201" s="288">
        <f>'[112]CANTIDADES TOTALIZADAS'!$AU$145</f>
        <v>7</v>
      </c>
      <c r="O201" s="290" t="e">
        <f t="shared" si="142"/>
        <v>#REF!</v>
      </c>
      <c r="P201" s="288">
        <f>'[112]CANTIDADES TOTALIZADAS'!$BA$145</f>
        <v>4</v>
      </c>
      <c r="Q201" s="290" t="e">
        <f t="shared" si="143"/>
        <v>#REF!</v>
      </c>
      <c r="R201" s="288">
        <f>'[112]CANTIDADES TOTALIZADAS'!$BI$145</f>
        <v>17</v>
      </c>
      <c r="S201" s="290" t="e">
        <f t="shared" si="144"/>
        <v>#REF!</v>
      </c>
      <c r="T201" s="288">
        <f t="shared" si="145"/>
        <v>70</v>
      </c>
      <c r="U201" s="437">
        <f>'[112]CANTIDADES TOTALIZADAS'!$BJ$145</f>
        <v>70</v>
      </c>
      <c r="V201" s="290" t="e">
        <f t="shared" si="146"/>
        <v>#REF!</v>
      </c>
      <c r="W201" s="288">
        <f>W199*0.2</f>
        <v>52.56</v>
      </c>
      <c r="X201" s="290" t="e">
        <f t="shared" si="147"/>
        <v>#REF!</v>
      </c>
      <c r="Y201" s="288"/>
      <c r="Z201" s="290" t="e">
        <f t="shared" si="148"/>
        <v>#REF!</v>
      </c>
      <c r="AA201" s="288"/>
      <c r="AB201" s="290" t="e">
        <f t="shared" si="149"/>
        <v>#REF!</v>
      </c>
      <c r="AC201" s="288"/>
      <c r="AD201" s="290" t="e">
        <f t="shared" si="150"/>
        <v>#REF!</v>
      </c>
      <c r="AE201" s="288">
        <f t="shared" si="151"/>
        <v>52.56</v>
      </c>
      <c r="AF201" s="290" t="e">
        <f t="shared" si="152"/>
        <v>#REF!</v>
      </c>
      <c r="AG201" s="288">
        <f t="shared" si="153"/>
        <v>122.56</v>
      </c>
      <c r="AH201" s="290" t="e">
        <f t="shared" si="154"/>
        <v>#REF!</v>
      </c>
      <c r="AI201" s="288">
        <f>'CANTIDADES TOTALIZADAS'!AD145</f>
        <v>1</v>
      </c>
      <c r="AJ201" s="290" t="e">
        <f t="shared" si="155"/>
        <v>#REF!</v>
      </c>
      <c r="AK201" s="288">
        <f>'CANTIDADES TOTALIZADAS'!AT145</f>
        <v>1</v>
      </c>
      <c r="AL201" s="290" t="e">
        <f t="shared" si="156"/>
        <v>#REF!</v>
      </c>
      <c r="AM201" s="288">
        <f t="shared" si="157"/>
        <v>120.56</v>
      </c>
      <c r="AN201" s="290" t="e">
        <f t="shared" si="158"/>
        <v>#REF!</v>
      </c>
      <c r="AO201" s="349"/>
    </row>
    <row r="202" spans="2:41" s="345" customFormat="1" ht="30" customHeight="1">
      <c r="B202" s="346"/>
      <c r="C202" s="309">
        <f>C200+1</f>
        <v>162</v>
      </c>
      <c r="D202" s="327" t="s">
        <v>671</v>
      </c>
      <c r="E202" s="1540" t="s">
        <v>652</v>
      </c>
      <c r="F202" s="1541"/>
      <c r="G202" s="328" t="s">
        <v>545</v>
      </c>
      <c r="H202" s="329" t="s">
        <v>28</v>
      </c>
      <c r="I202" s="289">
        <f>'7p.'!N82</f>
        <v>434267</v>
      </c>
      <c r="J202" s="288">
        <f>'[112]CANTIDADES TOTALIZADAS'!$AF$146</f>
        <v>2</v>
      </c>
      <c r="K202" s="290">
        <f t="shared" si="140"/>
        <v>868534</v>
      </c>
      <c r="L202" s="288">
        <f>'[112]CANTIDADES TOTALIZADAS'!$AQ$146</f>
        <v>2</v>
      </c>
      <c r="M202" s="290">
        <f t="shared" si="141"/>
        <v>868534</v>
      </c>
      <c r="N202" s="288">
        <f>'[112]CANTIDADES TOTALIZADAS'!$AU$146</f>
        <v>6</v>
      </c>
      <c r="O202" s="290">
        <f t="shared" si="142"/>
        <v>2605602</v>
      </c>
      <c r="P202" s="288"/>
      <c r="Q202" s="290">
        <f t="shared" si="143"/>
        <v>0</v>
      </c>
      <c r="R202" s="288">
        <f>'[112]CANTIDADES TOTALIZADAS'!$BI$146</f>
        <v>5</v>
      </c>
      <c r="S202" s="290">
        <f t="shared" si="144"/>
        <v>2171335</v>
      </c>
      <c r="T202" s="288">
        <f t="shared" si="145"/>
        <v>15</v>
      </c>
      <c r="U202" s="437">
        <f>'[112]CANTIDADES TOTALIZADAS'!$BJ$146</f>
        <v>15</v>
      </c>
      <c r="V202" s="290">
        <f t="shared" si="146"/>
        <v>6514005</v>
      </c>
      <c r="W202" s="288">
        <f>(175200/2000)*0.3</f>
        <v>26.279999999999998</v>
      </c>
      <c r="X202" s="290">
        <f t="shared" si="147"/>
        <v>11412536.76</v>
      </c>
      <c r="Y202" s="288">
        <v>2</v>
      </c>
      <c r="Z202" s="290">
        <f t="shared" si="148"/>
        <v>868534</v>
      </c>
      <c r="AA202" s="288">
        <v>6</v>
      </c>
      <c r="AB202" s="290">
        <f t="shared" si="149"/>
        <v>2605602</v>
      </c>
      <c r="AC202" s="288"/>
      <c r="AD202" s="290">
        <f t="shared" si="150"/>
        <v>0</v>
      </c>
      <c r="AE202" s="288">
        <f t="shared" si="151"/>
        <v>34.28</v>
      </c>
      <c r="AF202" s="290">
        <f t="shared" si="152"/>
        <v>14886672.76</v>
      </c>
      <c r="AG202" s="288">
        <f t="shared" si="153"/>
        <v>49.28</v>
      </c>
      <c r="AH202" s="290">
        <f t="shared" si="154"/>
        <v>21400677.759999998</v>
      </c>
      <c r="AI202" s="288">
        <f>'CANTIDADES TOTALIZADAS'!AD146</f>
        <v>1</v>
      </c>
      <c r="AJ202" s="290">
        <f t="shared" si="155"/>
        <v>434267</v>
      </c>
      <c r="AK202" s="288">
        <f>'CANTIDADES TOTALIZADAS'!AT146</f>
        <v>3</v>
      </c>
      <c r="AL202" s="290">
        <f t="shared" si="156"/>
        <v>1302801</v>
      </c>
      <c r="AM202" s="288">
        <f t="shared" si="157"/>
        <v>45.28</v>
      </c>
      <c r="AN202" s="290">
        <f t="shared" si="158"/>
        <v>19663609.760000002</v>
      </c>
      <c r="AO202" s="349"/>
    </row>
    <row r="203" spans="2:41" s="345" customFormat="1" ht="30" hidden="1" customHeight="1">
      <c r="B203" s="346"/>
      <c r="C203" s="309">
        <f t="shared" si="159"/>
        <v>163</v>
      </c>
      <c r="D203" s="327" t="s">
        <v>674</v>
      </c>
      <c r="E203" s="330"/>
      <c r="F203" s="330" t="s">
        <v>674</v>
      </c>
      <c r="G203" s="328" t="s">
        <v>675</v>
      </c>
      <c r="H203" s="386" t="s">
        <v>676</v>
      </c>
      <c r="I203" s="289" t="e">
        <f>#REF!</f>
        <v>#REF!</v>
      </c>
      <c r="J203" s="288"/>
      <c r="K203" s="290" t="e">
        <f t="shared" si="140"/>
        <v>#REF!</v>
      </c>
      <c r="L203" s="288"/>
      <c r="M203" s="290" t="e">
        <f t="shared" si="141"/>
        <v>#REF!</v>
      </c>
      <c r="N203" s="288"/>
      <c r="O203" s="290" t="e">
        <f t="shared" si="142"/>
        <v>#REF!</v>
      </c>
      <c r="P203" s="288"/>
      <c r="Q203" s="290" t="e">
        <f t="shared" si="143"/>
        <v>#REF!</v>
      </c>
      <c r="R203" s="288"/>
      <c r="S203" s="290" t="e">
        <f t="shared" si="144"/>
        <v>#REF!</v>
      </c>
      <c r="T203" s="288">
        <f t="shared" si="145"/>
        <v>0</v>
      </c>
      <c r="U203" s="437"/>
      <c r="V203" s="290" t="e">
        <f t="shared" si="146"/>
        <v>#REF!</v>
      </c>
      <c r="W203" s="288"/>
      <c r="X203" s="290" t="e">
        <f t="shared" si="147"/>
        <v>#REF!</v>
      </c>
      <c r="Y203" s="288">
        <v>1</v>
      </c>
      <c r="Z203" s="290" t="e">
        <f t="shared" si="148"/>
        <v>#REF!</v>
      </c>
      <c r="AA203" s="288">
        <v>2</v>
      </c>
      <c r="AB203" s="290" t="e">
        <f t="shared" si="149"/>
        <v>#REF!</v>
      </c>
      <c r="AC203" s="288"/>
      <c r="AD203" s="290" t="e">
        <f t="shared" si="150"/>
        <v>#REF!</v>
      </c>
      <c r="AE203" s="288"/>
      <c r="AF203" s="290" t="e">
        <f t="shared" si="152"/>
        <v>#REF!</v>
      </c>
      <c r="AG203" s="288">
        <f t="shared" si="153"/>
        <v>0</v>
      </c>
      <c r="AH203" s="290" t="e">
        <f t="shared" si="154"/>
        <v>#REF!</v>
      </c>
      <c r="AI203" s="288"/>
      <c r="AJ203" s="290" t="e">
        <f t="shared" si="155"/>
        <v>#REF!</v>
      </c>
      <c r="AK203" s="288"/>
      <c r="AL203" s="290" t="e">
        <f t="shared" si="156"/>
        <v>#REF!</v>
      </c>
      <c r="AM203" s="288">
        <f t="shared" si="157"/>
        <v>0</v>
      </c>
      <c r="AN203" s="290" t="e">
        <f t="shared" si="158"/>
        <v>#REF!</v>
      </c>
      <c r="AO203" s="349"/>
    </row>
    <row r="204" spans="2:41" s="345" customFormat="1" ht="30" customHeight="1">
      <c r="B204" s="346"/>
      <c r="C204" s="309">
        <f t="shared" si="159"/>
        <v>164</v>
      </c>
      <c r="D204" s="330" t="s">
        <v>99</v>
      </c>
      <c r="E204" s="457" t="s">
        <v>465</v>
      </c>
      <c r="F204" s="330"/>
      <c r="G204" s="331" t="s">
        <v>167</v>
      </c>
      <c r="H204" s="285" t="s">
        <v>82</v>
      </c>
      <c r="I204" s="289">
        <f>+'720.1'!N82</f>
        <v>210784</v>
      </c>
      <c r="J204" s="288">
        <f>'[112]CANTIDADES TOTALIZADAS'!$AF$147</f>
        <v>2</v>
      </c>
      <c r="K204" s="290">
        <f t="shared" si="140"/>
        <v>421568</v>
      </c>
      <c r="L204" s="288">
        <f>'[112]CANTIDADES TOTALIZADAS'!$AQ$147</f>
        <v>16</v>
      </c>
      <c r="M204" s="290">
        <f t="shared" si="141"/>
        <v>3372544</v>
      </c>
      <c r="N204" s="288">
        <f>'[112]CANTIDADES TOTALIZADAS'!$AU$147</f>
        <v>8</v>
      </c>
      <c r="O204" s="290">
        <f t="shared" si="142"/>
        <v>1686272</v>
      </c>
      <c r="P204" s="288">
        <f>'[112]CANTIDADES TOTALIZADAS'!$BA$147</f>
        <v>3</v>
      </c>
      <c r="Q204" s="290">
        <f t="shared" si="143"/>
        <v>632352</v>
      </c>
      <c r="R204" s="288">
        <f>'[112]CANTIDADES TOTALIZADAS'!$BI$147</f>
        <v>10</v>
      </c>
      <c r="S204" s="290">
        <f t="shared" si="144"/>
        <v>2107840</v>
      </c>
      <c r="T204" s="288">
        <f t="shared" si="145"/>
        <v>39</v>
      </c>
      <c r="U204" s="437">
        <f>'[112]CANTIDADES TOTALIZADAS'!$BJ$147</f>
        <v>39</v>
      </c>
      <c r="V204" s="290">
        <f t="shared" si="146"/>
        <v>8220576</v>
      </c>
      <c r="W204" s="288">
        <v>20</v>
      </c>
      <c r="X204" s="290">
        <f t="shared" si="147"/>
        <v>4215680</v>
      </c>
      <c r="Y204" s="288"/>
      <c r="Z204" s="290">
        <f t="shared" si="148"/>
        <v>0</v>
      </c>
      <c r="AA204" s="288"/>
      <c r="AB204" s="290">
        <f t="shared" si="149"/>
        <v>0</v>
      </c>
      <c r="AC204" s="288"/>
      <c r="AD204" s="290">
        <f t="shared" si="150"/>
        <v>0</v>
      </c>
      <c r="AE204" s="288">
        <f t="shared" si="151"/>
        <v>20</v>
      </c>
      <c r="AF204" s="290">
        <f t="shared" si="152"/>
        <v>4215680</v>
      </c>
      <c r="AG204" s="288">
        <f t="shared" si="153"/>
        <v>59</v>
      </c>
      <c r="AH204" s="290">
        <f t="shared" si="154"/>
        <v>12436256</v>
      </c>
      <c r="AI204" s="288">
        <f>'CANTIDADES TOTALIZADAS'!AD147</f>
        <v>1</v>
      </c>
      <c r="AJ204" s="290">
        <f t="shared" si="155"/>
        <v>210784</v>
      </c>
      <c r="AK204" s="288">
        <f>'CANTIDADES TOTALIZADAS'!AT147</f>
        <v>1</v>
      </c>
      <c r="AL204" s="290">
        <f t="shared" si="156"/>
        <v>210784</v>
      </c>
      <c r="AM204" s="288">
        <f t="shared" si="157"/>
        <v>57</v>
      </c>
      <c r="AN204" s="290">
        <f t="shared" si="158"/>
        <v>12014688</v>
      </c>
      <c r="AO204" s="349"/>
    </row>
    <row r="205" spans="2:41" s="345" customFormat="1" ht="30" customHeight="1">
      <c r="B205" s="346"/>
      <c r="C205" s="309">
        <f t="shared" si="159"/>
        <v>165</v>
      </c>
      <c r="D205" s="330" t="s">
        <v>100</v>
      </c>
      <c r="E205" s="457" t="s">
        <v>466</v>
      </c>
      <c r="F205" s="330"/>
      <c r="G205" s="331" t="s">
        <v>151</v>
      </c>
      <c r="H205" s="285" t="s">
        <v>81</v>
      </c>
      <c r="I205" s="289">
        <f>+'730.1'!N82</f>
        <v>189659</v>
      </c>
      <c r="J205" s="288">
        <f>'[112]CANTIDADES TOTALIZADAS'!$AF$137</f>
        <v>90</v>
      </c>
      <c r="K205" s="290">
        <f t="shared" si="140"/>
        <v>17069310</v>
      </c>
      <c r="L205" s="288">
        <f>'[112]CANTIDADES TOTALIZADAS'!$AQ$137</f>
        <v>2000</v>
      </c>
      <c r="M205" s="290">
        <f t="shared" si="141"/>
        <v>379318000</v>
      </c>
      <c r="N205" s="288">
        <f>'[112]CANTIDADES TOTALIZADAS'!$AU$137</f>
        <v>3060</v>
      </c>
      <c r="O205" s="290">
        <f t="shared" si="142"/>
        <v>580356540</v>
      </c>
      <c r="P205" s="288">
        <f>'[112]CANTIDADES TOTALIZADAS'!$BA$137</f>
        <v>1140</v>
      </c>
      <c r="Q205" s="290">
        <f t="shared" si="143"/>
        <v>216211260</v>
      </c>
      <c r="R205" s="288">
        <f>'[112]CANTIDADES TOTALIZADAS'!$BI$137</f>
        <v>900</v>
      </c>
      <c r="S205" s="290">
        <f t="shared" si="144"/>
        <v>170693100</v>
      </c>
      <c r="T205" s="288">
        <f t="shared" si="145"/>
        <v>7190</v>
      </c>
      <c r="U205" s="437">
        <f>'[112]CANTIDADES TOTALIZADAS'!$BJ$137</f>
        <v>7190</v>
      </c>
      <c r="V205" s="290">
        <f t="shared" si="146"/>
        <v>1363648210</v>
      </c>
      <c r="W205" s="288">
        <v>400</v>
      </c>
      <c r="X205" s="290">
        <f t="shared" si="147"/>
        <v>75863600</v>
      </c>
      <c r="Y205" s="288">
        <f>'[112]CANTIDADES TOTALIZADAS'!$BA$137</f>
        <v>1140</v>
      </c>
      <c r="Z205" s="290">
        <f t="shared" si="148"/>
        <v>216211260</v>
      </c>
      <c r="AA205" s="288">
        <v>2000</v>
      </c>
      <c r="AB205" s="290">
        <f t="shared" si="149"/>
        <v>379318000</v>
      </c>
      <c r="AC205" s="288"/>
      <c r="AD205" s="290">
        <f t="shared" si="150"/>
        <v>0</v>
      </c>
      <c r="AE205" s="288">
        <f t="shared" si="151"/>
        <v>3540</v>
      </c>
      <c r="AF205" s="290">
        <f t="shared" si="152"/>
        <v>671392860</v>
      </c>
      <c r="AG205" s="288">
        <f t="shared" si="153"/>
        <v>10730</v>
      </c>
      <c r="AH205" s="290">
        <f t="shared" si="154"/>
        <v>2035041070</v>
      </c>
      <c r="AI205" s="288"/>
      <c r="AJ205" s="290">
        <f t="shared" si="155"/>
        <v>0</v>
      </c>
      <c r="AK205" s="288"/>
      <c r="AL205" s="290">
        <f t="shared" si="156"/>
        <v>0</v>
      </c>
      <c r="AM205" s="288">
        <f t="shared" si="157"/>
        <v>10730</v>
      </c>
      <c r="AN205" s="290">
        <f t="shared" si="158"/>
        <v>2035041070</v>
      </c>
      <c r="AO205" s="349"/>
    </row>
    <row r="206" spans="2:41" s="345" customFormat="1" ht="30" hidden="1" customHeight="1">
      <c r="B206" s="346"/>
      <c r="C206" s="309">
        <f t="shared" si="159"/>
        <v>166</v>
      </c>
      <c r="D206" s="329" t="s">
        <v>301</v>
      </c>
      <c r="E206" s="329" t="s">
        <v>466</v>
      </c>
      <c r="F206" s="329"/>
      <c r="G206" s="328" t="s">
        <v>302</v>
      </c>
      <c r="H206" s="329" t="s">
        <v>82</v>
      </c>
      <c r="I206" s="289">
        <f>+'730.2'!N81</f>
        <v>87174</v>
      </c>
      <c r="J206" s="288"/>
      <c r="K206" s="290">
        <f t="shared" si="140"/>
        <v>0</v>
      </c>
      <c r="L206" s="288"/>
      <c r="M206" s="290">
        <f t="shared" si="141"/>
        <v>0</v>
      </c>
      <c r="N206" s="288"/>
      <c r="O206" s="290">
        <f t="shared" si="142"/>
        <v>0</v>
      </c>
      <c r="P206" s="288"/>
      <c r="Q206" s="290">
        <f t="shared" si="143"/>
        <v>0</v>
      </c>
      <c r="R206" s="288"/>
      <c r="S206" s="290">
        <f t="shared" si="144"/>
        <v>0</v>
      </c>
      <c r="T206" s="288">
        <f t="shared" si="145"/>
        <v>0</v>
      </c>
      <c r="U206" s="437"/>
      <c r="V206" s="290">
        <f t="shared" si="146"/>
        <v>0</v>
      </c>
      <c r="W206" s="288"/>
      <c r="X206" s="290">
        <f t="shared" si="147"/>
        <v>0</v>
      </c>
      <c r="Y206" s="288"/>
      <c r="Z206" s="290">
        <f t="shared" si="148"/>
        <v>0</v>
      </c>
      <c r="AA206" s="288"/>
      <c r="AB206" s="290">
        <f t="shared" si="149"/>
        <v>0</v>
      </c>
      <c r="AC206" s="288"/>
      <c r="AD206" s="290">
        <f t="shared" si="150"/>
        <v>0</v>
      </c>
      <c r="AE206" s="288">
        <f t="shared" si="151"/>
        <v>0</v>
      </c>
      <c r="AF206" s="290">
        <f t="shared" si="152"/>
        <v>0</v>
      </c>
      <c r="AG206" s="288">
        <f t="shared" si="153"/>
        <v>0</v>
      </c>
      <c r="AH206" s="290">
        <f t="shared" si="154"/>
        <v>0</v>
      </c>
      <c r="AI206" s="288"/>
      <c r="AJ206" s="290">
        <f t="shared" si="155"/>
        <v>0</v>
      </c>
      <c r="AK206" s="288"/>
      <c r="AL206" s="290">
        <f t="shared" si="156"/>
        <v>0</v>
      </c>
      <c r="AM206" s="288">
        <f t="shared" si="157"/>
        <v>0</v>
      </c>
      <c r="AN206" s="290">
        <f t="shared" si="158"/>
        <v>0</v>
      </c>
      <c r="AO206" s="349"/>
    </row>
    <row r="207" spans="2:41" s="345" customFormat="1" ht="30" hidden="1" customHeight="1" thickBot="1">
      <c r="B207" s="346"/>
      <c r="C207" s="309">
        <f t="shared" si="159"/>
        <v>167</v>
      </c>
      <c r="D207" s="329" t="s">
        <v>679</v>
      </c>
      <c r="E207" s="329" t="s">
        <v>466</v>
      </c>
      <c r="F207" s="329"/>
      <c r="G207" s="328" t="s">
        <v>680</v>
      </c>
      <c r="H207" s="329" t="s">
        <v>82</v>
      </c>
      <c r="I207" s="289" t="e">
        <f>#REF!</f>
        <v>#REF!</v>
      </c>
      <c r="J207" s="288"/>
      <c r="K207" s="290" t="e">
        <f t="shared" si="140"/>
        <v>#REF!</v>
      </c>
      <c r="L207" s="288"/>
      <c r="M207" s="290" t="e">
        <f t="shared" si="141"/>
        <v>#REF!</v>
      </c>
      <c r="N207" s="288"/>
      <c r="O207" s="290" t="e">
        <f t="shared" si="142"/>
        <v>#REF!</v>
      </c>
      <c r="P207" s="288"/>
      <c r="Q207" s="290" t="e">
        <f t="shared" si="143"/>
        <v>#REF!</v>
      </c>
      <c r="R207" s="288"/>
      <c r="S207" s="290" t="e">
        <f t="shared" si="144"/>
        <v>#REF!</v>
      </c>
      <c r="T207" s="288">
        <f t="shared" si="145"/>
        <v>0</v>
      </c>
      <c r="U207" s="437"/>
      <c r="V207" s="290" t="e">
        <f t="shared" si="146"/>
        <v>#REF!</v>
      </c>
      <c r="W207" s="288"/>
      <c r="X207" s="290" t="e">
        <f t="shared" si="147"/>
        <v>#REF!</v>
      </c>
      <c r="Y207" s="288"/>
      <c r="Z207" s="290" t="e">
        <f t="shared" si="148"/>
        <v>#REF!</v>
      </c>
      <c r="AA207" s="288"/>
      <c r="AB207" s="290" t="e">
        <f t="shared" si="149"/>
        <v>#REF!</v>
      </c>
      <c r="AC207" s="288"/>
      <c r="AD207" s="290" t="e">
        <f t="shared" si="150"/>
        <v>#REF!</v>
      </c>
      <c r="AE207" s="288">
        <f t="shared" si="151"/>
        <v>0</v>
      </c>
      <c r="AF207" s="290" t="e">
        <f t="shared" si="152"/>
        <v>#REF!</v>
      </c>
      <c r="AG207" s="288">
        <f t="shared" si="153"/>
        <v>0</v>
      </c>
      <c r="AH207" s="290" t="e">
        <f t="shared" si="154"/>
        <v>#REF!</v>
      </c>
      <c r="AI207" s="288"/>
      <c r="AJ207" s="290" t="e">
        <f t="shared" si="155"/>
        <v>#REF!</v>
      </c>
      <c r="AK207" s="288"/>
      <c r="AL207" s="290" t="e">
        <f t="shared" si="156"/>
        <v>#REF!</v>
      </c>
      <c r="AM207" s="288">
        <f t="shared" si="157"/>
        <v>0</v>
      </c>
      <c r="AN207" s="290" t="e">
        <f t="shared" si="158"/>
        <v>#REF!</v>
      </c>
      <c r="AO207" s="349"/>
    </row>
    <row r="208" spans="2:41" s="345" customFormat="1" ht="30" customHeight="1">
      <c r="B208" s="346"/>
      <c r="C208" s="309">
        <f t="shared" si="159"/>
        <v>168</v>
      </c>
      <c r="D208" s="330" t="s">
        <v>101</v>
      </c>
      <c r="E208" s="457" t="s">
        <v>467</v>
      </c>
      <c r="F208" s="330"/>
      <c r="G208" s="331" t="s">
        <v>131</v>
      </c>
      <c r="H208" s="285" t="s">
        <v>82</v>
      </c>
      <c r="I208" s="289">
        <f>+'740.1'!N81</f>
        <v>15972</v>
      </c>
      <c r="J208" s="288">
        <f>'[112]CANTIDADES TOTALIZADAS'!$AF$148</f>
        <v>25</v>
      </c>
      <c r="K208" s="290">
        <f t="shared" si="140"/>
        <v>399300</v>
      </c>
      <c r="L208" s="288">
        <f>'[112]CANTIDADES TOTALIZADAS'!$AQ$148</f>
        <v>536</v>
      </c>
      <c r="M208" s="290">
        <f t="shared" si="141"/>
        <v>8560992</v>
      </c>
      <c r="N208" s="288">
        <f>'[112]CANTIDADES TOTALIZADAS'!$AU$148</f>
        <v>806</v>
      </c>
      <c r="O208" s="290">
        <f t="shared" si="142"/>
        <v>12873432</v>
      </c>
      <c r="P208" s="288">
        <f>'[112]CANTIDADES TOTALIZADAS'!$BA$148</f>
        <v>302</v>
      </c>
      <c r="Q208" s="290">
        <f t="shared" si="143"/>
        <v>4823544</v>
      </c>
      <c r="R208" s="288">
        <f>'[112]CANTIDADES TOTALIZADAS'!$BI$148</f>
        <v>241</v>
      </c>
      <c r="S208" s="290">
        <f t="shared" si="144"/>
        <v>3849252</v>
      </c>
      <c r="T208" s="288">
        <f t="shared" si="145"/>
        <v>1910</v>
      </c>
      <c r="U208" s="437">
        <f>'[112]CANTIDADES TOTALIZADAS'!$BJ$148</f>
        <v>1910</v>
      </c>
      <c r="V208" s="290">
        <f t="shared" si="146"/>
        <v>30506520</v>
      </c>
      <c r="W208" s="288">
        <v>1200</v>
      </c>
      <c r="X208" s="290">
        <f t="shared" si="147"/>
        <v>19166400</v>
      </c>
      <c r="Y208" s="288">
        <f>'[112]CANTIDADES TOTALIZADAS'!$BA$148</f>
        <v>302</v>
      </c>
      <c r="Z208" s="290">
        <f t="shared" si="148"/>
        <v>4823544</v>
      </c>
      <c r="AA208" s="288">
        <v>600</v>
      </c>
      <c r="AB208" s="290">
        <f t="shared" si="149"/>
        <v>9583200</v>
      </c>
      <c r="AC208" s="288"/>
      <c r="AD208" s="290">
        <f t="shared" si="150"/>
        <v>0</v>
      </c>
      <c r="AE208" s="288">
        <f t="shared" ref="AE208" si="160">Y208+AA208+AC208</f>
        <v>902</v>
      </c>
      <c r="AF208" s="290">
        <f t="shared" si="152"/>
        <v>14406744</v>
      </c>
      <c r="AG208" s="288">
        <f t="shared" si="153"/>
        <v>2812</v>
      </c>
      <c r="AH208" s="290">
        <f t="shared" si="154"/>
        <v>44913264</v>
      </c>
      <c r="AI208" s="288">
        <f>'CANTIDADES TOTALIZADAS'!AD148</f>
        <v>25</v>
      </c>
      <c r="AJ208" s="290">
        <f t="shared" si="155"/>
        <v>399300</v>
      </c>
      <c r="AK208" s="288"/>
      <c r="AL208" s="290">
        <f t="shared" si="156"/>
        <v>0</v>
      </c>
      <c r="AM208" s="288">
        <f t="shared" si="157"/>
        <v>2787</v>
      </c>
      <c r="AN208" s="290">
        <f t="shared" si="158"/>
        <v>44513964</v>
      </c>
      <c r="AO208" s="349"/>
    </row>
    <row r="209" spans="2:41" s="345" customFormat="1" ht="30" customHeight="1" thickBot="1">
      <c r="B209" s="346"/>
      <c r="C209" s="295" t="s">
        <v>170</v>
      </c>
      <c r="D209" s="332"/>
      <c r="E209" s="332"/>
      <c r="F209" s="332"/>
      <c r="G209" s="333"/>
      <c r="H209" s="296"/>
      <c r="I209" s="300"/>
      <c r="J209" s="288"/>
      <c r="K209" s="301" t="e">
        <f>ROUND(SUM(K195:K208),0)</f>
        <v>#REF!</v>
      </c>
      <c r="L209" s="288"/>
      <c r="M209" s="301" t="e">
        <f>ROUND(SUM(M195:M208),0)</f>
        <v>#REF!</v>
      </c>
      <c r="N209" s="288"/>
      <c r="O209" s="301" t="e">
        <f>ROUND(SUM(O195:O208),0)</f>
        <v>#REF!</v>
      </c>
      <c r="P209" s="288"/>
      <c r="Q209" s="301" t="e">
        <f>ROUND(SUM(Q195:Q208),0)</f>
        <v>#REF!</v>
      </c>
      <c r="R209" s="288"/>
      <c r="S209" s="301" t="e">
        <f>ROUND(SUM(S195:S208),0)</f>
        <v>#REF!</v>
      </c>
      <c r="T209" s="288"/>
      <c r="U209" s="438"/>
      <c r="V209" s="301" t="e">
        <f>ROUND(SUM(V195:V208),0)</f>
        <v>#REF!</v>
      </c>
      <c r="W209" s="288"/>
      <c r="X209" s="301" t="e">
        <f>ROUND(SUM(X195:X208),0)</f>
        <v>#REF!</v>
      </c>
      <c r="Y209" s="288"/>
      <c r="Z209" s="301" t="e">
        <f>ROUND(SUM(Z195:Z208),0)</f>
        <v>#REF!</v>
      </c>
      <c r="AA209" s="288"/>
      <c r="AB209" s="301" t="e">
        <f>ROUND(SUM(AB195:AB208),0)</f>
        <v>#REF!</v>
      </c>
      <c r="AC209" s="288"/>
      <c r="AD209" s="301" t="e">
        <f>ROUND(SUM(AD195:AD208),0)</f>
        <v>#REF!</v>
      </c>
      <c r="AE209" s="288"/>
      <c r="AF209" s="301" t="e">
        <f>ROUND(SUM(AF195:AF208),0)</f>
        <v>#REF!</v>
      </c>
      <c r="AG209" s="288"/>
      <c r="AH209" s="301" t="e">
        <f>ROUND(SUM(AH195:AH208),0)</f>
        <v>#REF!</v>
      </c>
      <c r="AI209" s="288"/>
      <c r="AJ209" s="301" t="e">
        <f>ROUND(SUM(AJ195:AJ208),0)</f>
        <v>#REF!</v>
      </c>
      <c r="AK209" s="288"/>
      <c r="AL209" s="301" t="e">
        <f>ROUND(SUM(AL195:AL208),0)</f>
        <v>#REF!</v>
      </c>
      <c r="AM209" s="288"/>
      <c r="AN209" s="301" t="e">
        <f>ROUND(SUM(AN195:AN208),0)</f>
        <v>#REF!</v>
      </c>
      <c r="AO209" s="349"/>
    </row>
    <row r="210" spans="2:41" s="345" customFormat="1" ht="30" customHeight="1" thickBot="1">
      <c r="B210" s="346"/>
      <c r="C210" s="281" t="s">
        <v>132</v>
      </c>
      <c r="D210" s="282"/>
      <c r="E210" s="282"/>
      <c r="F210" s="282"/>
      <c r="G210" s="282"/>
      <c r="H210" s="282"/>
      <c r="I210" s="282"/>
      <c r="J210" s="282"/>
      <c r="K210" s="283"/>
      <c r="L210" s="282"/>
      <c r="M210" s="283"/>
      <c r="N210" s="282"/>
      <c r="O210" s="283"/>
      <c r="P210" s="282"/>
      <c r="Q210" s="283"/>
      <c r="R210" s="282"/>
      <c r="S210" s="283"/>
      <c r="T210" s="282"/>
      <c r="U210" s="282"/>
      <c r="V210" s="283"/>
      <c r="W210" s="282"/>
      <c r="X210" s="283"/>
      <c r="Y210" s="282"/>
      <c r="Z210" s="283"/>
      <c r="AA210" s="282"/>
      <c r="AB210" s="283"/>
      <c r="AC210" s="282"/>
      <c r="AD210" s="283"/>
      <c r="AE210" s="282"/>
      <c r="AF210" s="283"/>
      <c r="AG210" s="282"/>
      <c r="AH210" s="283"/>
      <c r="AI210" s="282"/>
      <c r="AJ210" s="283"/>
      <c r="AK210" s="282"/>
      <c r="AL210" s="283"/>
      <c r="AM210" s="282"/>
      <c r="AN210" s="283"/>
      <c r="AO210" s="349"/>
    </row>
    <row r="211" spans="2:41" s="345" customFormat="1" ht="30" hidden="1" customHeight="1">
      <c r="B211" s="346"/>
      <c r="C211" s="302">
        <f>C208+1</f>
        <v>169</v>
      </c>
      <c r="D211" s="329" t="s">
        <v>375</v>
      </c>
      <c r="E211" s="329" t="s">
        <v>468</v>
      </c>
      <c r="F211" s="395"/>
      <c r="G211" s="395" t="s">
        <v>376</v>
      </c>
      <c r="H211" s="329" t="s">
        <v>81</v>
      </c>
      <c r="I211" s="289" t="e">
        <f>#REF!</f>
        <v>#REF!</v>
      </c>
      <c r="J211" s="288"/>
      <c r="K211" s="290" t="e">
        <f t="shared" ref="K211:K225" si="161">I211*J211</f>
        <v>#REF!</v>
      </c>
      <c r="L211" s="288"/>
      <c r="M211" s="290" t="e">
        <f t="shared" ref="M211:M225" si="162">L211*I211</f>
        <v>#REF!</v>
      </c>
      <c r="N211" s="288"/>
      <c r="O211" s="290" t="e">
        <f t="shared" ref="O211:O225" si="163">N211*I211</f>
        <v>#REF!</v>
      </c>
      <c r="P211" s="288"/>
      <c r="Q211" s="290" t="e">
        <f t="shared" ref="Q211:Q225" si="164">I211*P211</f>
        <v>#REF!</v>
      </c>
      <c r="R211" s="288"/>
      <c r="S211" s="290" t="e">
        <f t="shared" ref="S211:S225" si="165">R211*I211</f>
        <v>#REF!</v>
      </c>
      <c r="T211" s="288">
        <f t="shared" ref="T211:T225" si="166">J211+L211+N211+P211+R211</f>
        <v>0</v>
      </c>
      <c r="U211" s="437"/>
      <c r="V211" s="290" t="e">
        <f t="shared" ref="V211:V225" si="167">I211*T211</f>
        <v>#REF!</v>
      </c>
      <c r="W211" s="288"/>
      <c r="X211" s="290" t="e">
        <f t="shared" ref="X211:X225" si="168">W211*I211</f>
        <v>#REF!</v>
      </c>
      <c r="Y211" s="288"/>
      <c r="Z211" s="290" t="e">
        <f t="shared" ref="Z211:Z225" si="169">Y211*I211</f>
        <v>#REF!</v>
      </c>
      <c r="AA211" s="288"/>
      <c r="AB211" s="290" t="e">
        <f t="shared" ref="AB211:AB225" si="170">AA211*I211</f>
        <v>#REF!</v>
      </c>
      <c r="AC211" s="288"/>
      <c r="AD211" s="290" t="e">
        <f t="shared" ref="AD211:AD225" si="171">I211*AC211</f>
        <v>#REF!</v>
      </c>
      <c r="AE211" s="288">
        <f t="shared" ref="AE211:AE225" si="172">Y211+AA211+AC211+W211</f>
        <v>0</v>
      </c>
      <c r="AF211" s="290" t="e">
        <f t="shared" ref="AF211:AF225" si="173">AE211*I211</f>
        <v>#REF!</v>
      </c>
      <c r="AG211" s="288">
        <f t="shared" ref="AG211:AG225" si="174">T211+AE211</f>
        <v>0</v>
      </c>
      <c r="AH211" s="290" t="e">
        <f t="shared" ref="AH211:AH225" si="175">V211+AF211</f>
        <v>#REF!</v>
      </c>
      <c r="AI211" s="288"/>
      <c r="AJ211" s="290" t="e">
        <f t="shared" ref="AJ211:AJ225" si="176">AI211*I211</f>
        <v>#REF!</v>
      </c>
      <c r="AK211" s="288"/>
      <c r="AL211" s="290" t="e">
        <f t="shared" ref="AL211:AL225" si="177">AK211*I211</f>
        <v>#REF!</v>
      </c>
      <c r="AM211" s="288">
        <f t="shared" ref="AM211:AM225" si="178">AG211-AI211-AK211</f>
        <v>0</v>
      </c>
      <c r="AN211" s="290" t="e">
        <f t="shared" ref="AN211:AN225" si="179">AM211*I211</f>
        <v>#REF!</v>
      </c>
      <c r="AO211" s="349"/>
    </row>
    <row r="212" spans="2:41" s="345" customFormat="1" ht="30" hidden="1" customHeight="1">
      <c r="B212" s="346"/>
      <c r="C212" s="309">
        <f>C211+1</f>
        <v>170</v>
      </c>
      <c r="D212" s="285" t="s">
        <v>102</v>
      </c>
      <c r="E212" s="285" t="s">
        <v>468</v>
      </c>
      <c r="F212" s="285"/>
      <c r="G212" s="287" t="s">
        <v>134</v>
      </c>
      <c r="H212" s="285" t="s">
        <v>81</v>
      </c>
      <c r="I212" s="289">
        <f>+'800.2'!N80</f>
        <v>28012</v>
      </c>
      <c r="J212" s="288"/>
      <c r="K212" s="290">
        <f t="shared" si="161"/>
        <v>0</v>
      </c>
      <c r="L212" s="288"/>
      <c r="M212" s="290">
        <f t="shared" si="162"/>
        <v>0</v>
      </c>
      <c r="N212" s="288"/>
      <c r="O212" s="290">
        <f t="shared" si="163"/>
        <v>0</v>
      </c>
      <c r="P212" s="288"/>
      <c r="Q212" s="290">
        <f t="shared" si="164"/>
        <v>0</v>
      </c>
      <c r="R212" s="288"/>
      <c r="S212" s="290">
        <f t="shared" si="165"/>
        <v>0</v>
      </c>
      <c r="T212" s="288">
        <f t="shared" si="166"/>
        <v>0</v>
      </c>
      <c r="U212" s="437"/>
      <c r="V212" s="290">
        <f t="shared" si="167"/>
        <v>0</v>
      </c>
      <c r="W212" s="288"/>
      <c r="X212" s="290">
        <f t="shared" si="168"/>
        <v>0</v>
      </c>
      <c r="Y212" s="288"/>
      <c r="Z212" s="290">
        <f t="shared" si="169"/>
        <v>0</v>
      </c>
      <c r="AA212" s="288"/>
      <c r="AB212" s="290">
        <f t="shared" si="170"/>
        <v>0</v>
      </c>
      <c r="AC212" s="288"/>
      <c r="AD212" s="290">
        <f t="shared" si="171"/>
        <v>0</v>
      </c>
      <c r="AE212" s="288">
        <f t="shared" si="172"/>
        <v>0</v>
      </c>
      <c r="AF212" s="290">
        <f t="shared" si="173"/>
        <v>0</v>
      </c>
      <c r="AG212" s="288">
        <f t="shared" si="174"/>
        <v>0</v>
      </c>
      <c r="AH212" s="290">
        <f t="shared" si="175"/>
        <v>0</v>
      </c>
      <c r="AI212" s="288"/>
      <c r="AJ212" s="290">
        <f t="shared" si="176"/>
        <v>0</v>
      </c>
      <c r="AK212" s="288"/>
      <c r="AL212" s="290">
        <f t="shared" si="177"/>
        <v>0</v>
      </c>
      <c r="AM212" s="288">
        <f t="shared" si="178"/>
        <v>0</v>
      </c>
      <c r="AN212" s="290">
        <f t="shared" si="179"/>
        <v>0</v>
      </c>
      <c r="AO212" s="349"/>
    </row>
    <row r="213" spans="2:41" s="345" customFormat="1" ht="30" hidden="1" customHeight="1">
      <c r="B213" s="346"/>
      <c r="C213" s="309">
        <f t="shared" ref="C213:C225" si="180">C212+1</f>
        <v>171</v>
      </c>
      <c r="D213" s="285" t="s">
        <v>158</v>
      </c>
      <c r="E213" s="285"/>
      <c r="F213" s="285" t="s">
        <v>158</v>
      </c>
      <c r="G213" s="287" t="s">
        <v>168</v>
      </c>
      <c r="H213" s="285" t="s">
        <v>81</v>
      </c>
      <c r="I213" s="289" t="e">
        <f>+#REF!</f>
        <v>#REF!</v>
      </c>
      <c r="J213" s="288"/>
      <c r="K213" s="290" t="e">
        <f t="shared" si="161"/>
        <v>#REF!</v>
      </c>
      <c r="L213" s="288"/>
      <c r="M213" s="290" t="e">
        <f t="shared" si="162"/>
        <v>#REF!</v>
      </c>
      <c r="N213" s="288"/>
      <c r="O213" s="290" t="e">
        <f t="shared" si="163"/>
        <v>#REF!</v>
      </c>
      <c r="P213" s="288"/>
      <c r="Q213" s="290" t="e">
        <f t="shared" si="164"/>
        <v>#REF!</v>
      </c>
      <c r="R213" s="288"/>
      <c r="S213" s="290" t="e">
        <f t="shared" si="165"/>
        <v>#REF!</v>
      </c>
      <c r="T213" s="288">
        <f t="shared" si="166"/>
        <v>0</v>
      </c>
      <c r="U213" s="437"/>
      <c r="V213" s="290" t="e">
        <f t="shared" si="167"/>
        <v>#REF!</v>
      </c>
      <c r="W213" s="288"/>
      <c r="X213" s="290" t="e">
        <f t="shared" si="168"/>
        <v>#REF!</v>
      </c>
      <c r="Y213" s="288"/>
      <c r="Z213" s="290" t="e">
        <f t="shared" si="169"/>
        <v>#REF!</v>
      </c>
      <c r="AA213" s="288"/>
      <c r="AB213" s="290" t="e">
        <f t="shared" si="170"/>
        <v>#REF!</v>
      </c>
      <c r="AC213" s="288"/>
      <c r="AD213" s="290" t="e">
        <f t="shared" si="171"/>
        <v>#REF!</v>
      </c>
      <c r="AE213" s="288">
        <f t="shared" si="172"/>
        <v>0</v>
      </c>
      <c r="AF213" s="290" t="e">
        <f t="shared" si="173"/>
        <v>#REF!</v>
      </c>
      <c r="AG213" s="288">
        <f t="shared" si="174"/>
        <v>0</v>
      </c>
      <c r="AH213" s="290" t="e">
        <f t="shared" si="175"/>
        <v>#REF!</v>
      </c>
      <c r="AI213" s="288"/>
      <c r="AJ213" s="290" t="e">
        <f t="shared" si="176"/>
        <v>#REF!</v>
      </c>
      <c r="AK213" s="288"/>
      <c r="AL213" s="290" t="e">
        <f t="shared" si="177"/>
        <v>#REF!</v>
      </c>
      <c r="AM213" s="288">
        <f t="shared" si="178"/>
        <v>0</v>
      </c>
      <c r="AN213" s="290" t="e">
        <f t="shared" si="179"/>
        <v>#REF!</v>
      </c>
      <c r="AO213" s="349"/>
    </row>
    <row r="214" spans="2:41" s="345" customFormat="1" ht="30" hidden="1" customHeight="1">
      <c r="B214" s="346"/>
      <c r="C214" s="309">
        <f t="shared" si="180"/>
        <v>172</v>
      </c>
      <c r="D214" s="329" t="s">
        <v>428</v>
      </c>
      <c r="E214" s="286"/>
      <c r="F214" s="329" t="s">
        <v>428</v>
      </c>
      <c r="G214" s="343" t="s">
        <v>381</v>
      </c>
      <c r="H214" s="386" t="s">
        <v>82</v>
      </c>
      <c r="I214" s="289" t="e">
        <f>#REF!</f>
        <v>#REF!</v>
      </c>
      <c r="J214" s="288"/>
      <c r="K214" s="290" t="e">
        <f t="shared" si="161"/>
        <v>#REF!</v>
      </c>
      <c r="L214" s="288"/>
      <c r="M214" s="290" t="e">
        <f t="shared" si="162"/>
        <v>#REF!</v>
      </c>
      <c r="N214" s="288"/>
      <c r="O214" s="290" t="e">
        <f t="shared" si="163"/>
        <v>#REF!</v>
      </c>
      <c r="P214" s="288"/>
      <c r="Q214" s="290" t="e">
        <f t="shared" si="164"/>
        <v>#REF!</v>
      </c>
      <c r="R214" s="288"/>
      <c r="S214" s="290" t="e">
        <f t="shared" si="165"/>
        <v>#REF!</v>
      </c>
      <c r="T214" s="288">
        <f t="shared" si="166"/>
        <v>0</v>
      </c>
      <c r="U214" s="437"/>
      <c r="V214" s="290" t="e">
        <f t="shared" si="167"/>
        <v>#REF!</v>
      </c>
      <c r="W214" s="288"/>
      <c r="X214" s="290" t="e">
        <f t="shared" si="168"/>
        <v>#REF!</v>
      </c>
      <c r="Y214" s="288"/>
      <c r="Z214" s="290" t="e">
        <f t="shared" si="169"/>
        <v>#REF!</v>
      </c>
      <c r="AA214" s="288"/>
      <c r="AB214" s="290" t="e">
        <f t="shared" si="170"/>
        <v>#REF!</v>
      </c>
      <c r="AC214" s="288"/>
      <c r="AD214" s="290" t="e">
        <f t="shared" si="171"/>
        <v>#REF!</v>
      </c>
      <c r="AE214" s="288">
        <f t="shared" si="172"/>
        <v>0</v>
      </c>
      <c r="AF214" s="290" t="e">
        <f t="shared" si="173"/>
        <v>#REF!</v>
      </c>
      <c r="AG214" s="288">
        <f t="shared" si="174"/>
        <v>0</v>
      </c>
      <c r="AH214" s="290" t="e">
        <f t="shared" si="175"/>
        <v>#REF!</v>
      </c>
      <c r="AI214" s="288"/>
      <c r="AJ214" s="290" t="e">
        <f t="shared" si="176"/>
        <v>#REF!</v>
      </c>
      <c r="AK214" s="288"/>
      <c r="AL214" s="290" t="e">
        <f t="shared" si="177"/>
        <v>#REF!</v>
      </c>
      <c r="AM214" s="288">
        <f t="shared" si="178"/>
        <v>0</v>
      </c>
      <c r="AN214" s="290" t="e">
        <f t="shared" si="179"/>
        <v>#REF!</v>
      </c>
      <c r="AO214" s="349"/>
    </row>
    <row r="215" spans="2:41" s="345" customFormat="1" ht="30" hidden="1" customHeight="1">
      <c r="B215" s="346"/>
      <c r="C215" s="309">
        <f t="shared" si="180"/>
        <v>173</v>
      </c>
      <c r="D215" s="329" t="s">
        <v>429</v>
      </c>
      <c r="E215" s="286"/>
      <c r="F215" s="329" t="s">
        <v>429</v>
      </c>
      <c r="G215" s="343" t="s">
        <v>382</v>
      </c>
      <c r="H215" s="386" t="s">
        <v>82</v>
      </c>
      <c r="I215" s="289" t="e">
        <f>#REF!</f>
        <v>#REF!</v>
      </c>
      <c r="J215" s="288"/>
      <c r="K215" s="290" t="e">
        <f t="shared" si="161"/>
        <v>#REF!</v>
      </c>
      <c r="L215" s="288"/>
      <c r="M215" s="290" t="e">
        <f t="shared" si="162"/>
        <v>#REF!</v>
      </c>
      <c r="N215" s="288"/>
      <c r="O215" s="290" t="e">
        <f t="shared" si="163"/>
        <v>#REF!</v>
      </c>
      <c r="P215" s="288"/>
      <c r="Q215" s="290" t="e">
        <f t="shared" si="164"/>
        <v>#REF!</v>
      </c>
      <c r="R215" s="288"/>
      <c r="S215" s="290" t="e">
        <f t="shared" si="165"/>
        <v>#REF!</v>
      </c>
      <c r="T215" s="288">
        <f t="shared" si="166"/>
        <v>0</v>
      </c>
      <c r="U215" s="437"/>
      <c r="V215" s="290" t="e">
        <f t="shared" si="167"/>
        <v>#REF!</v>
      </c>
      <c r="W215" s="288"/>
      <c r="X215" s="290" t="e">
        <f t="shared" si="168"/>
        <v>#REF!</v>
      </c>
      <c r="Y215" s="288"/>
      <c r="Z215" s="290" t="e">
        <f t="shared" si="169"/>
        <v>#REF!</v>
      </c>
      <c r="AA215" s="288"/>
      <c r="AB215" s="290" t="e">
        <f t="shared" si="170"/>
        <v>#REF!</v>
      </c>
      <c r="AC215" s="288"/>
      <c r="AD215" s="290" t="e">
        <f t="shared" si="171"/>
        <v>#REF!</v>
      </c>
      <c r="AE215" s="288">
        <f t="shared" si="172"/>
        <v>0</v>
      </c>
      <c r="AF215" s="290" t="e">
        <f t="shared" si="173"/>
        <v>#REF!</v>
      </c>
      <c r="AG215" s="288">
        <f t="shared" si="174"/>
        <v>0</v>
      </c>
      <c r="AH215" s="290" t="e">
        <f t="shared" si="175"/>
        <v>#REF!</v>
      </c>
      <c r="AI215" s="288"/>
      <c r="AJ215" s="290" t="e">
        <f t="shared" si="176"/>
        <v>#REF!</v>
      </c>
      <c r="AK215" s="288"/>
      <c r="AL215" s="290" t="e">
        <f t="shared" si="177"/>
        <v>#REF!</v>
      </c>
      <c r="AM215" s="288">
        <f t="shared" si="178"/>
        <v>0</v>
      </c>
      <c r="AN215" s="290" t="e">
        <f t="shared" si="179"/>
        <v>#REF!</v>
      </c>
      <c r="AO215" s="349"/>
    </row>
    <row r="216" spans="2:41" s="345" customFormat="1" ht="30" hidden="1" customHeight="1">
      <c r="B216" s="346"/>
      <c r="C216" s="309">
        <f t="shared" si="180"/>
        <v>174</v>
      </c>
      <c r="D216" s="330" t="s">
        <v>225</v>
      </c>
      <c r="E216" s="330" t="s">
        <v>469</v>
      </c>
      <c r="F216" s="330"/>
      <c r="G216" s="287" t="s">
        <v>169</v>
      </c>
      <c r="H216" s="285" t="s">
        <v>28</v>
      </c>
      <c r="I216" s="289">
        <f>+'810.1'!N81</f>
        <v>14524</v>
      </c>
      <c r="J216" s="288"/>
      <c r="K216" s="290">
        <f t="shared" si="161"/>
        <v>0</v>
      </c>
      <c r="L216" s="288"/>
      <c r="M216" s="290">
        <f t="shared" si="162"/>
        <v>0</v>
      </c>
      <c r="N216" s="288"/>
      <c r="O216" s="290">
        <f t="shared" si="163"/>
        <v>0</v>
      </c>
      <c r="P216" s="288"/>
      <c r="Q216" s="290">
        <f t="shared" si="164"/>
        <v>0</v>
      </c>
      <c r="R216" s="288"/>
      <c r="S216" s="290">
        <f t="shared" si="165"/>
        <v>0</v>
      </c>
      <c r="T216" s="288">
        <f t="shared" si="166"/>
        <v>0</v>
      </c>
      <c r="U216" s="437"/>
      <c r="V216" s="290">
        <f t="shared" si="167"/>
        <v>0</v>
      </c>
      <c r="W216" s="288"/>
      <c r="X216" s="290">
        <f t="shared" si="168"/>
        <v>0</v>
      </c>
      <c r="Y216" s="288"/>
      <c r="Z216" s="290">
        <f t="shared" si="169"/>
        <v>0</v>
      </c>
      <c r="AA216" s="288"/>
      <c r="AB216" s="290">
        <f t="shared" si="170"/>
        <v>0</v>
      </c>
      <c r="AC216" s="288"/>
      <c r="AD216" s="290">
        <f t="shared" si="171"/>
        <v>0</v>
      </c>
      <c r="AE216" s="288">
        <f t="shared" si="172"/>
        <v>0</v>
      </c>
      <c r="AF216" s="290">
        <f t="shared" si="173"/>
        <v>0</v>
      </c>
      <c r="AG216" s="288">
        <f t="shared" si="174"/>
        <v>0</v>
      </c>
      <c r="AH216" s="290">
        <f t="shared" si="175"/>
        <v>0</v>
      </c>
      <c r="AI216" s="288"/>
      <c r="AJ216" s="290">
        <f t="shared" si="176"/>
        <v>0</v>
      </c>
      <c r="AK216" s="288"/>
      <c r="AL216" s="290">
        <f t="shared" si="177"/>
        <v>0</v>
      </c>
      <c r="AM216" s="288">
        <f t="shared" si="178"/>
        <v>0</v>
      </c>
      <c r="AN216" s="290">
        <f t="shared" si="179"/>
        <v>0</v>
      </c>
      <c r="AO216" s="349"/>
    </row>
    <row r="217" spans="2:41" s="345" customFormat="1" ht="30" hidden="1" customHeight="1">
      <c r="B217" s="346"/>
      <c r="C217" s="309">
        <f t="shared" si="180"/>
        <v>175</v>
      </c>
      <c r="D217" s="330" t="s">
        <v>530</v>
      </c>
      <c r="E217" s="330"/>
      <c r="F217" s="330"/>
      <c r="G217" s="287" t="s">
        <v>683</v>
      </c>
      <c r="H217" s="285" t="s">
        <v>28</v>
      </c>
      <c r="I217" s="289" t="e">
        <f>#REF!</f>
        <v>#REF!</v>
      </c>
      <c r="J217" s="288"/>
      <c r="K217" s="290" t="e">
        <f t="shared" si="161"/>
        <v>#REF!</v>
      </c>
      <c r="L217" s="288"/>
      <c r="M217" s="290" t="e">
        <f t="shared" si="162"/>
        <v>#REF!</v>
      </c>
      <c r="N217" s="288"/>
      <c r="O217" s="290" t="e">
        <f t="shared" si="163"/>
        <v>#REF!</v>
      </c>
      <c r="P217" s="288"/>
      <c r="Q217" s="290" t="e">
        <f t="shared" si="164"/>
        <v>#REF!</v>
      </c>
      <c r="R217" s="288"/>
      <c r="S217" s="290" t="e">
        <f t="shared" si="165"/>
        <v>#REF!</v>
      </c>
      <c r="T217" s="288">
        <f t="shared" si="166"/>
        <v>0</v>
      </c>
      <c r="U217" s="437"/>
      <c r="V217" s="290" t="e">
        <f t="shared" si="167"/>
        <v>#REF!</v>
      </c>
      <c r="W217" s="288"/>
      <c r="X217" s="290" t="e">
        <f t="shared" si="168"/>
        <v>#REF!</v>
      </c>
      <c r="Y217" s="288"/>
      <c r="Z217" s="290" t="e">
        <f t="shared" si="169"/>
        <v>#REF!</v>
      </c>
      <c r="AA217" s="288"/>
      <c r="AB217" s="290" t="e">
        <f t="shared" si="170"/>
        <v>#REF!</v>
      </c>
      <c r="AC217" s="288"/>
      <c r="AD217" s="290" t="e">
        <f t="shared" si="171"/>
        <v>#REF!</v>
      </c>
      <c r="AE217" s="288">
        <f t="shared" si="172"/>
        <v>0</v>
      </c>
      <c r="AF217" s="290" t="e">
        <f t="shared" si="173"/>
        <v>#REF!</v>
      </c>
      <c r="AG217" s="288">
        <f t="shared" si="174"/>
        <v>0</v>
      </c>
      <c r="AH217" s="290" t="e">
        <f t="shared" si="175"/>
        <v>#REF!</v>
      </c>
      <c r="AI217" s="288"/>
      <c r="AJ217" s="290" t="e">
        <f t="shared" si="176"/>
        <v>#REF!</v>
      </c>
      <c r="AK217" s="288"/>
      <c r="AL217" s="290" t="e">
        <f t="shared" si="177"/>
        <v>#REF!</v>
      </c>
      <c r="AM217" s="288">
        <f t="shared" si="178"/>
        <v>0</v>
      </c>
      <c r="AN217" s="290" t="e">
        <f t="shared" si="179"/>
        <v>#REF!</v>
      </c>
      <c r="AO217" s="349"/>
    </row>
    <row r="218" spans="2:41" s="345" customFormat="1" ht="30" hidden="1" customHeight="1">
      <c r="B218" s="346"/>
      <c r="C218" s="309">
        <f t="shared" si="180"/>
        <v>176</v>
      </c>
      <c r="D218" s="330" t="s">
        <v>682</v>
      </c>
      <c r="E218" s="330"/>
      <c r="F218" s="330"/>
      <c r="G218" s="287" t="s">
        <v>571</v>
      </c>
      <c r="H218" s="285" t="s">
        <v>28</v>
      </c>
      <c r="I218" s="289" t="e">
        <f>#REF!</f>
        <v>#REF!</v>
      </c>
      <c r="J218" s="288"/>
      <c r="K218" s="290" t="e">
        <f t="shared" si="161"/>
        <v>#REF!</v>
      </c>
      <c r="L218" s="288"/>
      <c r="M218" s="290" t="e">
        <f t="shared" si="162"/>
        <v>#REF!</v>
      </c>
      <c r="N218" s="288"/>
      <c r="O218" s="290" t="e">
        <f t="shared" si="163"/>
        <v>#REF!</v>
      </c>
      <c r="P218" s="288"/>
      <c r="Q218" s="290" t="e">
        <f t="shared" si="164"/>
        <v>#REF!</v>
      </c>
      <c r="R218" s="288"/>
      <c r="S218" s="290" t="e">
        <f t="shared" si="165"/>
        <v>#REF!</v>
      </c>
      <c r="T218" s="288">
        <f t="shared" si="166"/>
        <v>0</v>
      </c>
      <c r="U218" s="437"/>
      <c r="V218" s="290" t="e">
        <f t="shared" si="167"/>
        <v>#REF!</v>
      </c>
      <c r="W218" s="288"/>
      <c r="X218" s="290" t="e">
        <f t="shared" si="168"/>
        <v>#REF!</v>
      </c>
      <c r="Y218" s="288"/>
      <c r="Z218" s="290" t="e">
        <f t="shared" si="169"/>
        <v>#REF!</v>
      </c>
      <c r="AA218" s="288"/>
      <c r="AB218" s="290" t="e">
        <f t="shared" si="170"/>
        <v>#REF!</v>
      </c>
      <c r="AC218" s="288"/>
      <c r="AD218" s="290" t="e">
        <f t="shared" si="171"/>
        <v>#REF!</v>
      </c>
      <c r="AE218" s="288">
        <f t="shared" si="172"/>
        <v>0</v>
      </c>
      <c r="AF218" s="290" t="e">
        <f t="shared" si="173"/>
        <v>#REF!</v>
      </c>
      <c r="AG218" s="288">
        <f t="shared" si="174"/>
        <v>0</v>
      </c>
      <c r="AH218" s="290" t="e">
        <f t="shared" si="175"/>
        <v>#REF!</v>
      </c>
      <c r="AI218" s="288"/>
      <c r="AJ218" s="290" t="e">
        <f t="shared" si="176"/>
        <v>#REF!</v>
      </c>
      <c r="AK218" s="288"/>
      <c r="AL218" s="290" t="e">
        <f t="shared" si="177"/>
        <v>#REF!</v>
      </c>
      <c r="AM218" s="288">
        <f t="shared" si="178"/>
        <v>0</v>
      </c>
      <c r="AN218" s="290" t="e">
        <f t="shared" si="179"/>
        <v>#REF!</v>
      </c>
      <c r="AO218" s="349"/>
    </row>
    <row r="219" spans="2:41" s="345" customFormat="1" ht="30" hidden="1" customHeight="1">
      <c r="B219" s="346"/>
      <c r="C219" s="309">
        <f t="shared" si="180"/>
        <v>177</v>
      </c>
      <c r="D219" s="329" t="s">
        <v>377</v>
      </c>
      <c r="E219" s="286" t="s">
        <v>469</v>
      </c>
      <c r="F219" s="286"/>
      <c r="G219" s="343" t="s">
        <v>601</v>
      </c>
      <c r="H219" s="386" t="s">
        <v>28</v>
      </c>
      <c r="I219" s="289">
        <f>'810.2'!N84</f>
        <v>24581</v>
      </c>
      <c r="J219" s="288"/>
      <c r="K219" s="290">
        <f t="shared" si="161"/>
        <v>0</v>
      </c>
      <c r="L219" s="288"/>
      <c r="M219" s="290">
        <f t="shared" si="162"/>
        <v>0</v>
      </c>
      <c r="N219" s="288"/>
      <c r="O219" s="290">
        <f t="shared" si="163"/>
        <v>0</v>
      </c>
      <c r="P219" s="288"/>
      <c r="Q219" s="290">
        <f t="shared" si="164"/>
        <v>0</v>
      </c>
      <c r="R219" s="288"/>
      <c r="S219" s="290">
        <f t="shared" si="165"/>
        <v>0</v>
      </c>
      <c r="T219" s="288">
        <f t="shared" si="166"/>
        <v>0</v>
      </c>
      <c r="U219" s="437"/>
      <c r="V219" s="290">
        <f t="shared" si="167"/>
        <v>0</v>
      </c>
      <c r="W219" s="288"/>
      <c r="X219" s="290">
        <f t="shared" si="168"/>
        <v>0</v>
      </c>
      <c r="Y219" s="288"/>
      <c r="Z219" s="290">
        <f t="shared" si="169"/>
        <v>0</v>
      </c>
      <c r="AA219" s="288"/>
      <c r="AB219" s="290">
        <f t="shared" si="170"/>
        <v>0</v>
      </c>
      <c r="AC219" s="288"/>
      <c r="AD219" s="290">
        <f t="shared" si="171"/>
        <v>0</v>
      </c>
      <c r="AE219" s="288">
        <f t="shared" si="172"/>
        <v>0</v>
      </c>
      <c r="AF219" s="290">
        <f t="shared" si="173"/>
        <v>0</v>
      </c>
      <c r="AG219" s="288">
        <f t="shared" si="174"/>
        <v>0</v>
      </c>
      <c r="AH219" s="290">
        <f t="shared" si="175"/>
        <v>0</v>
      </c>
      <c r="AI219" s="288"/>
      <c r="AJ219" s="290">
        <f t="shared" si="176"/>
        <v>0</v>
      </c>
      <c r="AK219" s="288"/>
      <c r="AL219" s="290">
        <f t="shared" si="177"/>
        <v>0</v>
      </c>
      <c r="AM219" s="288">
        <f t="shared" si="178"/>
        <v>0</v>
      </c>
      <c r="AN219" s="290">
        <f t="shared" si="179"/>
        <v>0</v>
      </c>
      <c r="AO219" s="349"/>
    </row>
    <row r="220" spans="2:41" s="345" customFormat="1" ht="30" hidden="1" customHeight="1">
      <c r="B220" s="346"/>
      <c r="C220" s="309">
        <f t="shared" si="180"/>
        <v>178</v>
      </c>
      <c r="D220" s="329" t="s">
        <v>378</v>
      </c>
      <c r="E220" s="286" t="s">
        <v>470</v>
      </c>
      <c r="F220" s="286"/>
      <c r="G220" s="343" t="s">
        <v>379</v>
      </c>
      <c r="H220" s="386" t="s">
        <v>28</v>
      </c>
      <c r="I220" s="289" t="e">
        <f>#REF!</f>
        <v>#REF!</v>
      </c>
      <c r="J220" s="288"/>
      <c r="K220" s="290" t="e">
        <f t="shared" si="161"/>
        <v>#REF!</v>
      </c>
      <c r="L220" s="288"/>
      <c r="M220" s="290" t="e">
        <f t="shared" si="162"/>
        <v>#REF!</v>
      </c>
      <c r="N220" s="288"/>
      <c r="O220" s="290" t="e">
        <f t="shared" si="163"/>
        <v>#REF!</v>
      </c>
      <c r="P220" s="288"/>
      <c r="Q220" s="290" t="e">
        <f t="shared" si="164"/>
        <v>#REF!</v>
      </c>
      <c r="R220" s="288"/>
      <c r="S220" s="290" t="e">
        <f t="shared" si="165"/>
        <v>#REF!</v>
      </c>
      <c r="T220" s="288">
        <f t="shared" si="166"/>
        <v>0</v>
      </c>
      <c r="U220" s="437"/>
      <c r="V220" s="290" t="e">
        <f t="shared" si="167"/>
        <v>#REF!</v>
      </c>
      <c r="W220" s="288"/>
      <c r="X220" s="290" t="e">
        <f t="shared" si="168"/>
        <v>#REF!</v>
      </c>
      <c r="Y220" s="288"/>
      <c r="Z220" s="290" t="e">
        <f t="shared" si="169"/>
        <v>#REF!</v>
      </c>
      <c r="AA220" s="288"/>
      <c r="AB220" s="290" t="e">
        <f t="shared" si="170"/>
        <v>#REF!</v>
      </c>
      <c r="AC220" s="288"/>
      <c r="AD220" s="290" t="e">
        <f t="shared" si="171"/>
        <v>#REF!</v>
      </c>
      <c r="AE220" s="288">
        <f t="shared" si="172"/>
        <v>0</v>
      </c>
      <c r="AF220" s="290" t="e">
        <f t="shared" si="173"/>
        <v>#REF!</v>
      </c>
      <c r="AG220" s="288">
        <f t="shared" si="174"/>
        <v>0</v>
      </c>
      <c r="AH220" s="290" t="e">
        <f t="shared" si="175"/>
        <v>#REF!</v>
      </c>
      <c r="AI220" s="288"/>
      <c r="AJ220" s="290" t="e">
        <f t="shared" si="176"/>
        <v>#REF!</v>
      </c>
      <c r="AK220" s="288"/>
      <c r="AL220" s="290" t="e">
        <f t="shared" si="177"/>
        <v>#REF!</v>
      </c>
      <c r="AM220" s="288">
        <f t="shared" si="178"/>
        <v>0</v>
      </c>
      <c r="AN220" s="290" t="e">
        <f t="shared" si="179"/>
        <v>#REF!</v>
      </c>
      <c r="AO220" s="349"/>
    </row>
    <row r="221" spans="2:41" s="345" customFormat="1" ht="30" hidden="1" customHeight="1">
      <c r="B221" s="346"/>
      <c r="C221" s="309">
        <f t="shared" si="180"/>
        <v>179</v>
      </c>
      <c r="D221" s="329" t="s">
        <v>395</v>
      </c>
      <c r="E221" s="286"/>
      <c r="F221" s="329" t="s">
        <v>395</v>
      </c>
      <c r="G221" s="343" t="s">
        <v>380</v>
      </c>
      <c r="H221" s="386" t="s">
        <v>11</v>
      </c>
      <c r="I221" s="289" t="e">
        <f>#REF!</f>
        <v>#REF!</v>
      </c>
      <c r="J221" s="288"/>
      <c r="K221" s="290" t="e">
        <f t="shared" si="161"/>
        <v>#REF!</v>
      </c>
      <c r="L221" s="288"/>
      <c r="M221" s="290" t="e">
        <f t="shared" si="162"/>
        <v>#REF!</v>
      </c>
      <c r="N221" s="288"/>
      <c r="O221" s="290" t="e">
        <f t="shared" si="163"/>
        <v>#REF!</v>
      </c>
      <c r="P221" s="288"/>
      <c r="Q221" s="290" t="e">
        <f t="shared" si="164"/>
        <v>#REF!</v>
      </c>
      <c r="R221" s="288"/>
      <c r="S221" s="290" t="e">
        <f t="shared" si="165"/>
        <v>#REF!</v>
      </c>
      <c r="T221" s="288">
        <f t="shared" si="166"/>
        <v>0</v>
      </c>
      <c r="U221" s="437"/>
      <c r="V221" s="290" t="e">
        <f t="shared" si="167"/>
        <v>#REF!</v>
      </c>
      <c r="W221" s="288"/>
      <c r="X221" s="290" t="e">
        <f t="shared" si="168"/>
        <v>#REF!</v>
      </c>
      <c r="Y221" s="288"/>
      <c r="Z221" s="290" t="e">
        <f t="shared" si="169"/>
        <v>#REF!</v>
      </c>
      <c r="AA221" s="288"/>
      <c r="AB221" s="290" t="e">
        <f t="shared" si="170"/>
        <v>#REF!</v>
      </c>
      <c r="AC221" s="288"/>
      <c r="AD221" s="290" t="e">
        <f t="shared" si="171"/>
        <v>#REF!</v>
      </c>
      <c r="AE221" s="288">
        <f t="shared" si="172"/>
        <v>0</v>
      </c>
      <c r="AF221" s="290" t="e">
        <f t="shared" si="173"/>
        <v>#REF!</v>
      </c>
      <c r="AG221" s="288">
        <f t="shared" si="174"/>
        <v>0</v>
      </c>
      <c r="AH221" s="290" t="e">
        <f t="shared" si="175"/>
        <v>#REF!</v>
      </c>
      <c r="AI221" s="288"/>
      <c r="AJ221" s="290" t="e">
        <f t="shared" si="176"/>
        <v>#REF!</v>
      </c>
      <c r="AK221" s="288"/>
      <c r="AL221" s="290" t="e">
        <f t="shared" si="177"/>
        <v>#REF!</v>
      </c>
      <c r="AM221" s="288">
        <f t="shared" si="178"/>
        <v>0</v>
      </c>
      <c r="AN221" s="290" t="e">
        <f t="shared" si="179"/>
        <v>#REF!</v>
      </c>
      <c r="AO221" s="349"/>
    </row>
    <row r="222" spans="2:41" s="345" customFormat="1" ht="30" hidden="1" customHeight="1">
      <c r="B222" s="346"/>
      <c r="C222" s="309">
        <f t="shared" si="180"/>
        <v>180</v>
      </c>
      <c r="D222" s="329" t="s">
        <v>535</v>
      </c>
      <c r="E222" s="286"/>
      <c r="F222" s="329"/>
      <c r="G222" s="343" t="s">
        <v>572</v>
      </c>
      <c r="H222" s="386" t="s">
        <v>82</v>
      </c>
      <c r="I222" s="289">
        <f>'820.1'!N84</f>
        <v>52234</v>
      </c>
      <c r="J222" s="288"/>
      <c r="K222" s="290">
        <f t="shared" si="161"/>
        <v>0</v>
      </c>
      <c r="L222" s="288"/>
      <c r="M222" s="290">
        <f t="shared" si="162"/>
        <v>0</v>
      </c>
      <c r="N222" s="288"/>
      <c r="O222" s="290">
        <f t="shared" si="163"/>
        <v>0</v>
      </c>
      <c r="P222" s="288"/>
      <c r="Q222" s="290">
        <f t="shared" si="164"/>
        <v>0</v>
      </c>
      <c r="R222" s="288"/>
      <c r="S222" s="290">
        <f t="shared" si="165"/>
        <v>0</v>
      </c>
      <c r="T222" s="288">
        <f t="shared" si="166"/>
        <v>0</v>
      </c>
      <c r="U222" s="437"/>
      <c r="V222" s="290">
        <f t="shared" si="167"/>
        <v>0</v>
      </c>
      <c r="W222" s="288"/>
      <c r="X222" s="290">
        <f t="shared" si="168"/>
        <v>0</v>
      </c>
      <c r="Y222" s="288"/>
      <c r="Z222" s="290">
        <f t="shared" si="169"/>
        <v>0</v>
      </c>
      <c r="AA222" s="288"/>
      <c r="AB222" s="290">
        <f t="shared" si="170"/>
        <v>0</v>
      </c>
      <c r="AC222" s="288"/>
      <c r="AD222" s="290">
        <f t="shared" si="171"/>
        <v>0</v>
      </c>
      <c r="AE222" s="288">
        <f t="shared" si="172"/>
        <v>0</v>
      </c>
      <c r="AF222" s="290">
        <f t="shared" si="173"/>
        <v>0</v>
      </c>
      <c r="AG222" s="288">
        <f t="shared" si="174"/>
        <v>0</v>
      </c>
      <c r="AH222" s="290">
        <f t="shared" si="175"/>
        <v>0</v>
      </c>
      <c r="AI222" s="288"/>
      <c r="AJ222" s="290">
        <f t="shared" si="176"/>
        <v>0</v>
      </c>
      <c r="AK222" s="288"/>
      <c r="AL222" s="290">
        <f t="shared" si="177"/>
        <v>0</v>
      </c>
      <c r="AM222" s="288">
        <f t="shared" si="178"/>
        <v>0</v>
      </c>
      <c r="AN222" s="290">
        <f t="shared" si="179"/>
        <v>0</v>
      </c>
      <c r="AO222" s="349"/>
    </row>
    <row r="223" spans="2:41" s="345" customFormat="1" ht="30" hidden="1" customHeight="1">
      <c r="B223" s="346"/>
      <c r="C223" s="309">
        <f t="shared" si="180"/>
        <v>181</v>
      </c>
      <c r="D223" s="327" t="s">
        <v>387</v>
      </c>
      <c r="E223" s="327"/>
      <c r="F223" s="327" t="s">
        <v>387</v>
      </c>
      <c r="G223" s="343" t="s">
        <v>383</v>
      </c>
      <c r="H223" s="329" t="s">
        <v>384</v>
      </c>
      <c r="I223" s="289" t="e">
        <f>#REF!</f>
        <v>#REF!</v>
      </c>
      <c r="J223" s="288"/>
      <c r="K223" s="290" t="e">
        <f t="shared" si="161"/>
        <v>#REF!</v>
      </c>
      <c r="L223" s="288"/>
      <c r="M223" s="290" t="e">
        <f t="shared" si="162"/>
        <v>#REF!</v>
      </c>
      <c r="N223" s="288"/>
      <c r="O223" s="290" t="e">
        <f t="shared" si="163"/>
        <v>#REF!</v>
      </c>
      <c r="P223" s="288"/>
      <c r="Q223" s="290" t="e">
        <f t="shared" si="164"/>
        <v>#REF!</v>
      </c>
      <c r="R223" s="288"/>
      <c r="S223" s="290" t="e">
        <f t="shared" si="165"/>
        <v>#REF!</v>
      </c>
      <c r="T223" s="288">
        <f t="shared" si="166"/>
        <v>0</v>
      </c>
      <c r="U223" s="437"/>
      <c r="V223" s="290" t="e">
        <f t="shared" si="167"/>
        <v>#REF!</v>
      </c>
      <c r="W223" s="288"/>
      <c r="X223" s="290" t="e">
        <f t="shared" si="168"/>
        <v>#REF!</v>
      </c>
      <c r="Y223" s="288"/>
      <c r="Z223" s="290" t="e">
        <f t="shared" si="169"/>
        <v>#REF!</v>
      </c>
      <c r="AA223" s="288"/>
      <c r="AB223" s="290" t="e">
        <f t="shared" si="170"/>
        <v>#REF!</v>
      </c>
      <c r="AC223" s="288"/>
      <c r="AD223" s="290" t="e">
        <f t="shared" si="171"/>
        <v>#REF!</v>
      </c>
      <c r="AE223" s="288">
        <f t="shared" si="172"/>
        <v>0</v>
      </c>
      <c r="AF223" s="290" t="e">
        <f t="shared" si="173"/>
        <v>#REF!</v>
      </c>
      <c r="AG223" s="288">
        <f t="shared" si="174"/>
        <v>0</v>
      </c>
      <c r="AH223" s="290" t="e">
        <f t="shared" si="175"/>
        <v>#REF!</v>
      </c>
      <c r="AI223" s="288"/>
      <c r="AJ223" s="290" t="e">
        <f t="shared" si="176"/>
        <v>#REF!</v>
      </c>
      <c r="AK223" s="288"/>
      <c r="AL223" s="290" t="e">
        <f t="shared" si="177"/>
        <v>#REF!</v>
      </c>
      <c r="AM223" s="288">
        <f t="shared" si="178"/>
        <v>0</v>
      </c>
      <c r="AN223" s="290" t="e">
        <f t="shared" si="179"/>
        <v>#REF!</v>
      </c>
      <c r="AO223" s="349"/>
    </row>
    <row r="224" spans="2:41" s="345" customFormat="1" ht="30" hidden="1" customHeight="1">
      <c r="B224" s="346"/>
      <c r="C224" s="309">
        <f t="shared" si="180"/>
        <v>182</v>
      </c>
      <c r="D224" s="327" t="s">
        <v>388</v>
      </c>
      <c r="E224" s="327"/>
      <c r="F224" s="327" t="s">
        <v>388</v>
      </c>
      <c r="G224" s="343" t="s">
        <v>385</v>
      </c>
      <c r="H224" s="329" t="s">
        <v>384</v>
      </c>
      <c r="I224" s="289" t="e">
        <f>#REF!</f>
        <v>#REF!</v>
      </c>
      <c r="J224" s="288"/>
      <c r="K224" s="290" t="e">
        <f t="shared" si="161"/>
        <v>#REF!</v>
      </c>
      <c r="L224" s="288"/>
      <c r="M224" s="290" t="e">
        <f t="shared" si="162"/>
        <v>#REF!</v>
      </c>
      <c r="N224" s="288"/>
      <c r="O224" s="290" t="e">
        <f t="shared" si="163"/>
        <v>#REF!</v>
      </c>
      <c r="P224" s="288"/>
      <c r="Q224" s="290" t="e">
        <f t="shared" si="164"/>
        <v>#REF!</v>
      </c>
      <c r="R224" s="288"/>
      <c r="S224" s="290" t="e">
        <f t="shared" si="165"/>
        <v>#REF!</v>
      </c>
      <c r="T224" s="288">
        <f t="shared" si="166"/>
        <v>0</v>
      </c>
      <c r="U224" s="437"/>
      <c r="V224" s="290" t="e">
        <f t="shared" si="167"/>
        <v>#REF!</v>
      </c>
      <c r="W224" s="288"/>
      <c r="X224" s="290" t="e">
        <f t="shared" si="168"/>
        <v>#REF!</v>
      </c>
      <c r="Y224" s="288"/>
      <c r="Z224" s="290" t="e">
        <f t="shared" si="169"/>
        <v>#REF!</v>
      </c>
      <c r="AA224" s="288"/>
      <c r="AB224" s="290" t="e">
        <f t="shared" si="170"/>
        <v>#REF!</v>
      </c>
      <c r="AC224" s="288"/>
      <c r="AD224" s="290" t="e">
        <f t="shared" si="171"/>
        <v>#REF!</v>
      </c>
      <c r="AE224" s="288">
        <f t="shared" si="172"/>
        <v>0</v>
      </c>
      <c r="AF224" s="290" t="e">
        <f t="shared" si="173"/>
        <v>#REF!</v>
      </c>
      <c r="AG224" s="288">
        <f t="shared" si="174"/>
        <v>0</v>
      </c>
      <c r="AH224" s="290" t="e">
        <f t="shared" si="175"/>
        <v>#REF!</v>
      </c>
      <c r="AI224" s="288"/>
      <c r="AJ224" s="290" t="e">
        <f t="shared" si="176"/>
        <v>#REF!</v>
      </c>
      <c r="AK224" s="288"/>
      <c r="AL224" s="290" t="e">
        <f t="shared" si="177"/>
        <v>#REF!</v>
      </c>
      <c r="AM224" s="288">
        <f t="shared" si="178"/>
        <v>0</v>
      </c>
      <c r="AN224" s="290" t="e">
        <f t="shared" si="179"/>
        <v>#REF!</v>
      </c>
      <c r="AO224" s="349"/>
    </row>
    <row r="225" spans="2:43" s="345" customFormat="1" ht="30" hidden="1" customHeight="1" thickBot="1">
      <c r="B225" s="346"/>
      <c r="C225" s="309">
        <f t="shared" si="180"/>
        <v>183</v>
      </c>
      <c r="D225" s="327" t="s">
        <v>389</v>
      </c>
      <c r="E225" s="327"/>
      <c r="F225" s="327" t="s">
        <v>389</v>
      </c>
      <c r="G225" s="343" t="s">
        <v>386</v>
      </c>
      <c r="H225" s="329" t="s">
        <v>384</v>
      </c>
      <c r="I225" s="289" t="e">
        <f>#REF!</f>
        <v>#REF!</v>
      </c>
      <c r="J225" s="288"/>
      <c r="K225" s="290" t="e">
        <f t="shared" si="161"/>
        <v>#REF!</v>
      </c>
      <c r="L225" s="288"/>
      <c r="M225" s="290" t="e">
        <f t="shared" si="162"/>
        <v>#REF!</v>
      </c>
      <c r="N225" s="288"/>
      <c r="O225" s="290" t="e">
        <f t="shared" si="163"/>
        <v>#REF!</v>
      </c>
      <c r="P225" s="288"/>
      <c r="Q225" s="290" t="e">
        <f t="shared" si="164"/>
        <v>#REF!</v>
      </c>
      <c r="R225" s="288"/>
      <c r="S225" s="290" t="e">
        <f t="shared" si="165"/>
        <v>#REF!</v>
      </c>
      <c r="T225" s="288">
        <f t="shared" si="166"/>
        <v>0</v>
      </c>
      <c r="U225" s="437"/>
      <c r="V225" s="290" t="e">
        <f t="shared" si="167"/>
        <v>#REF!</v>
      </c>
      <c r="W225" s="288"/>
      <c r="X225" s="290" t="e">
        <f t="shared" si="168"/>
        <v>#REF!</v>
      </c>
      <c r="Y225" s="288"/>
      <c r="Z225" s="290" t="e">
        <f t="shared" si="169"/>
        <v>#REF!</v>
      </c>
      <c r="AA225" s="288"/>
      <c r="AB225" s="290" t="e">
        <f t="shared" si="170"/>
        <v>#REF!</v>
      </c>
      <c r="AC225" s="288"/>
      <c r="AD225" s="290" t="e">
        <f t="shared" si="171"/>
        <v>#REF!</v>
      </c>
      <c r="AE225" s="288">
        <f t="shared" si="172"/>
        <v>0</v>
      </c>
      <c r="AF225" s="290" t="e">
        <f t="shared" si="173"/>
        <v>#REF!</v>
      </c>
      <c r="AG225" s="288">
        <f t="shared" si="174"/>
        <v>0</v>
      </c>
      <c r="AH225" s="290" t="e">
        <f t="shared" si="175"/>
        <v>#REF!</v>
      </c>
      <c r="AI225" s="288"/>
      <c r="AJ225" s="290" t="e">
        <f t="shared" si="176"/>
        <v>#REF!</v>
      </c>
      <c r="AK225" s="288"/>
      <c r="AL225" s="290" t="e">
        <f t="shared" si="177"/>
        <v>#REF!</v>
      </c>
      <c r="AM225" s="288">
        <f t="shared" si="178"/>
        <v>0</v>
      </c>
      <c r="AN225" s="290" t="e">
        <f t="shared" si="179"/>
        <v>#REF!</v>
      </c>
      <c r="AO225" s="349"/>
    </row>
    <row r="226" spans="2:43" s="345" customFormat="1" ht="30" customHeight="1" thickBot="1">
      <c r="B226" s="346"/>
      <c r="C226" s="295" t="s">
        <v>170</v>
      </c>
      <c r="D226" s="332"/>
      <c r="E226" s="332"/>
      <c r="F226" s="332"/>
      <c r="G226" s="298"/>
      <c r="H226" s="296"/>
      <c r="I226" s="300"/>
      <c r="J226" s="288"/>
      <c r="K226" s="301" t="e">
        <f>ROUND(SUM(K211:K225),0)</f>
        <v>#REF!</v>
      </c>
      <c r="L226" s="288"/>
      <c r="M226" s="301" t="e">
        <f>ROUND(SUM(M211:M225),0)</f>
        <v>#REF!</v>
      </c>
      <c r="N226" s="288"/>
      <c r="O226" s="301" t="e">
        <f>ROUND(SUM(O211:O225),0)</f>
        <v>#REF!</v>
      </c>
      <c r="P226" s="288"/>
      <c r="Q226" s="301" t="e">
        <f>ROUND(SUM(Q211:Q225),0)</f>
        <v>#REF!</v>
      </c>
      <c r="R226" s="288"/>
      <c r="S226" s="301" t="e">
        <f>ROUND(SUM(S211:S225),0)</f>
        <v>#REF!</v>
      </c>
      <c r="T226" s="288"/>
      <c r="U226" s="438"/>
      <c r="V226" s="301" t="e">
        <f>ROUND(SUM(V211:V225),0)</f>
        <v>#REF!</v>
      </c>
      <c r="W226" s="288"/>
      <c r="X226" s="301" t="e">
        <f>ROUND(SUM(X211:X225),0)</f>
        <v>#REF!</v>
      </c>
      <c r="Y226" s="288"/>
      <c r="Z226" s="301" t="e">
        <f>ROUND(SUM(Z211:Z225),0)</f>
        <v>#REF!</v>
      </c>
      <c r="AA226" s="288"/>
      <c r="AB226" s="301" t="e">
        <f>ROUND(SUM(AB211:AB225),0)</f>
        <v>#REF!</v>
      </c>
      <c r="AC226" s="288"/>
      <c r="AD226" s="301" t="e">
        <f>ROUND(SUM(AD211:AD225),0)</f>
        <v>#REF!</v>
      </c>
      <c r="AE226" s="288"/>
      <c r="AF226" s="301" t="e">
        <f>ROUND(SUM(AF211:AF225),0)</f>
        <v>#REF!</v>
      </c>
      <c r="AG226" s="288"/>
      <c r="AH226" s="301" t="e">
        <f>ROUND(SUM(AH211:AH225),0)</f>
        <v>#REF!</v>
      </c>
      <c r="AI226" s="288"/>
      <c r="AJ226" s="301" t="e">
        <f>ROUND(SUM(AJ211:AJ225),0)</f>
        <v>#REF!</v>
      </c>
      <c r="AK226" s="288"/>
      <c r="AL226" s="301" t="e">
        <f>ROUND(SUM(AL211:AL225),0)</f>
        <v>#REF!</v>
      </c>
      <c r="AM226" s="288"/>
      <c r="AN226" s="301" t="e">
        <f>ROUND(SUM(AN211:AN225),0)</f>
        <v>#REF!</v>
      </c>
      <c r="AO226" s="349"/>
    </row>
    <row r="227" spans="2:43" s="345" customFormat="1" ht="30" customHeight="1" thickBot="1">
      <c r="B227" s="346"/>
      <c r="C227" s="281" t="s">
        <v>133</v>
      </c>
      <c r="D227" s="282"/>
      <c r="E227" s="282"/>
      <c r="F227" s="282"/>
      <c r="G227" s="282"/>
      <c r="H227" s="282"/>
      <c r="I227" s="282"/>
      <c r="J227" s="282"/>
      <c r="K227" s="283"/>
      <c r="L227" s="282"/>
      <c r="M227" s="283"/>
      <c r="N227" s="282"/>
      <c r="O227" s="283"/>
      <c r="P227" s="282"/>
      <c r="Q227" s="283"/>
      <c r="R227" s="282"/>
      <c r="S227" s="283"/>
      <c r="T227" s="282"/>
      <c r="U227" s="282"/>
      <c r="V227" s="283"/>
      <c r="W227" s="282"/>
      <c r="X227" s="283"/>
      <c r="Y227" s="282"/>
      <c r="Z227" s="283"/>
      <c r="AA227" s="282"/>
      <c r="AB227" s="283"/>
      <c r="AC227" s="282"/>
      <c r="AD227" s="283"/>
      <c r="AE227" s="282"/>
      <c r="AF227" s="283"/>
      <c r="AG227" s="282"/>
      <c r="AH227" s="283"/>
      <c r="AI227" s="282"/>
      <c r="AJ227" s="283"/>
      <c r="AK227" s="282"/>
      <c r="AL227" s="283"/>
      <c r="AM227" s="282"/>
      <c r="AN227" s="283"/>
      <c r="AO227" s="349"/>
    </row>
    <row r="228" spans="2:43" s="345" customFormat="1" ht="57" hidden="1" customHeight="1">
      <c r="B228" s="346"/>
      <c r="C228" s="302">
        <f>C225+1</f>
        <v>184</v>
      </c>
      <c r="D228" s="285">
        <v>900.1</v>
      </c>
      <c r="E228" s="285" t="s">
        <v>471</v>
      </c>
      <c r="F228" s="285"/>
      <c r="G228" s="287" t="s">
        <v>226</v>
      </c>
      <c r="H228" s="285" t="s">
        <v>221</v>
      </c>
      <c r="I228" s="289">
        <f>+'900.1'!N81</f>
        <v>995</v>
      </c>
      <c r="J228" s="288"/>
      <c r="K228" s="290">
        <f t="shared" ref="K228:K230" si="181">I228*J228</f>
        <v>0</v>
      </c>
      <c r="L228" s="288"/>
      <c r="M228" s="290">
        <f t="shared" ref="M228:M230" si="182">L228*I228</f>
        <v>0</v>
      </c>
      <c r="N228" s="288"/>
      <c r="O228" s="290">
        <f t="shared" ref="O228:O230" si="183">N228*I228</f>
        <v>0</v>
      </c>
      <c r="P228" s="288"/>
      <c r="Q228" s="290">
        <f t="shared" ref="Q228:Q230" si="184">I228*P228</f>
        <v>0</v>
      </c>
      <c r="R228" s="288"/>
      <c r="S228" s="290">
        <f t="shared" ref="S228:S230" si="185">R228*I228</f>
        <v>0</v>
      </c>
      <c r="T228" s="288">
        <f t="shared" ref="T228:T230" si="186">J228+L228+N228+P228+R228</f>
        <v>0</v>
      </c>
      <c r="U228" s="437"/>
      <c r="V228" s="290">
        <f t="shared" ref="V228:V230" si="187">I228*T228</f>
        <v>0</v>
      </c>
      <c r="W228" s="288"/>
      <c r="X228" s="290">
        <f t="shared" ref="X228:X230" si="188">W228*I228</f>
        <v>0</v>
      </c>
      <c r="Y228" s="288"/>
      <c r="Z228" s="290">
        <f t="shared" ref="Z228:Z230" si="189">Y228*I228</f>
        <v>0</v>
      </c>
      <c r="AA228" s="288"/>
      <c r="AB228" s="290">
        <f t="shared" ref="AB228:AB230" si="190">AA228*I228</f>
        <v>0</v>
      </c>
      <c r="AC228" s="288"/>
      <c r="AD228" s="290">
        <f t="shared" ref="AD228:AD230" si="191">I228*AC228</f>
        <v>0</v>
      </c>
      <c r="AE228" s="288">
        <f t="shared" ref="AE228:AE230" si="192">Y228+AA228+AC228+W228</f>
        <v>0</v>
      </c>
      <c r="AF228" s="290">
        <f t="shared" ref="AF228:AF230" si="193">AE228*I228</f>
        <v>0</v>
      </c>
      <c r="AG228" s="288">
        <f>T228+AE228</f>
        <v>0</v>
      </c>
      <c r="AH228" s="290">
        <f t="shared" ref="AH228:AH230" si="194">V228+AF228</f>
        <v>0</v>
      </c>
      <c r="AI228" s="288"/>
      <c r="AJ228" s="290">
        <f t="shared" ref="AJ228:AJ230" si="195">AI228*I228</f>
        <v>0</v>
      </c>
      <c r="AK228" s="288"/>
      <c r="AL228" s="290">
        <f t="shared" ref="AL228:AL230" si="196">AK228*I228</f>
        <v>0</v>
      </c>
      <c r="AM228" s="288">
        <f t="shared" ref="AM228:AM230" si="197">AG228-AI228-AK228</f>
        <v>0</v>
      </c>
      <c r="AN228" s="290">
        <f t="shared" ref="AN228:AN230" si="198">AM228*I228</f>
        <v>0</v>
      </c>
      <c r="AO228" s="349"/>
    </row>
    <row r="229" spans="2:43" s="345" customFormat="1" ht="55.5" customHeight="1">
      <c r="B229" s="346"/>
      <c r="C229" s="309">
        <f>C228+1</f>
        <v>185</v>
      </c>
      <c r="D229" s="285" t="s">
        <v>104</v>
      </c>
      <c r="E229" s="285" t="s">
        <v>471</v>
      </c>
      <c r="F229" s="285"/>
      <c r="G229" s="344" t="s">
        <v>602</v>
      </c>
      <c r="H229" s="285" t="s">
        <v>156</v>
      </c>
      <c r="I229" s="289">
        <f>+'900.2'!N81</f>
        <v>1125</v>
      </c>
      <c r="J229" s="288">
        <f>'[112]CANTIDADES TOTALIZADAS'!$AF$32</f>
        <v>147362.38575311456</v>
      </c>
      <c r="K229" s="290">
        <f t="shared" si="181"/>
        <v>165782683.97225389</v>
      </c>
      <c r="L229" s="288">
        <f>'[112]CANTIDADES TOTALIZADAS'!$AQ$32</f>
        <v>23310.137812499997</v>
      </c>
      <c r="M229" s="290">
        <f t="shared" si="182"/>
        <v>26223905.039062496</v>
      </c>
      <c r="N229" s="288">
        <f>'[112]CANTIDADES TOTALIZADAS'!$AU$32</f>
        <v>2846723.1073178011</v>
      </c>
      <c r="O229" s="290">
        <f t="shared" si="183"/>
        <v>3202563495.7325263</v>
      </c>
      <c r="P229" s="288">
        <f>'[112]CANTIDADES TOTALIZADAS'!$BA$32</f>
        <v>83119.180591677097</v>
      </c>
      <c r="Q229" s="290">
        <f t="shared" si="184"/>
        <v>93509078.165636733</v>
      </c>
      <c r="R229" s="288">
        <f>'[112]CANTIDADES TOTALIZADAS'!$BI$32</f>
        <v>75105.209016406254</v>
      </c>
      <c r="S229" s="290">
        <f t="shared" si="185"/>
        <v>84493360.14345704</v>
      </c>
      <c r="T229" s="288">
        <f t="shared" si="186"/>
        <v>3175620.0204914995</v>
      </c>
      <c r="U229" s="437">
        <f>'[112]CANTIDADES TOTALIZADAS'!$BJ$32</f>
        <v>3175620.0204914995</v>
      </c>
      <c r="V229" s="290">
        <f t="shared" si="187"/>
        <v>3572572523.052937</v>
      </c>
      <c r="W229" s="288"/>
      <c r="X229" s="290">
        <f t="shared" si="188"/>
        <v>0</v>
      </c>
      <c r="Y229" s="288" t="e">
        <f>Y30*6.7*1.35</f>
        <v>#REF!</v>
      </c>
      <c r="Z229" s="290" t="e">
        <f t="shared" si="189"/>
        <v>#REF!</v>
      </c>
      <c r="AA229" s="288" t="e">
        <f>AA30*10*1.35</f>
        <v>#REF!</v>
      </c>
      <c r="AB229" s="290" t="e">
        <f t="shared" si="190"/>
        <v>#REF!</v>
      </c>
      <c r="AC229" s="288"/>
      <c r="AD229" s="290">
        <f t="shared" si="191"/>
        <v>0</v>
      </c>
      <c r="AE229" s="288" t="e">
        <f t="shared" si="192"/>
        <v>#REF!</v>
      </c>
      <c r="AF229" s="290" t="e">
        <f t="shared" si="193"/>
        <v>#REF!</v>
      </c>
      <c r="AG229" s="288" t="e">
        <f>T229+AE229</f>
        <v>#REF!</v>
      </c>
      <c r="AH229" s="290" t="e">
        <f t="shared" si="194"/>
        <v>#REF!</v>
      </c>
      <c r="AI229" s="290">
        <v>112395</v>
      </c>
      <c r="AJ229" s="290">
        <f t="shared" si="195"/>
        <v>126444375</v>
      </c>
      <c r="AK229" s="290"/>
      <c r="AL229" s="290">
        <f t="shared" si="196"/>
        <v>0</v>
      </c>
      <c r="AM229" s="288" t="e">
        <f t="shared" si="197"/>
        <v>#REF!</v>
      </c>
      <c r="AN229" s="290" t="e">
        <f t="shared" si="198"/>
        <v>#REF!</v>
      </c>
      <c r="AO229" s="349"/>
      <c r="AP229" s="345" t="e">
        <f>#REF!*6.7*1.39</f>
        <v>#REF!</v>
      </c>
      <c r="AQ229" s="345" t="e">
        <f>AP229*1.1</f>
        <v>#REF!</v>
      </c>
    </row>
    <row r="230" spans="2:43" s="345" customFormat="1" ht="41.25" hidden="1" customHeight="1">
      <c r="B230" s="346"/>
      <c r="C230" s="284">
        <f>+C229+1</f>
        <v>186</v>
      </c>
      <c r="D230" s="285" t="s">
        <v>105</v>
      </c>
      <c r="E230" s="285" t="s">
        <v>471</v>
      </c>
      <c r="F230" s="285"/>
      <c r="G230" s="344" t="s">
        <v>603</v>
      </c>
      <c r="H230" s="285" t="s">
        <v>156</v>
      </c>
      <c r="I230" s="289" t="e">
        <f>+#REF!</f>
        <v>#REF!</v>
      </c>
      <c r="J230" s="288"/>
      <c r="K230" s="290" t="e">
        <f t="shared" si="181"/>
        <v>#REF!</v>
      </c>
      <c r="L230" s="288"/>
      <c r="M230" s="290" t="e">
        <f t="shared" si="182"/>
        <v>#REF!</v>
      </c>
      <c r="N230" s="288"/>
      <c r="O230" s="290" t="e">
        <f t="shared" si="183"/>
        <v>#REF!</v>
      </c>
      <c r="P230" s="288"/>
      <c r="Q230" s="290" t="e">
        <f t="shared" si="184"/>
        <v>#REF!</v>
      </c>
      <c r="R230" s="288"/>
      <c r="S230" s="290" t="e">
        <f t="shared" si="185"/>
        <v>#REF!</v>
      </c>
      <c r="T230" s="288">
        <f t="shared" si="186"/>
        <v>0</v>
      </c>
      <c r="U230" s="437"/>
      <c r="V230" s="290" t="e">
        <f t="shared" si="187"/>
        <v>#REF!</v>
      </c>
      <c r="W230" s="288"/>
      <c r="X230" s="290" t="e">
        <f t="shared" si="188"/>
        <v>#REF!</v>
      </c>
      <c r="Y230" s="288"/>
      <c r="Z230" s="290" t="e">
        <f t="shared" si="189"/>
        <v>#REF!</v>
      </c>
      <c r="AA230" s="288"/>
      <c r="AB230" s="290" t="e">
        <f t="shared" si="190"/>
        <v>#REF!</v>
      </c>
      <c r="AC230" s="288"/>
      <c r="AD230" s="290" t="e">
        <f t="shared" si="191"/>
        <v>#REF!</v>
      </c>
      <c r="AE230" s="288">
        <f t="shared" si="192"/>
        <v>0</v>
      </c>
      <c r="AF230" s="290" t="e">
        <f t="shared" si="193"/>
        <v>#REF!</v>
      </c>
      <c r="AG230" s="288">
        <f>T230+AE230</f>
        <v>0</v>
      </c>
      <c r="AH230" s="290" t="e">
        <f t="shared" si="194"/>
        <v>#REF!</v>
      </c>
      <c r="AI230" s="290"/>
      <c r="AJ230" s="290" t="e">
        <f t="shared" si="195"/>
        <v>#REF!</v>
      </c>
      <c r="AK230" s="290"/>
      <c r="AL230" s="290" t="e">
        <f t="shared" si="196"/>
        <v>#REF!</v>
      </c>
      <c r="AM230" s="288">
        <f t="shared" si="197"/>
        <v>0</v>
      </c>
      <c r="AN230" s="290" t="e">
        <f t="shared" si="198"/>
        <v>#REF!</v>
      </c>
      <c r="AO230" s="349"/>
    </row>
    <row r="231" spans="2:43" s="345" customFormat="1" ht="30" customHeight="1" thickBot="1">
      <c r="B231" s="346"/>
      <c r="C231" s="295" t="s">
        <v>170</v>
      </c>
      <c r="D231" s="332"/>
      <c r="E231" s="332"/>
      <c r="F231" s="332"/>
      <c r="G231" s="333"/>
      <c r="H231" s="296"/>
      <c r="I231" s="300"/>
      <c r="J231" s="288"/>
      <c r="K231" s="301" t="e">
        <f>ROUND(SUM(K228:K230),0)</f>
        <v>#REF!</v>
      </c>
      <c r="L231" s="288"/>
      <c r="M231" s="301" t="e">
        <f>ROUND(SUM(M228:M230),0)</f>
        <v>#REF!</v>
      </c>
      <c r="N231" s="288"/>
      <c r="O231" s="301" t="e">
        <f>ROUND(SUM(O228:O230),0)</f>
        <v>#REF!</v>
      </c>
      <c r="P231" s="288"/>
      <c r="Q231" s="301" t="e">
        <f>ROUND(SUM(Q228:Q230),0)</f>
        <v>#REF!</v>
      </c>
      <c r="R231" s="288"/>
      <c r="S231" s="301" t="e">
        <f>ROUND(SUM(S228:S230),0)</f>
        <v>#REF!</v>
      </c>
      <c r="T231" s="288"/>
      <c r="U231" s="438"/>
      <c r="V231" s="301" t="e">
        <f>ROUND(SUM(V228:V230),0)</f>
        <v>#REF!</v>
      </c>
      <c r="W231" s="288"/>
      <c r="X231" s="301" t="e">
        <f>ROUND(SUM(X228:X230),0)</f>
        <v>#REF!</v>
      </c>
      <c r="Y231" s="288"/>
      <c r="Z231" s="301" t="e">
        <f>ROUND(SUM(Z228:Z230),0)</f>
        <v>#REF!</v>
      </c>
      <c r="AA231" s="288"/>
      <c r="AB231" s="301" t="e">
        <f>ROUND(SUM(AB228:AB230),0)</f>
        <v>#REF!</v>
      </c>
      <c r="AC231" s="288"/>
      <c r="AD231" s="301" t="e">
        <f>ROUND(SUM(AD228:AD230),0)</f>
        <v>#REF!</v>
      </c>
      <c r="AE231" s="288"/>
      <c r="AF231" s="301" t="e">
        <f>ROUND(SUM(AF228:AF230),0)</f>
        <v>#REF!</v>
      </c>
      <c r="AG231" s="288"/>
      <c r="AH231" s="301" t="e">
        <f>ROUND(SUM(AH228:AH230),0)</f>
        <v>#REF!</v>
      </c>
      <c r="AI231" s="288"/>
      <c r="AJ231" s="301" t="e">
        <f>ROUND(SUM(AJ228:AJ230),0)</f>
        <v>#REF!</v>
      </c>
      <c r="AK231" s="288"/>
      <c r="AL231" s="301" t="e">
        <f>ROUND(SUM(AL228:AL230),0)</f>
        <v>#REF!</v>
      </c>
      <c r="AM231" s="288"/>
      <c r="AN231" s="301" t="e">
        <f>ROUND(SUM(AN228:AN230),0)</f>
        <v>#REF!</v>
      </c>
      <c r="AO231" s="349"/>
    </row>
    <row r="232" spans="2:43" s="13" customFormat="1" ht="30" customHeight="1" thickBot="1">
      <c r="B232" s="14"/>
      <c r="C232" s="1494" t="s">
        <v>477</v>
      </c>
      <c r="D232" s="1495"/>
      <c r="E232" s="1495"/>
      <c r="F232" s="1495"/>
      <c r="G232" s="1495"/>
      <c r="H232" s="1495"/>
      <c r="I232" s="1496"/>
      <c r="J232" s="427"/>
      <c r="K232" s="334" t="e">
        <f>K44+K57+K76+K83+K193+K209+K226+K231</f>
        <v>#REF!</v>
      </c>
      <c r="L232" s="427"/>
      <c r="M232" s="334" t="e">
        <f>M44+M57+M76+M83+M193+M209+M226+M231</f>
        <v>#REF!</v>
      </c>
      <c r="N232" s="427"/>
      <c r="O232" s="334" t="e">
        <f>O44+O57+O76+O83+O193+O209+O226+O231</f>
        <v>#REF!</v>
      </c>
      <c r="P232" s="427"/>
      <c r="Q232" s="334" t="e">
        <f>Q44+Q57+Q76+Q83+Q193+Q209+Q226+Q231</f>
        <v>#REF!</v>
      </c>
      <c r="R232" s="427"/>
      <c r="S232" s="334" t="e">
        <f>S44+S57+S76+S83+S193+S209+S226+S231</f>
        <v>#REF!</v>
      </c>
      <c r="T232" s="427"/>
      <c r="U232" s="427"/>
      <c r="V232" s="334" t="e">
        <f>V44+V57+V76+V83+V193+V209+V226+V231</f>
        <v>#REF!</v>
      </c>
      <c r="W232" s="427"/>
      <c r="X232" s="334" t="e">
        <f>X44+X57+X76+X83+X193+X209+X226+X231</f>
        <v>#REF!</v>
      </c>
      <c r="Y232" s="427"/>
      <c r="Z232" s="334" t="e">
        <f>Z44+Z57+Z76+Z83+Z193+Z209+Z226+Z231</f>
        <v>#REF!</v>
      </c>
      <c r="AA232" s="427"/>
      <c r="AB232" s="334" t="e">
        <f>AB44+AB57+AB76+AB83+AB193+AB209+AB226+AB231</f>
        <v>#REF!</v>
      </c>
      <c r="AC232" s="427"/>
      <c r="AD232" s="334" t="e">
        <f>AD44+AD57+AD76+AD83+AD193+AD209+AD226+AD231</f>
        <v>#REF!</v>
      </c>
      <c r="AE232" s="427"/>
      <c r="AF232" s="334" t="e">
        <f>AF44+AF57+AF76+AF83+AF193+AF209+AF226+AF231</f>
        <v>#REF!</v>
      </c>
      <c r="AG232" s="427"/>
      <c r="AH232" s="334" t="e">
        <f>AH44+AH57+AH76+AH83+AH193+AH209+AH226+AH231</f>
        <v>#REF!</v>
      </c>
      <c r="AI232" s="445"/>
      <c r="AJ232" s="334" t="e">
        <f>AJ44+AJ57+AJ76+AJ83+AJ193+AJ209+AJ226+AJ231</f>
        <v>#REF!</v>
      </c>
      <c r="AK232" s="469"/>
      <c r="AL232" s="334" t="e">
        <f>AL44+AL57+AL76+AL83+AL193+AL209+AL226+AL231</f>
        <v>#REF!</v>
      </c>
      <c r="AM232" s="452"/>
      <c r="AN232" s="334" t="e">
        <f>AN44+AN57+AN76+AN83+AN193+AN209+AN226+AN231</f>
        <v>#REF!</v>
      </c>
      <c r="AO232" s="15"/>
      <c r="AP232" s="334" t="e">
        <f>AH232-AJ232</f>
        <v>#REF!</v>
      </c>
    </row>
    <row r="233" spans="2:43" s="13" customFormat="1" ht="30" customHeight="1" thickBot="1">
      <c r="B233" s="14"/>
      <c r="C233" s="335"/>
      <c r="D233" s="335"/>
      <c r="E233" s="335"/>
      <c r="F233" s="335"/>
      <c r="G233" s="335"/>
      <c r="H233" s="335"/>
      <c r="I233" s="335"/>
      <c r="J233" s="335"/>
      <c r="K233" s="336"/>
      <c r="L233" s="335"/>
      <c r="M233" s="336"/>
      <c r="N233" s="335"/>
      <c r="O233" s="336"/>
      <c r="P233" s="335"/>
      <c r="Q233" s="336"/>
      <c r="R233" s="335"/>
      <c r="S233" s="336"/>
      <c r="T233" s="335"/>
      <c r="U233" s="335"/>
      <c r="V233" s="336" t="e">
        <f>K232+M232+O232+Q232+S232</f>
        <v>#REF!</v>
      </c>
      <c r="W233" s="335"/>
      <c r="X233" s="336"/>
      <c r="Y233" s="335"/>
      <c r="Z233" s="336"/>
      <c r="AA233" s="335"/>
      <c r="AB233" s="336"/>
      <c r="AC233" s="335"/>
      <c r="AD233" s="336"/>
      <c r="AE233" s="335"/>
      <c r="AF233" s="336"/>
      <c r="AG233" s="335"/>
      <c r="AH233" s="336"/>
      <c r="AI233" s="335"/>
      <c r="AJ233" s="336"/>
      <c r="AK233" s="335"/>
      <c r="AL233" s="336"/>
      <c r="AM233" s="335"/>
      <c r="AN233" s="336"/>
      <c r="AO233" s="15"/>
      <c r="AP233" s="334" t="e">
        <f>K232+M232+O232+Q232+S232+X232+Z232+AB232+AD232</f>
        <v>#REF!</v>
      </c>
    </row>
    <row r="234" spans="2:43" s="13" customFormat="1" ht="30" customHeight="1">
      <c r="B234" s="14"/>
      <c r="C234" s="337"/>
      <c r="D234" s="338"/>
      <c r="E234" s="337"/>
      <c r="F234" s="352"/>
      <c r="G234" s="353" t="s">
        <v>623</v>
      </c>
      <c r="H234" s="354"/>
      <c r="I234" s="356" t="s">
        <v>175</v>
      </c>
      <c r="J234" s="355"/>
      <c r="K234" s="339" t="e">
        <f>K232*0.2</f>
        <v>#REF!</v>
      </c>
      <c r="L234" s="355"/>
      <c r="M234" s="339" t="e">
        <f>M232*0.2</f>
        <v>#REF!</v>
      </c>
      <c r="N234" s="355"/>
      <c r="O234" s="339" t="e">
        <f>O232*0.2</f>
        <v>#REF!</v>
      </c>
      <c r="P234" s="355"/>
      <c r="Q234" s="339" t="e">
        <f>Q232*0.2</f>
        <v>#REF!</v>
      </c>
      <c r="R234" s="355"/>
      <c r="S234" s="339" t="e">
        <f>S232*0.2</f>
        <v>#REF!</v>
      </c>
      <c r="T234" s="355"/>
      <c r="U234" s="439"/>
      <c r="V234" s="339" t="e">
        <f>S234+Q234+O234+M234+K234</f>
        <v>#REF!</v>
      </c>
      <c r="W234" s="355"/>
      <c r="X234" s="339" t="e">
        <f>X232*0.15</f>
        <v>#REF!</v>
      </c>
      <c r="Y234" s="355"/>
      <c r="Z234" s="339" t="e">
        <f>Z232*0.2</f>
        <v>#REF!</v>
      </c>
      <c r="AA234" s="355"/>
      <c r="AB234" s="339" t="e">
        <f>AB232*0.2</f>
        <v>#REF!</v>
      </c>
      <c r="AC234" s="355"/>
      <c r="AD234" s="339" t="e">
        <f>AD232*0.2</f>
        <v>#REF!</v>
      </c>
      <c r="AE234" s="355"/>
      <c r="AF234" s="339" t="e">
        <f>AD234+AB234+Z234+X234</f>
        <v>#REF!</v>
      </c>
      <c r="AG234" s="355"/>
      <c r="AH234" s="339" t="e">
        <f>AF234+V234</f>
        <v>#REF!</v>
      </c>
      <c r="AI234" s="355"/>
      <c r="AJ234" s="339" t="e">
        <f>AJ232*0.2</f>
        <v>#REF!</v>
      </c>
      <c r="AK234" s="355"/>
      <c r="AL234" s="339" t="e">
        <f>AL232*0.2</f>
        <v>#REF!</v>
      </c>
      <c r="AM234" s="355"/>
      <c r="AN234" s="339" t="e">
        <f>AN232*0.2</f>
        <v>#REF!</v>
      </c>
      <c r="AO234" s="15"/>
    </row>
    <row r="235" spans="2:43" s="13" customFormat="1" ht="30" customHeight="1">
      <c r="B235" s="14"/>
      <c r="C235" s="337"/>
      <c r="D235" s="338"/>
      <c r="E235" s="337"/>
      <c r="F235" s="352"/>
      <c r="G235" s="357" t="s">
        <v>624</v>
      </c>
      <c r="H235" s="358"/>
      <c r="I235" s="360" t="s">
        <v>175</v>
      </c>
      <c r="J235" s="359"/>
      <c r="K235" s="351" t="e">
        <f>#REF!</f>
        <v>#REF!</v>
      </c>
      <c r="L235" s="359"/>
      <c r="M235" s="351" t="e">
        <f>#REF!</f>
        <v>#REF!</v>
      </c>
      <c r="N235" s="359"/>
      <c r="O235" s="351" t="e">
        <f>#REF!</f>
        <v>#REF!</v>
      </c>
      <c r="P235" s="359"/>
      <c r="Q235" s="351" t="e">
        <f>#REF!</f>
        <v>#REF!</v>
      </c>
      <c r="R235" s="359"/>
      <c r="S235" s="351" t="e">
        <f>#REF!</f>
        <v>#REF!</v>
      </c>
      <c r="T235" s="359"/>
      <c r="U235" s="359"/>
      <c r="V235" s="351" t="e">
        <f>#REF!</f>
        <v>#REF!</v>
      </c>
      <c r="W235" s="359"/>
      <c r="X235" s="351" t="e">
        <f>#REF!</f>
        <v>#REF!</v>
      </c>
      <c r="Y235" s="359"/>
      <c r="Z235" s="351" t="e">
        <f>#REF!</f>
        <v>#REF!</v>
      </c>
      <c r="AA235" s="359"/>
      <c r="AB235" s="351" t="e">
        <f>#REF!</f>
        <v>#REF!</v>
      </c>
      <c r="AC235" s="359"/>
      <c r="AD235" s="351" t="e">
        <f>#REF!</f>
        <v>#REF!</v>
      </c>
      <c r="AE235" s="359"/>
      <c r="AF235" s="351" t="e">
        <f>#REF!</f>
        <v>#REF!</v>
      </c>
      <c r="AG235" s="359"/>
      <c r="AH235" s="351" t="e">
        <f>#REF!</f>
        <v>#REF!</v>
      </c>
      <c r="AI235" s="359"/>
      <c r="AJ235" s="351" t="e">
        <f>#REF!</f>
        <v>#REF!</v>
      </c>
      <c r="AK235" s="359"/>
      <c r="AL235" s="351" t="e">
        <f>#REF!</f>
        <v>#REF!</v>
      </c>
      <c r="AM235" s="359"/>
      <c r="AN235" s="351">
        <f>280000000*2</f>
        <v>560000000</v>
      </c>
      <c r="AO235" s="15"/>
    </row>
    <row r="236" spans="2:43" s="13" customFormat="1" ht="30" customHeight="1">
      <c r="B236" s="14"/>
      <c r="C236" s="337"/>
      <c r="D236" s="338"/>
      <c r="E236" s="337"/>
      <c r="F236" s="352"/>
      <c r="G236" s="361" t="s">
        <v>174</v>
      </c>
      <c r="H236" s="362"/>
      <c r="I236" s="364"/>
      <c r="J236" s="363"/>
      <c r="K236" s="340" t="e">
        <f>K232+K234+K235</f>
        <v>#REF!</v>
      </c>
      <c r="L236" s="363"/>
      <c r="M236" s="340" t="e">
        <f>M232+M234+M235</f>
        <v>#REF!</v>
      </c>
      <c r="N236" s="363"/>
      <c r="O236" s="340" t="e">
        <f>O232+O234+O235</f>
        <v>#REF!</v>
      </c>
      <c r="P236" s="363"/>
      <c r="Q236" s="340" t="e">
        <f>Q232+Q234+Q235</f>
        <v>#REF!</v>
      </c>
      <c r="R236" s="363"/>
      <c r="S236" s="340" t="e">
        <f>S232+S234+S235</f>
        <v>#REF!</v>
      </c>
      <c r="T236" s="363"/>
      <c r="U236" s="363"/>
      <c r="V236" s="340" t="e">
        <f>V232+V234+V235</f>
        <v>#REF!</v>
      </c>
      <c r="W236" s="363"/>
      <c r="X236" s="340" t="e">
        <f>X232+X234+X235</f>
        <v>#REF!</v>
      </c>
      <c r="Y236" s="363"/>
      <c r="Z236" s="340" t="e">
        <f>Z232+Z234+Z235</f>
        <v>#REF!</v>
      </c>
      <c r="AA236" s="363"/>
      <c r="AB236" s="340" t="e">
        <f>AB232+AB234+AB235</f>
        <v>#REF!</v>
      </c>
      <c r="AC236" s="363"/>
      <c r="AD236" s="340" t="e">
        <f>AD232+AD234+AD235</f>
        <v>#REF!</v>
      </c>
      <c r="AE236" s="363"/>
      <c r="AF236" s="340" t="e">
        <f>AF232+AF234+AF235</f>
        <v>#REF!</v>
      </c>
      <c r="AG236" s="363"/>
      <c r="AH236" s="340" t="e">
        <f>AH232+AH234+AH235</f>
        <v>#REF!</v>
      </c>
      <c r="AI236" s="363"/>
      <c r="AJ236" s="340" t="e">
        <f>AJ232+AJ234+AJ235</f>
        <v>#REF!</v>
      </c>
      <c r="AK236" s="363"/>
      <c r="AL236" s="340" t="e">
        <f>AL232+AL234+AL235</f>
        <v>#REF!</v>
      </c>
      <c r="AM236" s="363"/>
      <c r="AN236" s="340" t="e">
        <f>AN232+AN234+AN235</f>
        <v>#REF!</v>
      </c>
      <c r="AO236" s="15"/>
    </row>
    <row r="237" spans="2:43" s="13" customFormat="1" ht="30" customHeight="1">
      <c r="B237" s="14"/>
      <c r="C237" s="337"/>
      <c r="D237" s="341"/>
      <c r="E237" s="341"/>
      <c r="F237" s="341"/>
      <c r="G237" s="361" t="s">
        <v>732</v>
      </c>
      <c r="H237" s="365"/>
      <c r="I237" s="367"/>
      <c r="J237" s="366"/>
      <c r="K237" s="340" t="e">
        <f>ROUND((K236/(1+K251))*K250*0.19,0)</f>
        <v>#REF!</v>
      </c>
      <c r="L237" s="366"/>
      <c r="M237" s="340" t="e">
        <f>ROUND((M236/(1+M251))*M250*0.19,0)</f>
        <v>#REF!</v>
      </c>
      <c r="N237" s="366"/>
      <c r="O237" s="340" t="e">
        <f>ROUND((O236/(1+O251))*O250*0.19,0)</f>
        <v>#REF!</v>
      </c>
      <c r="P237" s="366"/>
      <c r="Q237" s="340" t="e">
        <f>ROUND((Q236/(1+Q251))*Q250*0.19,0)</f>
        <v>#REF!</v>
      </c>
      <c r="R237" s="366"/>
      <c r="S237" s="340" t="e">
        <f>ROUND((S236/(1+S251))*S250*0.19,0)</f>
        <v>#REF!</v>
      </c>
      <c r="T237" s="366"/>
      <c r="U237" s="366"/>
      <c r="V237" s="340" t="e">
        <f>ROUND((V236/(1+V251))*V250*0.19,0)</f>
        <v>#REF!</v>
      </c>
      <c r="W237" s="366"/>
      <c r="X237" s="340" t="e">
        <f>ROUND((X236/(1+X251))*X250*0.19,0)</f>
        <v>#REF!</v>
      </c>
      <c r="Y237" s="366"/>
      <c r="Z237" s="340" t="e">
        <f>ROUND((Z236/(1+Z251))*Z250*0.19,0)</f>
        <v>#REF!</v>
      </c>
      <c r="AA237" s="366"/>
      <c r="AB237" s="340" t="e">
        <f>ROUND((AB236/(1+AB251))*AB250*0.19,0)</f>
        <v>#REF!</v>
      </c>
      <c r="AC237" s="366"/>
      <c r="AD237" s="340" t="e">
        <f>ROUND((AD236/(1+AD251))*AD250*0.19,0)</f>
        <v>#REF!</v>
      </c>
      <c r="AE237" s="366"/>
      <c r="AF237" s="340" t="e">
        <f>ROUND((AF236/(1+AF251))*AF250*0.19,0)</f>
        <v>#REF!</v>
      </c>
      <c r="AG237" s="366"/>
      <c r="AH237" s="340" t="e">
        <f>ROUND((AH236/(1+AH251))*AH250*0.19,0)</f>
        <v>#REF!</v>
      </c>
      <c r="AI237" s="366"/>
      <c r="AJ237" s="340" t="e">
        <f>ROUND((AJ236/(1+AJ251))*AJ250*0.19,0)</f>
        <v>#REF!</v>
      </c>
      <c r="AK237" s="366"/>
      <c r="AL237" s="340" t="e">
        <f>ROUND((AL236/(1+AL251))*AL250*0.19,0)</f>
        <v>#REF!</v>
      </c>
      <c r="AM237" s="366"/>
      <c r="AN237" s="340" t="e">
        <f>ROUND((AN236/(1+AN251))*AN250*0.19,0)</f>
        <v>#REF!</v>
      </c>
      <c r="AO237" s="15"/>
    </row>
    <row r="238" spans="2:43" s="13" customFormat="1" ht="30" customHeight="1">
      <c r="B238" s="14"/>
      <c r="C238" s="337"/>
      <c r="D238" s="341"/>
      <c r="E238" s="341"/>
      <c r="F238" s="341"/>
      <c r="G238" s="368" t="s">
        <v>476</v>
      </c>
      <c r="H238" s="365"/>
      <c r="I238" s="367"/>
      <c r="J238" s="366"/>
      <c r="K238" s="342" t="e">
        <f>K236+K237</f>
        <v>#REF!</v>
      </c>
      <c r="L238" s="366"/>
      <c r="M238" s="342" t="e">
        <f>M236+M237</f>
        <v>#REF!</v>
      </c>
      <c r="N238" s="366"/>
      <c r="O238" s="342" t="e">
        <f>O236+O237</f>
        <v>#REF!</v>
      </c>
      <c r="P238" s="366"/>
      <c r="Q238" s="342" t="e">
        <f>Q236+Q237</f>
        <v>#REF!</v>
      </c>
      <c r="R238" s="366"/>
      <c r="S238" s="342" t="e">
        <f>S236+S237</f>
        <v>#REF!</v>
      </c>
      <c r="T238" s="366"/>
      <c r="U238" s="366"/>
      <c r="V238" s="342" t="e">
        <f>V236+V237</f>
        <v>#REF!</v>
      </c>
      <c r="W238" s="366"/>
      <c r="X238" s="342" t="e">
        <f>X236+X237</f>
        <v>#REF!</v>
      </c>
      <c r="Y238" s="366"/>
      <c r="Z238" s="342" t="e">
        <f>Z236+Z237</f>
        <v>#REF!</v>
      </c>
      <c r="AA238" s="366"/>
      <c r="AB238" s="342" t="e">
        <f>AB236+AB237</f>
        <v>#REF!</v>
      </c>
      <c r="AC238" s="366"/>
      <c r="AD238" s="342" t="e">
        <f>AD236+AD237</f>
        <v>#REF!</v>
      </c>
      <c r="AE238" s="366"/>
      <c r="AF238" s="342" t="e">
        <f>AF236+AF237</f>
        <v>#REF!</v>
      </c>
      <c r="AG238" s="366"/>
      <c r="AH238" s="342" t="e">
        <f>AH236+AH237</f>
        <v>#REF!</v>
      </c>
      <c r="AI238" s="366"/>
      <c r="AJ238" s="342" t="e">
        <f>AJ236+AJ237</f>
        <v>#REF!</v>
      </c>
      <c r="AK238" s="366"/>
      <c r="AL238" s="342" t="e">
        <f>AL236+AL237</f>
        <v>#REF!</v>
      </c>
      <c r="AM238" s="366"/>
      <c r="AN238" s="342" t="e">
        <f>AN236+AN237</f>
        <v>#REF!</v>
      </c>
      <c r="AO238" s="15"/>
      <c r="AP238" s="458" t="e">
        <f>+AH238-AJ238</f>
        <v>#REF!</v>
      </c>
    </row>
    <row r="239" spans="2:43" s="13" customFormat="1" ht="30" customHeight="1">
      <c r="B239" s="14"/>
      <c r="C239" s="337"/>
      <c r="D239" s="338"/>
      <c r="E239" s="337"/>
      <c r="F239" s="352"/>
      <c r="G239" s="369" t="s">
        <v>625</v>
      </c>
      <c r="H239" s="365"/>
      <c r="I239" s="370"/>
      <c r="J239" s="366"/>
      <c r="K239" s="340">
        <f>80000000*K18</f>
        <v>184000000</v>
      </c>
      <c r="L239" s="366"/>
      <c r="M239" s="340">
        <f>80000000*M18</f>
        <v>184000000</v>
      </c>
      <c r="N239" s="366"/>
      <c r="O239" s="340">
        <f>80000000*O18</f>
        <v>496000000</v>
      </c>
      <c r="P239" s="366"/>
      <c r="Q239" s="340">
        <f>80000000*Q18</f>
        <v>8000000</v>
      </c>
      <c r="R239" s="366"/>
      <c r="S239" s="340">
        <f>80000000*S18</f>
        <v>80000000</v>
      </c>
      <c r="T239" s="366"/>
      <c r="U239" s="366"/>
      <c r="V239" s="340">
        <f>S239+Q239+O239+M239</f>
        <v>768000000</v>
      </c>
      <c r="W239" s="366"/>
      <c r="X239" s="340" t="e">
        <f>+#REF!</f>
        <v>#REF!</v>
      </c>
      <c r="Y239" s="366"/>
      <c r="Z239" s="340">
        <f>80000000*Z18</f>
        <v>152000000</v>
      </c>
      <c r="AA239" s="366"/>
      <c r="AB239" s="340">
        <f>80000000*AB18</f>
        <v>136000000</v>
      </c>
      <c r="AC239" s="366"/>
      <c r="AD239" s="340">
        <f>80000000*AD18</f>
        <v>160000000</v>
      </c>
      <c r="AE239" s="366"/>
      <c r="AF239" s="340" t="e">
        <f>AD239+AB239+X239+Z239</f>
        <v>#REF!</v>
      </c>
      <c r="AG239" s="366"/>
      <c r="AH239" s="340" t="e">
        <f>AF239+V239</f>
        <v>#REF!</v>
      </c>
      <c r="AI239" s="366"/>
      <c r="AJ239" s="340">
        <f>80000000*AJ17</f>
        <v>112000000</v>
      </c>
      <c r="AK239" s="366"/>
      <c r="AL239" s="340" t="e">
        <f>+#REF!</f>
        <v>#REF!</v>
      </c>
      <c r="AM239" s="366"/>
      <c r="AN239" s="340" t="e">
        <f>AH239</f>
        <v>#REF!</v>
      </c>
      <c r="AO239" s="15"/>
    </row>
    <row r="240" spans="2:43" s="13" customFormat="1" ht="30" customHeight="1">
      <c r="B240" s="14"/>
      <c r="C240" s="337"/>
      <c r="D240" s="338"/>
      <c r="E240" s="337"/>
      <c r="F240" s="352"/>
      <c r="G240" s="369" t="s">
        <v>626</v>
      </c>
      <c r="H240" s="365">
        <v>0.19</v>
      </c>
      <c r="I240" s="370"/>
      <c r="J240" s="366"/>
      <c r="K240" s="340">
        <f>ROUND(0.19*K239,0)</f>
        <v>34960000</v>
      </c>
      <c r="L240" s="366"/>
      <c r="M240" s="340">
        <f>ROUND(0.19*M239,0)</f>
        <v>34960000</v>
      </c>
      <c r="N240" s="366"/>
      <c r="O240" s="340">
        <f>ROUND(0.19*O239,0)</f>
        <v>94240000</v>
      </c>
      <c r="P240" s="366"/>
      <c r="Q240" s="340">
        <f>ROUND(0.19*Q239,0)</f>
        <v>1520000</v>
      </c>
      <c r="R240" s="366"/>
      <c r="S240" s="340">
        <f>ROUND(0.19*S239,0)</f>
        <v>15200000</v>
      </c>
      <c r="T240" s="366"/>
      <c r="U240" s="366"/>
      <c r="V240" s="340">
        <f>ROUND(0.19*V239,0)</f>
        <v>145920000</v>
      </c>
      <c r="W240" s="366"/>
      <c r="X240" s="340" t="e">
        <f>ROUND(0.19*X239,0)</f>
        <v>#REF!</v>
      </c>
      <c r="Y240" s="366"/>
      <c r="Z240" s="340">
        <f>ROUND(0.19*Z239,0)</f>
        <v>28880000</v>
      </c>
      <c r="AA240" s="366"/>
      <c r="AB240" s="340">
        <f>ROUND(0.19*AB239,0)</f>
        <v>25840000</v>
      </c>
      <c r="AC240" s="366"/>
      <c r="AD240" s="340">
        <f>ROUND(0.19*AD239,0)</f>
        <v>30400000</v>
      </c>
      <c r="AE240" s="366"/>
      <c r="AF240" s="340" t="e">
        <f>ROUND(0.19*AF239,0)</f>
        <v>#REF!</v>
      </c>
      <c r="AG240" s="366"/>
      <c r="AH240" s="340" t="e">
        <f>ROUND(0.19*AH239,0)</f>
        <v>#REF!</v>
      </c>
      <c r="AI240" s="366"/>
      <c r="AJ240" s="340">
        <f>ROUND(0.19*AJ239,0)</f>
        <v>21280000</v>
      </c>
      <c r="AK240" s="366"/>
      <c r="AL240" s="340" t="e">
        <f>ROUND(0.19*AL239,0)</f>
        <v>#REF!</v>
      </c>
      <c r="AM240" s="366"/>
      <c r="AN240" s="340" t="e">
        <f>ROUND(0.19*AN239,0)</f>
        <v>#REF!</v>
      </c>
      <c r="AO240" s="15"/>
    </row>
    <row r="241" spans="2:41" s="13" customFormat="1" ht="30" customHeight="1">
      <c r="B241" s="14"/>
      <c r="C241" s="337"/>
      <c r="D241" s="338"/>
      <c r="E241" s="337"/>
      <c r="F241" s="371" t="s">
        <v>627</v>
      </c>
      <c r="G241" s="372" t="s">
        <v>628</v>
      </c>
      <c r="H241" s="365"/>
      <c r="I241" s="370"/>
      <c r="J241" s="366"/>
      <c r="K241" s="342">
        <f>K239+K240</f>
        <v>218960000</v>
      </c>
      <c r="L241" s="366"/>
      <c r="M241" s="342">
        <f>M239+M240</f>
        <v>218960000</v>
      </c>
      <c r="N241" s="366"/>
      <c r="O241" s="342">
        <f>O239+O240</f>
        <v>590240000</v>
      </c>
      <c r="P241" s="366"/>
      <c r="Q241" s="342">
        <f>Q239+Q240</f>
        <v>9520000</v>
      </c>
      <c r="R241" s="366"/>
      <c r="S241" s="342">
        <f>S239+S240</f>
        <v>95200000</v>
      </c>
      <c r="T241" s="366"/>
      <c r="U241" s="366"/>
      <c r="V241" s="342">
        <f>V239+V240</f>
        <v>913920000</v>
      </c>
      <c r="W241" s="366"/>
      <c r="X241" s="342" t="e">
        <f>X239+X240</f>
        <v>#REF!</v>
      </c>
      <c r="Y241" s="366"/>
      <c r="Z241" s="342">
        <f>Z239+Z240</f>
        <v>180880000</v>
      </c>
      <c r="AA241" s="366"/>
      <c r="AB241" s="342">
        <f>AB239+AB240</f>
        <v>161840000</v>
      </c>
      <c r="AC241" s="366"/>
      <c r="AD241" s="342">
        <f>AD239+AD240</f>
        <v>190400000</v>
      </c>
      <c r="AE241" s="366"/>
      <c r="AF241" s="342" t="e">
        <f>AF239+AF240</f>
        <v>#REF!</v>
      </c>
      <c r="AG241" s="366"/>
      <c r="AH241" s="342" t="e">
        <f>AH239+AH240</f>
        <v>#REF!</v>
      </c>
      <c r="AI241" s="366"/>
      <c r="AJ241" s="342">
        <f>AJ239+AJ240</f>
        <v>133280000</v>
      </c>
      <c r="AK241" s="366"/>
      <c r="AL241" s="342" t="e">
        <f>AL239+AL240</f>
        <v>#REF!</v>
      </c>
      <c r="AM241" s="366"/>
      <c r="AN241" s="342" t="e">
        <f>AN239+AN240</f>
        <v>#REF!</v>
      </c>
      <c r="AO241" s="15"/>
    </row>
    <row r="242" spans="2:41" s="13" customFormat="1" ht="30" customHeight="1">
      <c r="B242" s="14"/>
      <c r="C242" s="337"/>
      <c r="D242" s="338"/>
      <c r="E242" s="337"/>
      <c r="F242" s="352"/>
      <c r="G242" s="368" t="s">
        <v>629</v>
      </c>
      <c r="H242" s="365"/>
      <c r="I242" s="360" t="s">
        <v>175</v>
      </c>
      <c r="J242" s="366"/>
      <c r="K242" s="342" t="e">
        <f>+#REF!</f>
        <v>#REF!</v>
      </c>
      <c r="L242" s="366"/>
      <c r="M242" s="342" t="e">
        <f>+#REF!</f>
        <v>#REF!</v>
      </c>
      <c r="N242" s="366"/>
      <c r="O242" s="342" t="e">
        <f>+#REF!</f>
        <v>#REF!</v>
      </c>
      <c r="P242" s="366"/>
      <c r="Q242" s="342" t="e">
        <f>+#REF!</f>
        <v>#REF!</v>
      </c>
      <c r="R242" s="366"/>
      <c r="S242" s="342" t="e">
        <f>+#REF!</f>
        <v>#REF!</v>
      </c>
      <c r="T242" s="366"/>
      <c r="U242" s="366"/>
      <c r="V242" s="342" t="e">
        <f>+#REF!</f>
        <v>#REF!</v>
      </c>
      <c r="W242" s="366"/>
      <c r="X242" s="342" t="e">
        <f>+#REF!</f>
        <v>#REF!</v>
      </c>
      <c r="Y242" s="366"/>
      <c r="Z242" s="342" t="e">
        <f>+#REF!</f>
        <v>#REF!</v>
      </c>
      <c r="AA242" s="366"/>
      <c r="AB242" s="342" t="e">
        <f>+#REF!</f>
        <v>#REF!</v>
      </c>
      <c r="AC242" s="366"/>
      <c r="AD242" s="342" t="e">
        <f>+#REF!</f>
        <v>#REF!</v>
      </c>
      <c r="AE242" s="366"/>
      <c r="AF242" s="342" t="e">
        <f>+#REF!</f>
        <v>#REF!</v>
      </c>
      <c r="AG242" s="366"/>
      <c r="AH242" s="342">
        <v>3080000000</v>
      </c>
      <c r="AI242" s="366"/>
      <c r="AJ242" s="342" t="e">
        <f>+#REF!</f>
        <v>#REF!</v>
      </c>
      <c r="AK242" s="366"/>
      <c r="AL242" s="342" t="e">
        <f>+#REF!</f>
        <v>#REF!</v>
      </c>
      <c r="AM242" s="366"/>
      <c r="AN242" s="342">
        <f>AH242</f>
        <v>3080000000</v>
      </c>
      <c r="AO242" s="15"/>
    </row>
    <row r="243" spans="2:41" s="13" customFormat="1" ht="30" customHeight="1" thickBot="1">
      <c r="B243" s="14"/>
      <c r="C243" s="337"/>
      <c r="D243" s="338"/>
      <c r="E243" s="337"/>
      <c r="F243" s="352"/>
      <c r="G243" s="373" t="s">
        <v>630</v>
      </c>
      <c r="H243" s="374"/>
      <c r="I243" s="360" t="s">
        <v>175</v>
      </c>
      <c r="J243" s="375"/>
      <c r="K243" s="342" t="e">
        <f>+#REF!</f>
        <v>#REF!</v>
      </c>
      <c r="L243" s="375"/>
      <c r="M243" s="342" t="e">
        <f>+#REF!</f>
        <v>#REF!</v>
      </c>
      <c r="N243" s="375"/>
      <c r="O243" s="342" t="e">
        <f>+#REF!</f>
        <v>#REF!</v>
      </c>
      <c r="P243" s="375"/>
      <c r="Q243" s="342" t="e">
        <f>+#REF!</f>
        <v>#REF!</v>
      </c>
      <c r="R243" s="375"/>
      <c r="S243" s="342" t="e">
        <f>+#REF!</f>
        <v>#REF!</v>
      </c>
      <c r="T243" s="375"/>
      <c r="U243" s="375"/>
      <c r="V243" s="342" t="e">
        <f>+#REF!</f>
        <v>#REF!</v>
      </c>
      <c r="W243" s="375"/>
      <c r="X243" s="342" t="e">
        <f>+#REF!</f>
        <v>#REF!</v>
      </c>
      <c r="Y243" s="375"/>
      <c r="Z243" s="342" t="e">
        <f>+#REF!</f>
        <v>#REF!</v>
      </c>
      <c r="AA243" s="375"/>
      <c r="AB243" s="342" t="e">
        <f>+#REF!</f>
        <v>#REF!</v>
      </c>
      <c r="AC243" s="375"/>
      <c r="AD243" s="342" t="e">
        <f>+#REF!</f>
        <v>#REF!</v>
      </c>
      <c r="AE243" s="375"/>
      <c r="AF243" s="342" t="e">
        <f>+#REF!</f>
        <v>#REF!</v>
      </c>
      <c r="AG243" s="375"/>
      <c r="AH243" s="342" t="e">
        <f>ROUND(AH232*0.02,0)</f>
        <v>#REF!</v>
      </c>
      <c r="AI243" s="375"/>
      <c r="AJ243" s="342" t="e">
        <f>+#REF!</f>
        <v>#REF!</v>
      </c>
      <c r="AK243" s="375"/>
      <c r="AL243" s="342" t="e">
        <f>+#REF!</f>
        <v>#REF!</v>
      </c>
      <c r="AM243" s="375"/>
      <c r="AN243" s="342" t="e">
        <f>ROUND(AN232*0.02,0)</f>
        <v>#REF!</v>
      </c>
      <c r="AO243" s="16"/>
    </row>
    <row r="244" spans="2:41" s="13" customFormat="1" ht="30" customHeight="1" thickBot="1">
      <c r="B244" s="14"/>
      <c r="C244" s="337"/>
      <c r="D244" s="338"/>
      <c r="E244" s="337"/>
      <c r="F244" s="352"/>
      <c r="G244" s="376" t="s">
        <v>160</v>
      </c>
      <c r="H244" s="377"/>
      <c r="I244" s="379"/>
      <c r="J244" s="378"/>
      <c r="K244" s="334" t="e">
        <f>K238+K241+K242+K243</f>
        <v>#REF!</v>
      </c>
      <c r="L244" s="378"/>
      <c r="M244" s="334" t="e">
        <f>M238+M241+M242+M243</f>
        <v>#REF!</v>
      </c>
      <c r="N244" s="378"/>
      <c r="O244" s="334" t="e">
        <f>O238+O241+O242+O243</f>
        <v>#REF!</v>
      </c>
      <c r="P244" s="378"/>
      <c r="Q244" s="334" t="e">
        <f>Q238+Q241+Q242+Q243</f>
        <v>#REF!</v>
      </c>
      <c r="R244" s="378"/>
      <c r="S244" s="334" t="e">
        <f>S238+S241+S242+S243</f>
        <v>#REF!</v>
      </c>
      <c r="T244" s="378"/>
      <c r="U244" s="440"/>
      <c r="V244" s="334" t="e">
        <f>V238+V241+V242+V243</f>
        <v>#REF!</v>
      </c>
      <c r="W244" s="378"/>
      <c r="X244" s="334" t="e">
        <f>X238+X241+X242+X243</f>
        <v>#REF!</v>
      </c>
      <c r="Y244" s="378"/>
      <c r="Z244" s="334" t="e">
        <f>Z238+Z241+Z242+Z243</f>
        <v>#REF!</v>
      </c>
      <c r="AA244" s="378"/>
      <c r="AB244" s="334" t="e">
        <f>AB238+AB241+AB242+AB243</f>
        <v>#REF!</v>
      </c>
      <c r="AC244" s="378"/>
      <c r="AD244" s="334" t="e">
        <f>AD238+AD241+AD242+AD243</f>
        <v>#REF!</v>
      </c>
      <c r="AE244" s="378"/>
      <c r="AF244" s="334" t="e">
        <f>AF238+AF241+AF242+AF243</f>
        <v>#REF!</v>
      </c>
      <c r="AG244" s="378"/>
      <c r="AH244" s="334" t="e">
        <f>AH238+AH241+AH242+AH243</f>
        <v>#REF!</v>
      </c>
      <c r="AI244" s="378"/>
      <c r="AJ244" s="334" t="e">
        <f>AJ238+AJ241+AJ242+AJ243</f>
        <v>#REF!</v>
      </c>
      <c r="AK244" s="378"/>
      <c r="AL244" s="334" t="e">
        <f>AL238+AL241+AL242+AL243</f>
        <v>#REF!</v>
      </c>
      <c r="AM244" s="378"/>
      <c r="AN244" s="334" t="e">
        <f>AN238+AN241+AN242+AN243</f>
        <v>#REF!</v>
      </c>
      <c r="AO244" s="15"/>
    </row>
    <row r="245" spans="2:41" s="13" customFormat="1" ht="14.25" thickBot="1">
      <c r="B245" s="14"/>
      <c r="C245" s="22"/>
      <c r="D245" s="23"/>
      <c r="E245" s="23"/>
      <c r="F245" s="23"/>
      <c r="G245" s="22"/>
      <c r="H245" s="22"/>
      <c r="I245" s="25"/>
      <c r="J245" s="24"/>
      <c r="K245" s="26"/>
      <c r="L245" s="24"/>
      <c r="M245" s="26"/>
      <c r="N245" s="24"/>
      <c r="O245" s="26"/>
      <c r="P245" s="24"/>
      <c r="Q245" s="26"/>
      <c r="R245" s="24"/>
      <c r="S245" s="26"/>
      <c r="T245" s="24"/>
      <c r="U245" s="24"/>
      <c r="V245" s="26"/>
      <c r="W245" s="24"/>
      <c r="X245" s="26"/>
      <c r="Y245" s="24"/>
      <c r="Z245" s="26"/>
      <c r="AA245" s="24"/>
      <c r="AB245" s="26"/>
      <c r="AC245" s="24"/>
      <c r="AD245" s="26"/>
      <c r="AE245" s="24"/>
      <c r="AF245" s="26"/>
      <c r="AG245" s="24"/>
      <c r="AH245" s="26"/>
      <c r="AI245" s="24"/>
      <c r="AJ245" s="26"/>
      <c r="AK245" s="24"/>
      <c r="AL245" s="26"/>
      <c r="AM245" s="24"/>
      <c r="AN245" s="26"/>
      <c r="AO245" s="15"/>
    </row>
    <row r="246" spans="2:41" s="13" customFormat="1" ht="15.75">
      <c r="B246" s="14"/>
      <c r="C246" s="380" t="s">
        <v>309</v>
      </c>
      <c r="D246" s="381"/>
      <c r="E246" s="382"/>
      <c r="F246" s="1538"/>
      <c r="G246" s="1538"/>
      <c r="H246" s="1538"/>
      <c r="I246" s="1538"/>
      <c r="J246" s="1538"/>
      <c r="K246" s="1539"/>
      <c r="L246" s="433"/>
      <c r="M246" s="433"/>
      <c r="N246" s="433"/>
      <c r="O246" s="433"/>
      <c r="P246" s="433"/>
      <c r="Q246" s="433"/>
      <c r="R246" s="433"/>
      <c r="S246" s="433"/>
      <c r="T246" s="433"/>
      <c r="U246" s="433"/>
      <c r="V246" s="433"/>
      <c r="W246" s="433"/>
      <c r="X246" s="1418">
        <v>26600000000</v>
      </c>
      <c r="Y246" s="433"/>
      <c r="Z246" s="433"/>
      <c r="AA246" s="433"/>
      <c r="AB246" s="433"/>
      <c r="AC246" s="433"/>
      <c r="AD246" s="433"/>
      <c r="AE246" s="433"/>
      <c r="AF246" s="433"/>
      <c r="AG246" s="433"/>
      <c r="AH246" s="433"/>
      <c r="AI246" s="433"/>
      <c r="AJ246" s="433"/>
      <c r="AK246" s="433"/>
      <c r="AL246" s="433"/>
      <c r="AM246" s="433"/>
      <c r="AN246" s="433"/>
      <c r="AO246" s="17"/>
    </row>
    <row r="247" spans="2:41" s="13" customFormat="1" ht="79.5" customHeight="1">
      <c r="B247" s="14"/>
      <c r="C247" s="1489" t="s">
        <v>684</v>
      </c>
      <c r="D247" s="1490"/>
      <c r="E247" s="1490"/>
      <c r="F247" s="1490"/>
      <c r="G247" s="1490"/>
      <c r="H247" s="1498" t="s">
        <v>30</v>
      </c>
      <c r="I247" s="1498"/>
      <c r="J247" s="430"/>
      <c r="K247" s="383" t="s">
        <v>116</v>
      </c>
      <c r="L247" s="430"/>
      <c r="M247" s="383" t="s">
        <v>116</v>
      </c>
      <c r="N247" s="430"/>
      <c r="O247" s="383" t="s">
        <v>116</v>
      </c>
      <c r="P247" s="430"/>
      <c r="Q247" s="383" t="s">
        <v>116</v>
      </c>
      <c r="R247" s="430"/>
      <c r="S247" s="383" t="s">
        <v>116</v>
      </c>
      <c r="T247" s="430"/>
      <c r="U247" s="430"/>
      <c r="V247" s="383" t="s">
        <v>116</v>
      </c>
      <c r="W247" s="430"/>
      <c r="X247" s="383" t="s">
        <v>116</v>
      </c>
      <c r="Y247" s="430"/>
      <c r="Z247" s="383" t="s">
        <v>116</v>
      </c>
      <c r="AA247" s="430"/>
      <c r="AB247" s="383" t="s">
        <v>116</v>
      </c>
      <c r="AC247" s="430"/>
      <c r="AD247" s="383" t="s">
        <v>116</v>
      </c>
      <c r="AE247" s="430"/>
      <c r="AF247" s="383" t="s">
        <v>116</v>
      </c>
      <c r="AG247" s="430"/>
      <c r="AH247" s="383" t="s">
        <v>116</v>
      </c>
      <c r="AI247" s="430"/>
      <c r="AJ247" s="383" t="s">
        <v>116</v>
      </c>
      <c r="AK247" s="430"/>
      <c r="AL247" s="383" t="s">
        <v>116</v>
      </c>
      <c r="AM247" s="430"/>
      <c r="AN247" s="383" t="s">
        <v>116</v>
      </c>
      <c r="AO247" s="18"/>
    </row>
    <row r="248" spans="2:41" s="13" customFormat="1" ht="45.75" customHeight="1">
      <c r="B248" s="14"/>
      <c r="C248" s="1489" t="s">
        <v>685</v>
      </c>
      <c r="D248" s="1490"/>
      <c r="E248" s="1490"/>
      <c r="F248" s="1490"/>
      <c r="G248" s="1490"/>
      <c r="H248" s="426" t="s">
        <v>44</v>
      </c>
      <c r="I248" s="384" t="s">
        <v>117</v>
      </c>
      <c r="J248" s="431"/>
      <c r="K248" s="385">
        <v>0.22</v>
      </c>
      <c r="L248" s="431"/>
      <c r="M248" s="385">
        <v>0.22</v>
      </c>
      <c r="N248" s="431"/>
      <c r="O248" s="385">
        <v>0.22</v>
      </c>
      <c r="P248" s="431"/>
      <c r="Q248" s="385">
        <v>0.22</v>
      </c>
      <c r="R248" s="431"/>
      <c r="S248" s="385">
        <v>0.22</v>
      </c>
      <c r="T248" s="431"/>
      <c r="U248" s="431"/>
      <c r="V248" s="385">
        <v>0.22</v>
      </c>
      <c r="W248" s="431"/>
      <c r="X248" s="385">
        <v>0.22</v>
      </c>
      <c r="Y248" s="431"/>
      <c r="Z248" s="385">
        <v>0.22</v>
      </c>
      <c r="AA248" s="431"/>
      <c r="AB248" s="385">
        <v>0.22</v>
      </c>
      <c r="AC248" s="431"/>
      <c r="AD248" s="385">
        <v>0.22</v>
      </c>
      <c r="AE248" s="431"/>
      <c r="AF248" s="385">
        <v>0.22</v>
      </c>
      <c r="AG248" s="431"/>
      <c r="AH248" s="385">
        <v>0.22</v>
      </c>
      <c r="AI248" s="431"/>
      <c r="AJ248" s="385">
        <v>0.22</v>
      </c>
      <c r="AK248" s="431"/>
      <c r="AL248" s="385">
        <v>0.22</v>
      </c>
      <c r="AM248" s="431"/>
      <c r="AN248" s="385">
        <v>0.22</v>
      </c>
      <c r="AO248" s="18"/>
    </row>
    <row r="249" spans="2:41" s="13" customFormat="1" ht="46.5" customHeight="1">
      <c r="B249" s="14"/>
      <c r="C249" s="1489" t="s">
        <v>631</v>
      </c>
      <c r="D249" s="1490"/>
      <c r="E249" s="1490"/>
      <c r="F249" s="1490"/>
      <c r="G249" s="1490"/>
      <c r="H249" s="424" t="s">
        <v>632</v>
      </c>
      <c r="I249" s="384" t="s">
        <v>118</v>
      </c>
      <c r="J249" s="431"/>
      <c r="K249" s="385">
        <v>0.05</v>
      </c>
      <c r="L249" s="431"/>
      <c r="M249" s="385">
        <v>0.05</v>
      </c>
      <c r="N249" s="431"/>
      <c r="O249" s="385">
        <v>0.05</v>
      </c>
      <c r="P249" s="431"/>
      <c r="Q249" s="385">
        <v>0.05</v>
      </c>
      <c r="R249" s="431"/>
      <c r="S249" s="385">
        <v>0.05</v>
      </c>
      <c r="T249" s="431"/>
      <c r="U249" s="431"/>
      <c r="V249" s="385">
        <v>0.05</v>
      </c>
      <c r="W249" s="431"/>
      <c r="X249" s="385">
        <v>0.05</v>
      </c>
      <c r="Y249" s="431"/>
      <c r="Z249" s="385">
        <v>0.05</v>
      </c>
      <c r="AA249" s="431"/>
      <c r="AB249" s="385">
        <v>0.05</v>
      </c>
      <c r="AC249" s="431"/>
      <c r="AD249" s="385">
        <v>0.05</v>
      </c>
      <c r="AE249" s="431"/>
      <c r="AF249" s="385">
        <v>0.05</v>
      </c>
      <c r="AG249" s="431"/>
      <c r="AH249" s="385">
        <v>0.05</v>
      </c>
      <c r="AI249" s="431"/>
      <c r="AJ249" s="385">
        <v>0.05</v>
      </c>
      <c r="AK249" s="431"/>
      <c r="AL249" s="385">
        <v>0.05</v>
      </c>
      <c r="AM249" s="431"/>
      <c r="AN249" s="385">
        <v>0.05</v>
      </c>
      <c r="AO249" s="18"/>
    </row>
    <row r="250" spans="2:41" s="19" customFormat="1" ht="70.5" customHeight="1">
      <c r="B250" s="20"/>
      <c r="C250" s="1516" t="s">
        <v>633</v>
      </c>
      <c r="D250" s="1517"/>
      <c r="E250" s="1517"/>
      <c r="F250" s="1517"/>
      <c r="G250" s="1517"/>
      <c r="H250" s="425" t="s">
        <v>634</v>
      </c>
      <c r="I250" s="384" t="s">
        <v>119</v>
      </c>
      <c r="J250" s="431"/>
      <c r="K250" s="385">
        <v>0.05</v>
      </c>
      <c r="L250" s="431"/>
      <c r="M250" s="385">
        <v>0.05</v>
      </c>
      <c r="N250" s="431"/>
      <c r="O250" s="385">
        <v>0.05</v>
      </c>
      <c r="P250" s="431"/>
      <c r="Q250" s="385">
        <v>0.05</v>
      </c>
      <c r="R250" s="431"/>
      <c r="S250" s="385">
        <v>0.05</v>
      </c>
      <c r="T250" s="431"/>
      <c r="U250" s="431"/>
      <c r="V250" s="385">
        <v>0.05</v>
      </c>
      <c r="W250" s="431"/>
      <c r="X250" s="385">
        <v>0.05</v>
      </c>
      <c r="Y250" s="431"/>
      <c r="Z250" s="385">
        <v>0.05</v>
      </c>
      <c r="AA250" s="431"/>
      <c r="AB250" s="385">
        <v>0.05</v>
      </c>
      <c r="AC250" s="431"/>
      <c r="AD250" s="385">
        <v>0.05</v>
      </c>
      <c r="AE250" s="431"/>
      <c r="AF250" s="385">
        <v>0.05</v>
      </c>
      <c r="AG250" s="431"/>
      <c r="AH250" s="385">
        <v>0.05</v>
      </c>
      <c r="AI250" s="431"/>
      <c r="AJ250" s="385">
        <v>0.05</v>
      </c>
      <c r="AK250" s="431"/>
      <c r="AL250" s="385">
        <v>0.05</v>
      </c>
      <c r="AM250" s="431"/>
      <c r="AN250" s="385">
        <v>0.05</v>
      </c>
      <c r="AO250" s="21"/>
    </row>
    <row r="251" spans="2:41" ht="57.75" customHeight="1">
      <c r="B251" s="11"/>
      <c r="C251" s="1489" t="s">
        <v>635</v>
      </c>
      <c r="D251" s="1490"/>
      <c r="E251" s="1490"/>
      <c r="F251" s="1490"/>
      <c r="G251" s="1490"/>
      <c r="H251" s="426" t="s">
        <v>120</v>
      </c>
      <c r="I251" s="384" t="s">
        <v>121</v>
      </c>
      <c r="J251" s="431"/>
      <c r="K251" s="385">
        <v>0.32</v>
      </c>
      <c r="L251" s="431"/>
      <c r="M251" s="385">
        <v>0.32</v>
      </c>
      <c r="N251" s="431"/>
      <c r="O251" s="385">
        <v>0.32</v>
      </c>
      <c r="P251" s="431"/>
      <c r="Q251" s="385">
        <v>0.32</v>
      </c>
      <c r="R251" s="431"/>
      <c r="S251" s="385">
        <v>0.32</v>
      </c>
      <c r="T251" s="431"/>
      <c r="U251" s="431"/>
      <c r="V251" s="385">
        <v>0.32</v>
      </c>
      <c r="W251" s="431"/>
      <c r="X251" s="385">
        <v>0.32</v>
      </c>
      <c r="Y251" s="431"/>
      <c r="Z251" s="385">
        <v>0.32</v>
      </c>
      <c r="AA251" s="431"/>
      <c r="AB251" s="385">
        <v>0.32</v>
      </c>
      <c r="AC251" s="431"/>
      <c r="AD251" s="385">
        <v>0.32</v>
      </c>
      <c r="AE251" s="431"/>
      <c r="AF251" s="385">
        <v>0.32</v>
      </c>
      <c r="AG251" s="431"/>
      <c r="AH251" s="385">
        <v>0.32</v>
      </c>
      <c r="AI251" s="431"/>
      <c r="AJ251" s="385">
        <v>0.32</v>
      </c>
      <c r="AK251" s="431"/>
      <c r="AL251" s="385">
        <v>0.32</v>
      </c>
      <c r="AM251" s="431"/>
      <c r="AN251" s="385">
        <v>0.32</v>
      </c>
      <c r="AO251" s="12"/>
    </row>
    <row r="252" spans="2:41" ht="40.5" customHeight="1">
      <c r="B252" s="11"/>
      <c r="C252" s="1489" t="s">
        <v>636</v>
      </c>
      <c r="D252" s="1490"/>
      <c r="E252" s="1490"/>
      <c r="F252" s="1490"/>
      <c r="G252" s="1490"/>
      <c r="H252" s="1508" t="s">
        <v>637</v>
      </c>
      <c r="I252" s="1508"/>
      <c r="J252" s="1542"/>
      <c r="K252" s="1509"/>
      <c r="L252" s="434"/>
      <c r="M252" s="434"/>
      <c r="N252" s="434"/>
      <c r="O252" s="434"/>
      <c r="P252" s="434"/>
      <c r="Q252" s="434"/>
      <c r="R252" s="434"/>
      <c r="S252" s="434"/>
      <c r="T252" s="434"/>
      <c r="U252" s="434"/>
      <c r="V252" s="434"/>
      <c r="W252" s="434"/>
      <c r="X252" s="434"/>
      <c r="Y252" s="434"/>
      <c r="Z252" s="442"/>
      <c r="AA252" s="434"/>
      <c r="AB252" s="442"/>
      <c r="AC252" s="434"/>
      <c r="AD252" s="442" t="e">
        <f>AD244/2</f>
        <v>#REF!</v>
      </c>
      <c r="AE252" s="434"/>
      <c r="AF252" s="434"/>
      <c r="AG252" s="434"/>
      <c r="AH252" s="434"/>
      <c r="AI252" s="434"/>
      <c r="AJ252" s="434"/>
      <c r="AK252" s="434"/>
      <c r="AL252" s="434"/>
      <c r="AM252" s="434"/>
      <c r="AN252" s="434"/>
      <c r="AO252" s="12"/>
    </row>
    <row r="253" spans="2:41" ht="78.75" customHeight="1" thickBot="1">
      <c r="B253" s="11"/>
      <c r="C253" s="1512" t="s">
        <v>638</v>
      </c>
      <c r="D253" s="1513"/>
      <c r="E253" s="1513"/>
      <c r="F253" s="1513"/>
      <c r="G253" s="1513"/>
      <c r="H253" s="1510"/>
      <c r="I253" s="1510"/>
      <c r="J253" s="1543"/>
      <c r="K253" s="1511"/>
      <c r="L253" s="434"/>
      <c r="M253" s="434"/>
      <c r="N253" s="434"/>
      <c r="O253" s="434"/>
      <c r="P253" s="434"/>
      <c r="Q253" s="434"/>
      <c r="R253" s="434"/>
      <c r="S253" s="434"/>
      <c r="T253" s="434"/>
      <c r="U253" s="434"/>
      <c r="V253" s="434"/>
      <c r="W253" s="434"/>
      <c r="X253" s="434"/>
      <c r="Y253" s="434"/>
      <c r="Z253" s="442"/>
      <c r="AA253" s="434"/>
      <c r="AB253" s="442"/>
      <c r="AC253" s="434"/>
      <c r="AD253" s="442"/>
      <c r="AE253" s="434"/>
      <c r="AF253" s="434"/>
      <c r="AG253" s="434"/>
      <c r="AH253" s="434"/>
      <c r="AI253" s="434"/>
      <c r="AJ253" s="434"/>
      <c r="AK253" s="434"/>
      <c r="AL253" s="434"/>
      <c r="AM253" s="434"/>
      <c r="AN253" s="434"/>
      <c r="AO253" s="12"/>
    </row>
    <row r="254" spans="2:41" ht="17.25" thickBot="1">
      <c r="B254" s="27"/>
      <c r="C254" s="28"/>
      <c r="D254" s="28"/>
      <c r="E254" s="29"/>
      <c r="F254" s="28"/>
      <c r="G254" s="30"/>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c r="AN254" s="28"/>
      <c r="AO254" s="31"/>
    </row>
    <row r="255" spans="2:41" ht="17.25" thickTop="1"/>
    <row r="256" spans="2:41">
      <c r="J256" s="5" t="s">
        <v>767</v>
      </c>
      <c r="K256" s="464" t="e">
        <f>K244/K18</f>
        <v>#REF!</v>
      </c>
      <c r="M256" s="464" t="e">
        <f>M244/M18</f>
        <v>#REF!</v>
      </c>
      <c r="O256" s="464" t="e">
        <f>O244/O18</f>
        <v>#REF!</v>
      </c>
      <c r="Q256" s="464"/>
      <c r="S256" s="464" t="e">
        <f>S244/S18</f>
        <v>#REF!</v>
      </c>
      <c r="Z256" s="464" t="e">
        <f>Z244/Z18</f>
        <v>#REF!</v>
      </c>
      <c r="AB256" s="464" t="e">
        <f>AB244/AB18</f>
        <v>#REF!</v>
      </c>
      <c r="AD256" s="464" t="e">
        <f>AD244/AD18</f>
        <v>#REF!</v>
      </c>
      <c r="AJ256" s="464" t="e">
        <f>AJ244/AJ17</f>
        <v>#REF!</v>
      </c>
      <c r="AL256" s="464"/>
    </row>
    <row r="260" spans="28:43">
      <c r="AB260" s="5" t="s">
        <v>773</v>
      </c>
      <c r="AC260" s="5">
        <f>M18</f>
        <v>2.2999999999999998</v>
      </c>
    </row>
    <row r="261" spans="28:43">
      <c r="AB261" s="5" t="s">
        <v>774</v>
      </c>
      <c r="AK261" s="954"/>
      <c r="AL261" s="1556" t="s">
        <v>776</v>
      </c>
      <c r="AM261" s="1557"/>
      <c r="AN261" s="954"/>
      <c r="AO261" s="954"/>
      <c r="AP261" s="954"/>
      <c r="AQ261" s="954"/>
    </row>
    <row r="262" spans="28:43">
      <c r="AK262" s="954"/>
      <c r="AL262" s="954" t="s">
        <v>777</v>
      </c>
      <c r="AM262" s="954" t="s">
        <v>770</v>
      </c>
      <c r="AN262" s="954" t="s">
        <v>784</v>
      </c>
      <c r="AO262" s="954" t="s">
        <v>767</v>
      </c>
      <c r="AP262" s="954" t="s">
        <v>1335</v>
      </c>
      <c r="AQ262" s="954" t="s">
        <v>1336</v>
      </c>
    </row>
    <row r="263" spans="28:43">
      <c r="AK263" s="946" t="s">
        <v>778</v>
      </c>
      <c r="AL263" s="946"/>
      <c r="AM263" s="947">
        <f>K18-AJ17</f>
        <v>0.89999999999999991</v>
      </c>
      <c r="AN263" s="948" t="e">
        <f>K244-AJ244</f>
        <v>#REF!</v>
      </c>
      <c r="AO263" s="948" t="e">
        <f>AN263/AM263</f>
        <v>#REF!</v>
      </c>
      <c r="AP263" s="952">
        <v>9000000000</v>
      </c>
      <c r="AQ263" s="948" t="e">
        <f>AN263-AP263</f>
        <v>#REF!</v>
      </c>
    </row>
    <row r="264" spans="28:43">
      <c r="AK264" s="946" t="s">
        <v>779</v>
      </c>
      <c r="AL264" s="946">
        <f>M18</f>
        <v>2.2999999999999998</v>
      </c>
      <c r="AM264" s="946"/>
      <c r="AN264" s="949" t="e">
        <f>M244</f>
        <v>#REF!</v>
      </c>
      <c r="AO264" s="948" t="e">
        <f>AN264/AL264</f>
        <v>#REF!</v>
      </c>
      <c r="AP264" s="952">
        <v>5808000000</v>
      </c>
      <c r="AQ264" s="948" t="e">
        <f t="shared" ref="AQ264:AQ267" si="199">AN264-AP264</f>
        <v>#REF!</v>
      </c>
    </row>
    <row r="265" spans="28:43">
      <c r="AK265" s="946" t="s">
        <v>780</v>
      </c>
      <c r="AL265" s="946"/>
      <c r="AM265" s="947">
        <f>O18+Z18-AL17</f>
        <v>7.5</v>
      </c>
      <c r="AN265" s="948" t="e">
        <f>(O244+Z244)-AL244</f>
        <v>#REF!</v>
      </c>
      <c r="AO265" s="948" t="e">
        <f>AN265/AM265</f>
        <v>#REF!</v>
      </c>
      <c r="AP265" s="952">
        <v>75370000000</v>
      </c>
      <c r="AQ265" s="948" t="e">
        <f t="shared" si="199"/>
        <v>#REF!</v>
      </c>
    </row>
    <row r="266" spans="28:43">
      <c r="AK266" s="946" t="s">
        <v>781</v>
      </c>
      <c r="AL266" s="946"/>
      <c r="AM266" s="947">
        <f>AB18</f>
        <v>1.7</v>
      </c>
      <c r="AN266" s="948" t="e">
        <f>Q232+AB232</f>
        <v>#REF!</v>
      </c>
      <c r="AO266" s="948" t="e">
        <f>AN266/AM266</f>
        <v>#REF!</v>
      </c>
      <c r="AP266" s="952">
        <v>17530000000</v>
      </c>
      <c r="AQ266" s="948" t="e">
        <f t="shared" si="199"/>
        <v>#REF!</v>
      </c>
    </row>
    <row r="267" spans="28:43">
      <c r="AK267" s="946" t="s">
        <v>783</v>
      </c>
      <c r="AL267" s="946"/>
      <c r="AM267" s="947">
        <f>S18+AD18</f>
        <v>3</v>
      </c>
      <c r="AN267" s="948" t="e">
        <f>S244+AD244</f>
        <v>#REF!</v>
      </c>
      <c r="AO267" s="948" t="e">
        <f>AN267/AM267</f>
        <v>#REF!</v>
      </c>
      <c r="AP267" s="952">
        <v>30050000000</v>
      </c>
      <c r="AQ267" s="948" t="e">
        <f t="shared" si="199"/>
        <v>#REF!</v>
      </c>
    </row>
    <row r="268" spans="28:43">
      <c r="AM268" s="946" t="s">
        <v>1332</v>
      </c>
      <c r="AN268" s="948" t="e">
        <f>SUM(AN263:AN267)</f>
        <v>#REF!</v>
      </c>
    </row>
    <row r="269" spans="28:43" ht="66">
      <c r="AM269" s="953" t="s">
        <v>1333</v>
      </c>
      <c r="AN269" s="948" t="e">
        <f>X244</f>
        <v>#REF!</v>
      </c>
    </row>
    <row r="270" spans="28:43">
      <c r="AM270" s="953" t="s">
        <v>1334</v>
      </c>
      <c r="AN270" s="948" t="e">
        <f>AN268+AN269</f>
        <v>#REF!</v>
      </c>
    </row>
    <row r="271" spans="28:43" ht="38.25" customHeight="1">
      <c r="AM271" s="953" t="s">
        <v>1330</v>
      </c>
      <c r="AN271" s="948">
        <v>3080000000</v>
      </c>
    </row>
    <row r="272" spans="28:43">
      <c r="AM272" s="946" t="s">
        <v>1331</v>
      </c>
      <c r="AN272" s="948" t="e">
        <f>AN268*0.02</f>
        <v>#REF!</v>
      </c>
    </row>
  </sheetData>
  <autoFilter ref="AM1:AM272">
    <filterColumn colId="0">
      <filters blank="1">
        <filter val="0.90"/>
        <filter val="1,867.00"/>
        <filter val="1,981.92"/>
        <filter val="1.70"/>
        <filter val="10,330.00"/>
        <filter val="10,853.31"/>
        <filter val="11,411.66"/>
        <filter val="12,030.00"/>
        <filter val="12,033.12"/>
        <filter val="12,789.60"/>
        <filter val="133,968.00"/>
        <filter val="135.00"/>
        <filter val="14,068.87"/>
        <filter val="14,147.64"/>
        <filter val="16,268.55"/>
        <filter val="170,304.64"/>
        <filter val="178,809.32"/>
        <filter val="19,184.40"/>
        <filter val="19.00"/>
        <filter val="2,436.32"/>
        <filter val="2,787.00"/>
        <filter val="2,789.00"/>
        <filter val="3,677,852.80"/>
        <filter val="3.00"/>
        <filter val="31,862.16"/>
        <filter val="348,563.77"/>
        <filter val="35,040.00"/>
        <filter val="37.00"/>
        <filter val="376,601.65"/>
        <filter val="401,622.97"/>
        <filter val="41,069.66"/>
        <filter val="47.00"/>
        <filter val="5,106,031.41"/>
        <filter val="68.00"/>
        <filter val="7.50"/>
        <filter val="7.99"/>
        <filter val="746.03"/>
        <filter val="890.00"/>
        <filter val="96,831.15"/>
        <filter val="CANTIDAD TOTAL PROPUESTA INVIAS"/>
        <filter val="CONSTRUCCION"/>
        <filter val="MANTENIMIENTO H18E AL H36E CALCULADAS APROX TRAMOS FALTANTES"/>
        <filter val="SUBTOTAL"/>
        <filter val="TOTAL OBRAS"/>
        <filter val="VALOR PAGA"/>
        <filter val="VALOR PREDIAL SOCIAL"/>
      </filters>
    </filterColumn>
  </autoFilter>
  <mergeCells count="63">
    <mergeCell ref="AL261:AM261"/>
    <mergeCell ref="AM12:AM13"/>
    <mergeCell ref="AN12:AN13"/>
    <mergeCell ref="AH12:AH13"/>
    <mergeCell ref="AA12:AA13"/>
    <mergeCell ref="AB12:AB13"/>
    <mergeCell ref="AD12:AD13"/>
    <mergeCell ref="AE12:AE13"/>
    <mergeCell ref="AC12:AC13"/>
    <mergeCell ref="AF12:AF13"/>
    <mergeCell ref="AI12:AI13"/>
    <mergeCell ref="AJ12:AJ13"/>
    <mergeCell ref="AK12:AK13"/>
    <mergeCell ref="AL12:AL13"/>
    <mergeCell ref="T12:T13"/>
    <mergeCell ref="Y12:Y13"/>
    <mergeCell ref="Z12:Z13"/>
    <mergeCell ref="AG12:AG13"/>
    <mergeCell ref="S12:S13"/>
    <mergeCell ref="W12:W13"/>
    <mergeCell ref="X12:X13"/>
    <mergeCell ref="V12:V13"/>
    <mergeCell ref="L12:L13"/>
    <mergeCell ref="M12:M13"/>
    <mergeCell ref="R12:R13"/>
    <mergeCell ref="N12:N13"/>
    <mergeCell ref="O12:O13"/>
    <mergeCell ref="P12:P13"/>
    <mergeCell ref="Q12:Q13"/>
    <mergeCell ref="E200:F200"/>
    <mergeCell ref="C3:K3"/>
    <mergeCell ref="C4:K4"/>
    <mergeCell ref="C5:K5"/>
    <mergeCell ref="C6:K7"/>
    <mergeCell ref="C8:K8"/>
    <mergeCell ref="C9:K9"/>
    <mergeCell ref="J12:J13"/>
    <mergeCell ref="C11:K11"/>
    <mergeCell ref="C12:C13"/>
    <mergeCell ref="D12:D13"/>
    <mergeCell ref="E12:F12"/>
    <mergeCell ref="G12:G13"/>
    <mergeCell ref="H12:H13"/>
    <mergeCell ref="I12:I13"/>
    <mergeCell ref="E195:F195"/>
    <mergeCell ref="E196:F196"/>
    <mergeCell ref="E197:F197"/>
    <mergeCell ref="E198:F198"/>
    <mergeCell ref="E199:F199"/>
    <mergeCell ref="K12:K13"/>
    <mergeCell ref="H252:K253"/>
    <mergeCell ref="C253:G253"/>
    <mergeCell ref="C248:G248"/>
    <mergeCell ref="C249:G249"/>
    <mergeCell ref="C250:G250"/>
    <mergeCell ref="C251:G251"/>
    <mergeCell ref="C252:G252"/>
    <mergeCell ref="E201:F201"/>
    <mergeCell ref="E202:F202"/>
    <mergeCell ref="C232:I232"/>
    <mergeCell ref="F246:K246"/>
    <mergeCell ref="C247:G247"/>
    <mergeCell ref="H247:I247"/>
  </mergeCells>
  <pageMargins left="0.19685039370078741" right="0.19685039370078741" top="0.19685039370078741" bottom="0.19685039370078741" header="0.31496062992125984" footer="0.19685039370078741"/>
  <pageSetup scale="58" fitToWidth="8" fitToHeight="3" orientation="landscape" r:id="rId1"/>
  <rowBreaks count="1" manualBreakCount="1">
    <brk id="128" max="36"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DI192"/>
  <sheetViews>
    <sheetView view="pageBreakPreview" zoomScale="85" zoomScaleNormal="100" zoomScaleSheetLayoutView="85" workbookViewId="0">
      <pane xSplit="3" ySplit="6" topLeftCell="AU7" activePane="bottomRight" state="frozen"/>
      <selection activeCell="A214" sqref="A1:XFD1048576"/>
      <selection pane="topRight" activeCell="A214" sqref="A1:XFD1048576"/>
      <selection pane="bottomLeft" activeCell="A214" sqref="A1:XFD1048576"/>
      <selection pane="bottomRight" activeCell="DI1" sqref="DI1:DI5"/>
    </sheetView>
  </sheetViews>
  <sheetFormatPr baseColWidth="10" defaultColWidth="11.42578125" defaultRowHeight="15" outlineLevelCol="1"/>
  <cols>
    <col min="1" max="1" width="11.5703125" style="1182" bestFit="1" customWidth="1"/>
    <col min="2" max="2" width="53.7109375" style="1183" customWidth="1"/>
    <col min="3" max="3" width="13" style="1184" customWidth="1"/>
    <col min="4" max="9" width="11.5703125" style="1185" hidden="1" customWidth="1" outlineLevel="1"/>
    <col min="10" max="10" width="11.7109375" style="1185" hidden="1" customWidth="1" outlineLevel="1"/>
    <col min="11" max="22" width="11.5703125" style="1185" hidden="1" customWidth="1" outlineLevel="1"/>
    <col min="23" max="23" width="11.7109375" style="1185" bestFit="1" customWidth="1" collapsed="1"/>
    <col min="24" max="45" width="11.5703125" style="1186" customWidth="1" outlineLevel="1"/>
    <col min="46" max="46" width="11.5703125" style="1413" customWidth="1" outlineLevel="1"/>
    <col min="47" max="55" width="11.5703125" style="1186" customWidth="1" outlineLevel="1"/>
    <col min="56" max="56" width="13.28515625" style="1186" bestFit="1" customWidth="1"/>
    <col min="57" max="57" width="10.28515625" style="1187" hidden="1" customWidth="1" outlineLevel="1"/>
    <col min="58" max="58" width="9.28515625" style="1187" hidden="1" customWidth="1" outlineLevel="1"/>
    <col min="59" max="59" width="11.7109375" style="1187" hidden="1" customWidth="1" outlineLevel="1"/>
    <col min="60" max="61" width="9.42578125" style="1187" hidden="1" customWidth="1" outlineLevel="1"/>
    <col min="62" max="62" width="10.42578125" style="1187" hidden="1" customWidth="1" outlineLevel="1"/>
    <col min="63" max="63" width="9.42578125" style="1187" hidden="1" customWidth="1" outlineLevel="1"/>
    <col min="64" max="64" width="11.85546875" style="1187" hidden="1" customWidth="1" outlineLevel="1"/>
    <col min="65" max="65" width="10.42578125" style="1187" hidden="1" customWidth="1" outlineLevel="1"/>
    <col min="66" max="66" width="9.42578125" style="1187" hidden="1" customWidth="1" outlineLevel="1"/>
    <col min="67" max="67" width="11.85546875" style="1187" hidden="1" customWidth="1" outlineLevel="1"/>
    <col min="68" max="68" width="9.42578125" style="1187" hidden="1" customWidth="1" outlineLevel="1"/>
    <col min="69" max="71" width="9.28515625" style="1187" hidden="1" customWidth="1" outlineLevel="1"/>
    <col min="72" max="72" width="9.42578125" style="1187" hidden="1" customWidth="1" outlineLevel="1"/>
    <col min="73" max="73" width="11.85546875" style="1187" hidden="1" customWidth="1" outlineLevel="1"/>
    <col min="74" max="74" width="9.42578125" style="1187" hidden="1" customWidth="1" outlineLevel="1"/>
    <col min="75" max="75" width="10.42578125" style="1187" hidden="1" customWidth="1" outlineLevel="1"/>
    <col min="76" max="76" width="8.28515625" style="1187" hidden="1" customWidth="1" outlineLevel="1"/>
    <col min="77" max="79" width="9.42578125" style="1187" hidden="1" customWidth="1" outlineLevel="1"/>
    <col min="80" max="80" width="8.28515625" style="1187" hidden="1" customWidth="1" outlineLevel="1"/>
    <col min="81" max="81" width="10.42578125" style="1187" hidden="1" customWidth="1" outlineLevel="1"/>
    <col min="82" max="85" width="9.42578125" style="1185" hidden="1" customWidth="1" outlineLevel="1"/>
    <col min="86" max="87" width="10.42578125" style="1185" hidden="1" customWidth="1" outlineLevel="1"/>
    <col min="88" max="92" width="9.42578125" style="1185" hidden="1" customWidth="1" outlineLevel="1"/>
    <col min="93" max="94" width="10.42578125" style="1185" hidden="1" customWidth="1" outlineLevel="1"/>
    <col min="95" max="95" width="9.42578125" style="1185" hidden="1" customWidth="1" outlineLevel="1"/>
    <col min="96" max="96" width="11.7109375" style="1185" hidden="1" customWidth="1" outlineLevel="1"/>
    <col min="97" max="98" width="10.42578125" style="1185" hidden="1" customWidth="1" outlineLevel="1"/>
    <col min="99" max="99" width="9.42578125" style="1185" hidden="1" customWidth="1" outlineLevel="1"/>
    <col min="100" max="100" width="10.42578125" style="1185" hidden="1" customWidth="1" outlineLevel="1"/>
    <col min="101" max="101" width="11.7109375" style="1185" hidden="1" customWidth="1" outlineLevel="1"/>
    <col min="102" max="102" width="11.28515625" style="1185" hidden="1" customWidth="1" outlineLevel="1"/>
    <col min="103" max="103" width="9.42578125" style="957" hidden="1" customWidth="1" outlineLevel="1"/>
    <col min="104" max="104" width="11.7109375" style="1185" hidden="1" customWidth="1"/>
    <col min="105" max="105" width="13.42578125" style="1185" hidden="1" customWidth="1"/>
    <col min="106" max="112" width="0" style="1185" hidden="1" customWidth="1"/>
    <col min="113" max="113" width="15.140625" style="1186" customWidth="1"/>
    <col min="114" max="16384" width="11.42578125" style="1185"/>
  </cols>
  <sheetData>
    <row r="1" spans="1:113" s="956" customFormat="1" ht="15" customHeight="1">
      <c r="A1" s="1610" t="s">
        <v>29</v>
      </c>
      <c r="B1" s="1613" t="s">
        <v>785</v>
      </c>
      <c r="C1" s="1616" t="s">
        <v>786</v>
      </c>
      <c r="D1" s="1580" t="s">
        <v>788</v>
      </c>
      <c r="E1" s="1582"/>
      <c r="F1" s="1589" t="s">
        <v>1431</v>
      </c>
      <c r="G1" s="1619"/>
      <c r="H1" s="1590"/>
      <c r="I1" s="1589" t="s">
        <v>1432</v>
      </c>
      <c r="J1" s="1590"/>
      <c r="K1" s="1580" t="s">
        <v>790</v>
      </c>
      <c r="L1" s="1598"/>
      <c r="M1" s="1582"/>
      <c r="N1" s="1580" t="s">
        <v>1433</v>
      </c>
      <c r="O1" s="1581"/>
      <c r="P1" s="1582"/>
      <c r="Q1" s="1580" t="s">
        <v>791</v>
      </c>
      <c r="R1" s="1581"/>
      <c r="S1" s="1582"/>
      <c r="T1" s="1580" t="s">
        <v>1434</v>
      </c>
      <c r="U1" s="1581"/>
      <c r="V1" s="1582"/>
      <c r="W1" s="1577" t="s">
        <v>792</v>
      </c>
      <c r="X1" s="1593" t="s">
        <v>1023</v>
      </c>
      <c r="Y1" s="1595"/>
      <c r="Z1" s="1595"/>
      <c r="AA1" s="1594"/>
      <c r="AB1" s="1593" t="s">
        <v>1435</v>
      </c>
      <c r="AC1" s="1595"/>
      <c r="AD1" s="1594"/>
      <c r="AE1" s="1593" t="s">
        <v>1436</v>
      </c>
      <c r="AF1" s="1594"/>
      <c r="AG1" s="1593" t="s">
        <v>1437</v>
      </c>
      <c r="AH1" s="1594"/>
      <c r="AI1" s="1593" t="s">
        <v>1025</v>
      </c>
      <c r="AJ1" s="1595"/>
      <c r="AK1" s="1595"/>
      <c r="AL1" s="1595"/>
      <c r="AM1" s="1596"/>
      <c r="AN1" s="1596"/>
      <c r="AO1" s="1594"/>
      <c r="AP1" s="1593" t="s">
        <v>1438</v>
      </c>
      <c r="AQ1" s="1594"/>
      <c r="AR1" s="1593" t="s">
        <v>1026</v>
      </c>
      <c r="AS1" s="1595"/>
      <c r="AT1" s="1595"/>
      <c r="AU1" s="1594"/>
      <c r="AV1" s="1593" t="s">
        <v>1439</v>
      </c>
      <c r="AW1" s="1595"/>
      <c r="AX1" s="1594"/>
      <c r="AY1" s="1593" t="s">
        <v>1440</v>
      </c>
      <c r="AZ1" s="1594"/>
      <c r="BA1" s="1593" t="s">
        <v>1441</v>
      </c>
      <c r="BB1" s="1595"/>
      <c r="BC1" s="1594"/>
      <c r="BD1" s="1577" t="s">
        <v>1442</v>
      </c>
      <c r="BE1" s="1580" t="s">
        <v>1443</v>
      </c>
      <c r="BF1" s="1598"/>
      <c r="BG1" s="1582"/>
      <c r="BH1" s="1580" t="s">
        <v>796</v>
      </c>
      <c r="BI1" s="1581"/>
      <c r="BJ1" s="1581"/>
      <c r="BK1" s="1581"/>
      <c r="BL1" s="1582"/>
      <c r="BM1" s="1580" t="s">
        <v>797</v>
      </c>
      <c r="BN1" s="1598"/>
      <c r="BO1" s="1582"/>
      <c r="BP1" s="1600" t="s">
        <v>798</v>
      </c>
      <c r="BQ1" s="1601"/>
      <c r="BR1" s="1601"/>
      <c r="BS1" s="1601"/>
      <c r="BT1" s="1601"/>
      <c r="BU1" s="1602"/>
      <c r="BV1" s="1593" t="s">
        <v>1444</v>
      </c>
      <c r="BW1" s="1595"/>
      <c r="BX1" s="1595"/>
      <c r="BY1" s="1595"/>
      <c r="BZ1" s="1595"/>
      <c r="CA1" s="1595"/>
      <c r="CB1" s="1595"/>
      <c r="CC1" s="1594"/>
      <c r="CD1" s="1580" t="s">
        <v>799</v>
      </c>
      <c r="CE1" s="1581"/>
      <c r="CF1" s="1581"/>
      <c r="CG1" s="1581"/>
      <c r="CH1" s="1582"/>
      <c r="CI1" s="1580" t="s">
        <v>1445</v>
      </c>
      <c r="CJ1" s="1581"/>
      <c r="CK1" s="1581"/>
      <c r="CL1" s="1581"/>
      <c r="CM1" s="1581"/>
      <c r="CN1" s="1581"/>
      <c r="CO1" s="1582"/>
      <c r="CP1" s="1581" t="s">
        <v>1446</v>
      </c>
      <c r="CQ1" s="1581"/>
      <c r="CR1" s="1582"/>
      <c r="CS1" s="1580" t="s">
        <v>1447</v>
      </c>
      <c r="CT1" s="1581"/>
      <c r="CU1" s="1581"/>
      <c r="CV1" s="1581"/>
      <c r="CW1" s="1582"/>
      <c r="CX1" s="1580" t="s">
        <v>1448</v>
      </c>
      <c r="CY1" s="1582"/>
      <c r="CZ1" s="1583" t="s">
        <v>802</v>
      </c>
      <c r="DA1" s="1586" t="s">
        <v>1449</v>
      </c>
      <c r="DI1" s="1577" t="s">
        <v>1472</v>
      </c>
    </row>
    <row r="2" spans="1:113" s="957" customFormat="1" ht="15" customHeight="1">
      <c r="A2" s="1611"/>
      <c r="B2" s="1614"/>
      <c r="C2" s="1617"/>
      <c r="D2" s="1570"/>
      <c r="E2" s="1572"/>
      <c r="F2" s="1591"/>
      <c r="G2" s="1620"/>
      <c r="H2" s="1592"/>
      <c r="I2" s="1591"/>
      <c r="J2" s="1592"/>
      <c r="K2" s="1570"/>
      <c r="L2" s="1576"/>
      <c r="M2" s="1572"/>
      <c r="N2" s="1570"/>
      <c r="O2" s="1571"/>
      <c r="P2" s="1572"/>
      <c r="Q2" s="1570"/>
      <c r="R2" s="1571"/>
      <c r="S2" s="1572"/>
      <c r="T2" s="1570"/>
      <c r="U2" s="1571"/>
      <c r="V2" s="1572"/>
      <c r="W2" s="1578"/>
      <c r="X2" s="1573"/>
      <c r="Y2" s="1574"/>
      <c r="Z2" s="1574"/>
      <c r="AA2" s="1568"/>
      <c r="AB2" s="1573"/>
      <c r="AC2" s="1574"/>
      <c r="AD2" s="1568"/>
      <c r="AE2" s="1573"/>
      <c r="AF2" s="1568"/>
      <c r="AG2" s="1573"/>
      <c r="AH2" s="1568"/>
      <c r="AI2" s="1573"/>
      <c r="AJ2" s="1574"/>
      <c r="AK2" s="1574"/>
      <c r="AL2" s="1574"/>
      <c r="AM2" s="1597"/>
      <c r="AN2" s="1597"/>
      <c r="AO2" s="1568"/>
      <c r="AP2" s="1573"/>
      <c r="AQ2" s="1568"/>
      <c r="AR2" s="1573"/>
      <c r="AS2" s="1574"/>
      <c r="AT2" s="1574"/>
      <c r="AU2" s="1568"/>
      <c r="AV2" s="1573"/>
      <c r="AW2" s="1574"/>
      <c r="AX2" s="1568"/>
      <c r="AY2" s="1573"/>
      <c r="AZ2" s="1568"/>
      <c r="BA2" s="1573"/>
      <c r="BB2" s="1574"/>
      <c r="BC2" s="1568"/>
      <c r="BD2" s="1578"/>
      <c r="BE2" s="1570"/>
      <c r="BF2" s="1576"/>
      <c r="BG2" s="1572"/>
      <c r="BH2" s="1570"/>
      <c r="BI2" s="1571"/>
      <c r="BJ2" s="1571"/>
      <c r="BK2" s="1571"/>
      <c r="BL2" s="1572"/>
      <c r="BM2" s="1570"/>
      <c r="BN2" s="1576"/>
      <c r="BO2" s="1572"/>
      <c r="BP2" s="1603"/>
      <c r="BQ2" s="1604"/>
      <c r="BR2" s="1604"/>
      <c r="BS2" s="1604"/>
      <c r="BT2" s="1604"/>
      <c r="BU2" s="1605"/>
      <c r="BV2" s="1573"/>
      <c r="BW2" s="1574"/>
      <c r="BX2" s="1574"/>
      <c r="BY2" s="1574"/>
      <c r="BZ2" s="1574"/>
      <c r="CA2" s="1574"/>
      <c r="CB2" s="1574"/>
      <c r="CC2" s="1568"/>
      <c r="CD2" s="1570"/>
      <c r="CE2" s="1571"/>
      <c r="CF2" s="1571"/>
      <c r="CG2" s="1571"/>
      <c r="CH2" s="1572"/>
      <c r="CI2" s="1570"/>
      <c r="CJ2" s="1571"/>
      <c r="CK2" s="1571"/>
      <c r="CL2" s="1571"/>
      <c r="CM2" s="1571"/>
      <c r="CN2" s="1571"/>
      <c r="CO2" s="1572"/>
      <c r="CP2" s="1571"/>
      <c r="CQ2" s="1571"/>
      <c r="CR2" s="1572"/>
      <c r="CS2" s="1570"/>
      <c r="CT2" s="1571"/>
      <c r="CU2" s="1571"/>
      <c r="CV2" s="1571"/>
      <c r="CW2" s="1572"/>
      <c r="CX2" s="1570"/>
      <c r="CY2" s="1572"/>
      <c r="CZ2" s="1584"/>
      <c r="DA2" s="1587"/>
      <c r="DI2" s="1578"/>
    </row>
    <row r="3" spans="1:113" s="957" customFormat="1" ht="25.5" customHeight="1">
      <c r="A3" s="1611"/>
      <c r="B3" s="1614"/>
      <c r="C3" s="1617"/>
      <c r="D3" s="958" t="s">
        <v>807</v>
      </c>
      <c r="E3" s="1568" t="s">
        <v>809</v>
      </c>
      <c r="F3" s="1570" t="s">
        <v>807</v>
      </c>
      <c r="G3" s="1571"/>
      <c r="H3" s="1568" t="s">
        <v>808</v>
      </c>
      <c r="I3" s="958" t="s">
        <v>807</v>
      </c>
      <c r="J3" s="1568" t="s">
        <v>809</v>
      </c>
      <c r="K3" s="1575" t="s">
        <v>807</v>
      </c>
      <c r="L3" s="1621"/>
      <c r="M3" s="1568" t="s">
        <v>808</v>
      </c>
      <c r="N3" s="1570" t="s">
        <v>807</v>
      </c>
      <c r="O3" s="1571"/>
      <c r="P3" s="1568" t="s">
        <v>808</v>
      </c>
      <c r="Q3" s="1570" t="s">
        <v>807</v>
      </c>
      <c r="R3" s="1571"/>
      <c r="S3" s="1568" t="s">
        <v>808</v>
      </c>
      <c r="T3" s="1570" t="s">
        <v>807</v>
      </c>
      <c r="U3" s="1571"/>
      <c r="V3" s="1568" t="s">
        <v>808</v>
      </c>
      <c r="W3" s="1578"/>
      <c r="X3" s="1573" t="s">
        <v>807</v>
      </c>
      <c r="Y3" s="1574"/>
      <c r="Z3" s="1574"/>
      <c r="AA3" s="1568" t="s">
        <v>808</v>
      </c>
      <c r="AB3" s="1573" t="s">
        <v>807</v>
      </c>
      <c r="AC3" s="1574"/>
      <c r="AD3" s="1568" t="s">
        <v>808</v>
      </c>
      <c r="AE3" s="959" t="s">
        <v>807</v>
      </c>
      <c r="AF3" s="1568" t="s">
        <v>808</v>
      </c>
      <c r="AG3" s="959" t="s">
        <v>807</v>
      </c>
      <c r="AH3" s="1568" t="s">
        <v>808</v>
      </c>
      <c r="AI3" s="1573" t="s">
        <v>807</v>
      </c>
      <c r="AJ3" s="1574"/>
      <c r="AK3" s="1574"/>
      <c r="AL3" s="1574"/>
      <c r="AM3" s="960" t="s">
        <v>1450</v>
      </c>
      <c r="AN3" s="960" t="s">
        <v>1451</v>
      </c>
      <c r="AO3" s="1568" t="s">
        <v>808</v>
      </c>
      <c r="AP3" s="959" t="s">
        <v>807</v>
      </c>
      <c r="AQ3" s="1568" t="s">
        <v>808</v>
      </c>
      <c r="AR3" s="1573" t="s">
        <v>807</v>
      </c>
      <c r="AS3" s="1574"/>
      <c r="AT3" s="1574"/>
      <c r="AU3" s="1568" t="s">
        <v>808</v>
      </c>
      <c r="AV3" s="1573" t="s">
        <v>807</v>
      </c>
      <c r="AW3" s="1574"/>
      <c r="AX3" s="1568" t="s">
        <v>808</v>
      </c>
      <c r="AY3" s="959" t="s">
        <v>807</v>
      </c>
      <c r="AZ3" s="1568" t="s">
        <v>808</v>
      </c>
      <c r="BA3" s="1573" t="s">
        <v>807</v>
      </c>
      <c r="BB3" s="1574"/>
      <c r="BC3" s="1568" t="s">
        <v>808</v>
      </c>
      <c r="BD3" s="1578"/>
      <c r="BE3" s="1606" t="s">
        <v>1452</v>
      </c>
      <c r="BF3" s="1608" t="s">
        <v>1452</v>
      </c>
      <c r="BG3" s="1568" t="s">
        <v>808</v>
      </c>
      <c r="BH3" s="1570" t="s">
        <v>807</v>
      </c>
      <c r="BI3" s="1571"/>
      <c r="BJ3" s="1571"/>
      <c r="BK3" s="1571"/>
      <c r="BL3" s="1568" t="s">
        <v>808</v>
      </c>
      <c r="BM3" s="1575" t="s">
        <v>807</v>
      </c>
      <c r="BN3" s="1576"/>
      <c r="BO3" s="1568" t="s">
        <v>808</v>
      </c>
      <c r="BP3" s="1570" t="s">
        <v>807</v>
      </c>
      <c r="BQ3" s="1571"/>
      <c r="BR3" s="1571"/>
      <c r="BS3" s="1571"/>
      <c r="BT3" s="1571"/>
      <c r="BU3" s="1568" t="s">
        <v>808</v>
      </c>
      <c r="BV3" s="1570" t="s">
        <v>807</v>
      </c>
      <c r="BW3" s="1571"/>
      <c r="BX3" s="1571"/>
      <c r="BY3" s="1571"/>
      <c r="BZ3" s="1571"/>
      <c r="CA3" s="1571"/>
      <c r="CB3" s="1571"/>
      <c r="CC3" s="1568" t="s">
        <v>808</v>
      </c>
      <c r="CD3" s="1570" t="s">
        <v>807</v>
      </c>
      <c r="CE3" s="1571"/>
      <c r="CF3" s="1571"/>
      <c r="CG3" s="1571"/>
      <c r="CH3" s="1568" t="s">
        <v>809</v>
      </c>
      <c r="CI3" s="1573" t="s">
        <v>807</v>
      </c>
      <c r="CJ3" s="1574"/>
      <c r="CK3" s="1574"/>
      <c r="CL3" s="1574"/>
      <c r="CM3" s="1574"/>
      <c r="CN3" s="1574"/>
      <c r="CO3" s="1568" t="s">
        <v>808</v>
      </c>
      <c r="CP3" s="1571"/>
      <c r="CQ3" s="1571"/>
      <c r="CR3" s="1568" t="s">
        <v>808</v>
      </c>
      <c r="CS3" s="1570"/>
      <c r="CT3" s="1571"/>
      <c r="CU3" s="1571"/>
      <c r="CV3" s="1571"/>
      <c r="CW3" s="1568" t="s">
        <v>808</v>
      </c>
      <c r="CX3" s="958" t="s">
        <v>807</v>
      </c>
      <c r="CY3" s="1568" t="s">
        <v>808</v>
      </c>
      <c r="CZ3" s="1584"/>
      <c r="DA3" s="1587"/>
      <c r="DI3" s="1578"/>
    </row>
    <row r="4" spans="1:113" s="974" customFormat="1" ht="15" customHeight="1">
      <c r="A4" s="1611"/>
      <c r="B4" s="1614"/>
      <c r="C4" s="1617"/>
      <c r="D4" s="961">
        <v>123910</v>
      </c>
      <c r="E4" s="1568"/>
      <c r="F4" s="962">
        <v>124328</v>
      </c>
      <c r="G4" s="963">
        <v>125860</v>
      </c>
      <c r="H4" s="1568"/>
      <c r="I4" s="962">
        <v>0</v>
      </c>
      <c r="J4" s="1568"/>
      <c r="K4" s="964">
        <v>11170</v>
      </c>
      <c r="L4" s="965">
        <v>19000</v>
      </c>
      <c r="M4" s="1568"/>
      <c r="N4" s="962">
        <v>10000</v>
      </c>
      <c r="O4" s="963">
        <v>17500</v>
      </c>
      <c r="P4" s="1568"/>
      <c r="Q4" s="964">
        <v>41595</v>
      </c>
      <c r="R4" s="966">
        <v>45000</v>
      </c>
      <c r="S4" s="1572"/>
      <c r="T4" s="962">
        <v>40000</v>
      </c>
      <c r="U4" s="963">
        <v>45000</v>
      </c>
      <c r="V4" s="1572"/>
      <c r="W4" s="1578"/>
      <c r="X4" s="967">
        <v>30470</v>
      </c>
      <c r="Y4" s="968">
        <v>31896</v>
      </c>
      <c r="Z4" s="1405">
        <v>38660</v>
      </c>
      <c r="AA4" s="1572"/>
      <c r="AB4" s="970">
        <v>30436</v>
      </c>
      <c r="AC4" s="971">
        <v>38600</v>
      </c>
      <c r="AD4" s="1572"/>
      <c r="AE4" s="970">
        <v>40100</v>
      </c>
      <c r="AF4" s="1572"/>
      <c r="AG4" s="970">
        <v>50200</v>
      </c>
      <c r="AH4" s="1572"/>
      <c r="AI4" s="970">
        <v>61360</v>
      </c>
      <c r="AJ4" s="968">
        <v>65737</v>
      </c>
      <c r="AK4" s="968">
        <v>66580</v>
      </c>
      <c r="AL4" s="968">
        <v>67578</v>
      </c>
      <c r="AM4" s="972">
        <v>58913.13</v>
      </c>
      <c r="AN4" s="972">
        <v>60495.7</v>
      </c>
      <c r="AO4" s="1572"/>
      <c r="AP4" s="970">
        <v>60200</v>
      </c>
      <c r="AQ4" s="1572"/>
      <c r="AR4" s="967">
        <v>72660</v>
      </c>
      <c r="AS4" s="969">
        <v>79994</v>
      </c>
      <c r="AT4" s="971">
        <v>83424</v>
      </c>
      <c r="AU4" s="1572"/>
      <c r="AV4" s="967">
        <v>70200</v>
      </c>
      <c r="AW4" s="968">
        <v>72540</v>
      </c>
      <c r="AX4" s="1572"/>
      <c r="AY4" s="970">
        <v>86420</v>
      </c>
      <c r="AZ4" s="1572"/>
      <c r="BA4" s="967">
        <v>83427</v>
      </c>
      <c r="BB4" s="968">
        <v>87727</v>
      </c>
      <c r="BC4" s="1572"/>
      <c r="BD4" s="1578"/>
      <c r="BE4" s="1607"/>
      <c r="BF4" s="1609"/>
      <c r="BG4" s="1568"/>
      <c r="BH4" s="964">
        <v>7210</v>
      </c>
      <c r="BI4" s="963">
        <v>7980</v>
      </c>
      <c r="BJ4" s="963">
        <v>8200</v>
      </c>
      <c r="BK4" s="963">
        <v>9200</v>
      </c>
      <c r="BL4" s="1568"/>
      <c r="BM4" s="962">
        <v>8000</v>
      </c>
      <c r="BN4" s="963">
        <v>9200</v>
      </c>
      <c r="BO4" s="1568"/>
      <c r="BP4" s="961">
        <v>22000</v>
      </c>
      <c r="BQ4" s="963">
        <v>27780</v>
      </c>
      <c r="BR4" s="966">
        <v>28600</v>
      </c>
      <c r="BS4" s="963">
        <v>29216</v>
      </c>
      <c r="BT4" s="963">
        <v>30300</v>
      </c>
      <c r="BU4" s="1568"/>
      <c r="BV4" s="964">
        <v>32080</v>
      </c>
      <c r="BW4" s="966">
        <v>32240</v>
      </c>
      <c r="BX4" s="966">
        <v>32770</v>
      </c>
      <c r="BY4" s="963">
        <v>35160</v>
      </c>
      <c r="BZ4" s="963">
        <v>35430</v>
      </c>
      <c r="CA4" s="963">
        <v>36300</v>
      </c>
      <c r="CB4" s="963">
        <v>36630</v>
      </c>
      <c r="CC4" s="1568"/>
      <c r="CD4" s="961">
        <v>27620</v>
      </c>
      <c r="CE4" s="973">
        <v>31950</v>
      </c>
      <c r="CF4" s="973">
        <v>32280</v>
      </c>
      <c r="CG4" s="973">
        <v>32400</v>
      </c>
      <c r="CH4" s="1568"/>
      <c r="CI4" s="961">
        <v>56550</v>
      </c>
      <c r="CJ4" s="973">
        <f>+CI5</f>
        <v>57160</v>
      </c>
      <c r="CK4" s="973">
        <f>+CJ5</f>
        <v>57250</v>
      </c>
      <c r="CL4" s="973">
        <f>+CK5</f>
        <v>57960</v>
      </c>
      <c r="CM4" s="973">
        <f>+CL5</f>
        <v>58220</v>
      </c>
      <c r="CN4" s="973">
        <v>64340</v>
      </c>
      <c r="CO4" s="1568"/>
      <c r="CP4" s="973">
        <v>56570</v>
      </c>
      <c r="CQ4" s="973">
        <v>64800</v>
      </c>
      <c r="CR4" s="1568"/>
      <c r="CS4" s="961">
        <v>67044</v>
      </c>
      <c r="CT4" s="973">
        <v>68761</v>
      </c>
      <c r="CU4" s="973">
        <v>69569</v>
      </c>
      <c r="CV4" s="973">
        <v>69695</v>
      </c>
      <c r="CW4" s="1568"/>
      <c r="CX4" s="961">
        <v>66000</v>
      </c>
      <c r="CY4" s="1568"/>
      <c r="CZ4" s="1584"/>
      <c r="DA4" s="1587"/>
      <c r="DI4" s="1578"/>
    </row>
    <row r="5" spans="1:113" s="974" customFormat="1" ht="15" customHeight="1">
      <c r="A5" s="1612"/>
      <c r="B5" s="1615"/>
      <c r="C5" s="1618"/>
      <c r="D5" s="975"/>
      <c r="E5" s="1569"/>
      <c r="F5" s="976">
        <v>125700</v>
      </c>
      <c r="G5" s="977">
        <v>134456</v>
      </c>
      <c r="H5" s="1569"/>
      <c r="I5" s="976">
        <v>10000</v>
      </c>
      <c r="J5" s="1569"/>
      <c r="K5" s="978">
        <v>11803</v>
      </c>
      <c r="L5" s="979">
        <v>19350</v>
      </c>
      <c r="M5" s="1569"/>
      <c r="N5" s="976">
        <v>12274</v>
      </c>
      <c r="O5" s="977">
        <v>19480</v>
      </c>
      <c r="P5" s="1569"/>
      <c r="Q5" s="978">
        <v>42500</v>
      </c>
      <c r="R5" s="980">
        <v>47030</v>
      </c>
      <c r="S5" s="1599"/>
      <c r="T5" s="976">
        <v>40870</v>
      </c>
      <c r="U5" s="977">
        <v>47030</v>
      </c>
      <c r="V5" s="1599"/>
      <c r="W5" s="1579"/>
      <c r="X5" s="967">
        <v>30537</v>
      </c>
      <c r="Y5" s="968">
        <v>32080</v>
      </c>
      <c r="Z5" s="971">
        <v>39200</v>
      </c>
      <c r="AA5" s="1572"/>
      <c r="AB5" s="970">
        <v>32055</v>
      </c>
      <c r="AC5" s="971">
        <v>40100</v>
      </c>
      <c r="AD5" s="1572"/>
      <c r="AE5" s="970">
        <v>50200</v>
      </c>
      <c r="AF5" s="1572"/>
      <c r="AG5" s="970">
        <v>60200</v>
      </c>
      <c r="AH5" s="1572"/>
      <c r="AI5" s="970">
        <v>63227</v>
      </c>
      <c r="AJ5" s="968">
        <v>66000</v>
      </c>
      <c r="AK5" s="968">
        <v>67552</v>
      </c>
      <c r="AL5" s="968">
        <v>70270</v>
      </c>
      <c r="AM5" s="972">
        <v>59063.13</v>
      </c>
      <c r="AN5" s="972">
        <v>60507.7</v>
      </c>
      <c r="AO5" s="1572"/>
      <c r="AP5" s="970">
        <v>70200</v>
      </c>
      <c r="AQ5" s="1572"/>
      <c r="AR5" s="967">
        <v>74553</v>
      </c>
      <c r="AS5" s="968">
        <v>82146</v>
      </c>
      <c r="AT5" s="971">
        <v>84285</v>
      </c>
      <c r="AU5" s="1572"/>
      <c r="AV5" s="967">
        <v>70260</v>
      </c>
      <c r="AW5" s="968">
        <v>79166</v>
      </c>
      <c r="AX5" s="1572"/>
      <c r="AY5" s="970">
        <v>86960</v>
      </c>
      <c r="AZ5" s="1572"/>
      <c r="BA5" s="967">
        <v>86900</v>
      </c>
      <c r="BB5" s="968">
        <v>89700</v>
      </c>
      <c r="BC5" s="1572"/>
      <c r="BD5" s="1579"/>
      <c r="BE5" s="976">
        <v>3210</v>
      </c>
      <c r="BF5" s="977">
        <v>6570</v>
      </c>
      <c r="BG5" s="1569"/>
      <c r="BH5" s="978">
        <v>7980</v>
      </c>
      <c r="BI5" s="977">
        <v>8200</v>
      </c>
      <c r="BJ5" s="977">
        <v>9200</v>
      </c>
      <c r="BK5" s="977">
        <v>9400</v>
      </c>
      <c r="BL5" s="1569"/>
      <c r="BM5" s="976">
        <v>9200</v>
      </c>
      <c r="BN5" s="977">
        <v>9400</v>
      </c>
      <c r="BO5" s="1569"/>
      <c r="BP5" s="961">
        <v>26120</v>
      </c>
      <c r="BQ5" s="963">
        <v>28390</v>
      </c>
      <c r="BR5" s="966">
        <v>28240</v>
      </c>
      <c r="BS5" s="963">
        <v>30300</v>
      </c>
      <c r="BT5" s="963">
        <v>30780</v>
      </c>
      <c r="BU5" s="1569"/>
      <c r="BV5" s="964">
        <v>32240</v>
      </c>
      <c r="BW5" s="966">
        <v>32770</v>
      </c>
      <c r="BX5" s="966">
        <v>35160</v>
      </c>
      <c r="BY5" s="963">
        <v>35430</v>
      </c>
      <c r="BZ5" s="963">
        <v>36300</v>
      </c>
      <c r="CA5" s="963">
        <v>36630</v>
      </c>
      <c r="CB5" s="963">
        <v>37110</v>
      </c>
      <c r="CC5" s="1568"/>
      <c r="CD5" s="961">
        <v>27680</v>
      </c>
      <c r="CE5" s="973">
        <v>32280</v>
      </c>
      <c r="CF5" s="973">
        <v>32400</v>
      </c>
      <c r="CG5" s="973">
        <v>32520</v>
      </c>
      <c r="CH5" s="1568"/>
      <c r="CI5" s="961">
        <v>57160</v>
      </c>
      <c r="CJ5" s="973">
        <v>57250</v>
      </c>
      <c r="CK5" s="973">
        <v>57960</v>
      </c>
      <c r="CL5" s="973">
        <v>58220</v>
      </c>
      <c r="CM5" s="973">
        <v>60320</v>
      </c>
      <c r="CN5" s="973">
        <v>65995.42</v>
      </c>
      <c r="CO5" s="1568"/>
      <c r="CP5" s="973">
        <v>57200</v>
      </c>
      <c r="CQ5" s="973">
        <v>65180</v>
      </c>
      <c r="CR5" s="1568"/>
      <c r="CS5" s="961">
        <v>68271</v>
      </c>
      <c r="CT5" s="973">
        <v>69569</v>
      </c>
      <c r="CU5" s="973">
        <v>69695</v>
      </c>
      <c r="CV5" s="973">
        <v>70250</v>
      </c>
      <c r="CW5" s="1568"/>
      <c r="CX5" s="961">
        <v>66240</v>
      </c>
      <c r="CY5" s="1568"/>
      <c r="CZ5" s="1585"/>
      <c r="DA5" s="1588"/>
      <c r="DI5" s="1579"/>
    </row>
    <row r="6" spans="1:113" s="974" customFormat="1" ht="15" customHeight="1">
      <c r="A6" s="981"/>
      <c r="B6" s="982" t="s">
        <v>811</v>
      </c>
      <c r="C6" s="983"/>
      <c r="D6" s="984" t="s">
        <v>1453</v>
      </c>
      <c r="E6" s="985"/>
      <c r="F6" s="984" t="s">
        <v>1453</v>
      </c>
      <c r="G6" s="986" t="s">
        <v>1454</v>
      </c>
      <c r="H6" s="985"/>
      <c r="I6" s="984" t="s">
        <v>1453</v>
      </c>
      <c r="J6" s="985"/>
      <c r="K6" s="984" t="s">
        <v>1453</v>
      </c>
      <c r="L6" s="987"/>
      <c r="M6" s="985"/>
      <c r="N6" s="984" t="s">
        <v>1454</v>
      </c>
      <c r="O6" s="986" t="s">
        <v>1454</v>
      </c>
      <c r="P6" s="985"/>
      <c r="Q6" s="984" t="s">
        <v>1454</v>
      </c>
      <c r="R6" s="986" t="s">
        <v>1454</v>
      </c>
      <c r="S6" s="988"/>
      <c r="T6" s="984" t="s">
        <v>1453</v>
      </c>
      <c r="U6" s="986" t="s">
        <v>1453</v>
      </c>
      <c r="V6" s="988"/>
      <c r="W6" s="989"/>
      <c r="X6" s="990"/>
      <c r="Y6" s="991"/>
      <c r="Z6" s="1406"/>
      <c r="AA6" s="992"/>
      <c r="AB6" s="990"/>
      <c r="AC6" s="991"/>
      <c r="AD6" s="992"/>
      <c r="AE6" s="990"/>
      <c r="AF6" s="992"/>
      <c r="AG6" s="990"/>
      <c r="AH6" s="992"/>
      <c r="AI6" s="990"/>
      <c r="AJ6" s="991"/>
      <c r="AK6" s="991"/>
      <c r="AL6" s="991"/>
      <c r="AM6" s="993"/>
      <c r="AN6" s="993"/>
      <c r="AO6" s="992"/>
      <c r="AP6" s="990"/>
      <c r="AQ6" s="992"/>
      <c r="AR6" s="990"/>
      <c r="AS6" s="991"/>
      <c r="AT6" s="1406"/>
      <c r="AU6" s="992"/>
      <c r="AV6" s="990"/>
      <c r="AW6" s="991"/>
      <c r="AX6" s="992"/>
      <c r="AY6" s="990"/>
      <c r="AZ6" s="992"/>
      <c r="BA6" s="990"/>
      <c r="BB6" s="991"/>
      <c r="BC6" s="992"/>
      <c r="BD6" s="994"/>
      <c r="BE6" s="984"/>
      <c r="BF6" s="986"/>
      <c r="BG6" s="985"/>
      <c r="BH6" s="984"/>
      <c r="BI6" s="986"/>
      <c r="BJ6" s="986"/>
      <c r="BK6" s="986"/>
      <c r="BL6" s="985"/>
      <c r="BM6" s="984"/>
      <c r="BN6" s="986"/>
      <c r="BO6" s="985"/>
      <c r="BP6" s="995"/>
      <c r="BQ6" s="996"/>
      <c r="BR6" s="996"/>
      <c r="BS6" s="996"/>
      <c r="BT6" s="997"/>
      <c r="BU6" s="985"/>
      <c r="BV6" s="995"/>
      <c r="BW6" s="996"/>
      <c r="BX6" s="996"/>
      <c r="BY6" s="996"/>
      <c r="BZ6" s="996"/>
      <c r="CA6" s="996"/>
      <c r="CB6" s="997"/>
      <c r="CC6" s="998"/>
      <c r="CD6" s="999"/>
      <c r="CE6" s="997"/>
      <c r="CF6" s="997"/>
      <c r="CG6" s="997"/>
      <c r="CH6" s="998"/>
      <c r="CI6" s="995"/>
      <c r="CJ6" s="996"/>
      <c r="CK6" s="996"/>
      <c r="CL6" s="996"/>
      <c r="CM6" s="996"/>
      <c r="CN6" s="996"/>
      <c r="CO6" s="1000"/>
      <c r="CP6" s="999"/>
      <c r="CQ6" s="997"/>
      <c r="CR6" s="998"/>
      <c r="CS6" s="999"/>
      <c r="CT6" s="997"/>
      <c r="CU6" s="997"/>
      <c r="CV6" s="997"/>
      <c r="CW6" s="998"/>
      <c r="CX6" s="999"/>
      <c r="CY6" s="998"/>
      <c r="CZ6" s="989"/>
      <c r="DA6" s="989"/>
      <c r="DI6" s="994"/>
    </row>
    <row r="7" spans="1:113" s="1027" customFormat="1" ht="15" customHeight="1">
      <c r="A7" s="1001"/>
      <c r="B7" s="1002" t="s">
        <v>812</v>
      </c>
      <c r="C7" s="1003"/>
      <c r="D7" s="1004"/>
      <c r="E7" s="1005"/>
      <c r="F7" s="1004" t="s">
        <v>816</v>
      </c>
      <c r="G7" s="1004" t="s">
        <v>816</v>
      </c>
      <c r="H7" s="1005"/>
      <c r="I7" s="1004" t="s">
        <v>816</v>
      </c>
      <c r="J7" s="1005"/>
      <c r="K7" s="1004" t="s">
        <v>816</v>
      </c>
      <c r="L7" s="1006"/>
      <c r="M7" s="1005"/>
      <c r="N7" s="1004" t="s">
        <v>816</v>
      </c>
      <c r="O7" s="1007" t="s">
        <v>816</v>
      </c>
      <c r="P7" s="1005"/>
      <c r="Q7" s="1004" t="s">
        <v>816</v>
      </c>
      <c r="R7" s="1007" t="s">
        <v>816</v>
      </c>
      <c r="S7" s="1005"/>
      <c r="T7" s="1004" t="s">
        <v>816</v>
      </c>
      <c r="U7" s="1004" t="s">
        <v>816</v>
      </c>
      <c r="V7" s="1005"/>
      <c r="W7" s="1008"/>
      <c r="X7" s="1009"/>
      <c r="Y7" s="1010"/>
      <c r="Z7" s="1407"/>
      <c r="AA7" s="1011"/>
      <c r="AB7" s="1009"/>
      <c r="AC7" s="1010"/>
      <c r="AD7" s="1011"/>
      <c r="AE7" s="1009"/>
      <c r="AF7" s="1011"/>
      <c r="AG7" s="1009"/>
      <c r="AH7" s="1011"/>
      <c r="AI7" s="1009"/>
      <c r="AJ7" s="1010"/>
      <c r="AK7" s="1010"/>
      <c r="AL7" s="1010"/>
      <c r="AM7" s="1012"/>
      <c r="AN7" s="1012"/>
      <c r="AO7" s="1011"/>
      <c r="AP7" s="1009"/>
      <c r="AQ7" s="1011"/>
      <c r="AR7" s="1009"/>
      <c r="AS7" s="1010"/>
      <c r="AT7" s="1407"/>
      <c r="AU7" s="1011"/>
      <c r="AV7" s="1009"/>
      <c r="AW7" s="1010"/>
      <c r="AX7" s="1011"/>
      <c r="AY7" s="1009"/>
      <c r="AZ7" s="1011"/>
      <c r="BA7" s="1009"/>
      <c r="BB7" s="1010"/>
      <c r="BC7" s="1011"/>
      <c r="BD7" s="1013"/>
      <c r="BE7" s="1014"/>
      <c r="BF7" s="1015"/>
      <c r="BG7" s="1016"/>
      <c r="BH7" s="1014"/>
      <c r="BI7" s="1015"/>
      <c r="BJ7" s="1015"/>
      <c r="BK7" s="1015"/>
      <c r="BL7" s="1016"/>
      <c r="BM7" s="1014"/>
      <c r="BN7" s="1015"/>
      <c r="BO7" s="1016"/>
      <c r="BP7" s="1017"/>
      <c r="BQ7" s="1018"/>
      <c r="BR7" s="1018"/>
      <c r="BS7" s="1018"/>
      <c r="BT7" s="1018"/>
      <c r="BU7" s="1016"/>
      <c r="BV7" s="1017"/>
      <c r="BW7" s="1018"/>
      <c r="BX7" s="1018"/>
      <c r="BY7" s="1018"/>
      <c r="BZ7" s="1018"/>
      <c r="CA7" s="1018"/>
      <c r="CB7" s="1018"/>
      <c r="CC7" s="1019"/>
      <c r="CD7" s="1020"/>
      <c r="CE7" s="1021"/>
      <c r="CF7" s="1021"/>
      <c r="CG7" s="1021"/>
      <c r="CH7" s="1022"/>
      <c r="CI7" s="1023"/>
      <c r="CJ7" s="1024"/>
      <c r="CK7" s="1024"/>
      <c r="CL7" s="1024"/>
      <c r="CM7" s="1024"/>
      <c r="CN7" s="1024"/>
      <c r="CO7" s="1025"/>
      <c r="CP7" s="1020"/>
      <c r="CQ7" s="1021"/>
      <c r="CR7" s="1022"/>
      <c r="CS7" s="1020"/>
      <c r="CT7" s="1021"/>
      <c r="CU7" s="1021"/>
      <c r="CV7" s="1021"/>
      <c r="CW7" s="1022"/>
      <c r="CX7" s="1020"/>
      <c r="CY7" s="1022"/>
      <c r="CZ7" s="1026"/>
      <c r="DA7" s="1026"/>
      <c r="DI7" s="1013"/>
    </row>
    <row r="8" spans="1:113" s="1055" customFormat="1" ht="15" customHeight="1">
      <c r="A8" s="1028"/>
      <c r="B8" s="1029" t="s">
        <v>813</v>
      </c>
      <c r="C8" s="1030"/>
      <c r="D8" s="1031"/>
      <c r="E8" s="1032"/>
      <c r="F8" s="1031" t="s">
        <v>816</v>
      </c>
      <c r="G8" s="1033" t="s">
        <v>816</v>
      </c>
      <c r="H8" s="1032"/>
      <c r="I8" s="1031" t="s">
        <v>816</v>
      </c>
      <c r="J8" s="1032"/>
      <c r="K8" s="1031" t="s">
        <v>816</v>
      </c>
      <c r="L8" s="1034" t="s">
        <v>816</v>
      </c>
      <c r="M8" s="1032"/>
      <c r="N8" s="1035" t="s">
        <v>816</v>
      </c>
      <c r="O8" s="1036" t="s">
        <v>816</v>
      </c>
      <c r="P8" s="1032"/>
      <c r="Q8" s="1035" t="s">
        <v>816</v>
      </c>
      <c r="R8" s="1036" t="s">
        <v>816</v>
      </c>
      <c r="S8" s="1032"/>
      <c r="T8" s="1035" t="s">
        <v>816</v>
      </c>
      <c r="U8" s="1036" t="s">
        <v>816</v>
      </c>
      <c r="V8" s="1032"/>
      <c r="W8" s="1037">
        <f>+IF(C8="",0,E8+H8+J8+M8+P8+S8+V8)</f>
        <v>0</v>
      </c>
      <c r="X8" s="1038">
        <v>0</v>
      </c>
      <c r="Y8" s="1039">
        <v>0</v>
      </c>
      <c r="Z8" s="1408">
        <v>0</v>
      </c>
      <c r="AA8" s="1040">
        <f>SUM(X8:Z8)</f>
        <v>0</v>
      </c>
      <c r="AB8" s="1038">
        <v>0</v>
      </c>
      <c r="AC8" s="1039">
        <v>0</v>
      </c>
      <c r="AD8" s="1040">
        <f>SUM(AB8:AC8)</f>
        <v>0</v>
      </c>
      <c r="AE8" s="1038">
        <v>0</v>
      </c>
      <c r="AF8" s="1040"/>
      <c r="AG8" s="1038">
        <v>0</v>
      </c>
      <c r="AH8" s="1040"/>
      <c r="AI8" s="1038">
        <v>0</v>
      </c>
      <c r="AJ8" s="1039">
        <v>0</v>
      </c>
      <c r="AK8" s="1039">
        <v>0</v>
      </c>
      <c r="AL8" s="1039">
        <v>0</v>
      </c>
      <c r="AM8" s="1041">
        <v>0</v>
      </c>
      <c r="AN8" s="1041">
        <v>0</v>
      </c>
      <c r="AO8" s="1040"/>
      <c r="AP8" s="1038">
        <v>0</v>
      </c>
      <c r="AQ8" s="1040"/>
      <c r="AR8" s="1038">
        <v>0</v>
      </c>
      <c r="AS8" s="1039">
        <v>0</v>
      </c>
      <c r="AT8" s="1408">
        <v>0</v>
      </c>
      <c r="AU8" s="1040">
        <f>SUM(AR8:AT8)</f>
        <v>0</v>
      </c>
      <c r="AV8" s="1038">
        <v>0</v>
      </c>
      <c r="AW8" s="1039">
        <v>0</v>
      </c>
      <c r="AX8" s="1040">
        <f>SUM(AV8:AW8)</f>
        <v>0</v>
      </c>
      <c r="AY8" s="1038">
        <v>0</v>
      </c>
      <c r="AZ8" s="1040"/>
      <c r="BA8" s="1038">
        <v>0</v>
      </c>
      <c r="BB8" s="1039">
        <v>0</v>
      </c>
      <c r="BC8" s="1040">
        <f>SUM(BA8:BB8)</f>
        <v>0</v>
      </c>
      <c r="BD8" s="1042"/>
      <c r="BE8" s="1043"/>
      <c r="BF8" s="1044"/>
      <c r="BG8" s="1045"/>
      <c r="BH8" s="1043"/>
      <c r="BI8" s="1044"/>
      <c r="BJ8" s="1044"/>
      <c r="BK8" s="1044"/>
      <c r="BL8" s="1045"/>
      <c r="BM8" s="1043"/>
      <c r="BN8" s="1044"/>
      <c r="BO8" s="1045"/>
      <c r="BP8" s="1043"/>
      <c r="BQ8" s="1044"/>
      <c r="BR8" s="1044"/>
      <c r="BS8" s="1044"/>
      <c r="BT8" s="1044"/>
      <c r="BU8" s="1045"/>
      <c r="BV8" s="1043"/>
      <c r="BW8" s="1044"/>
      <c r="BX8" s="1044"/>
      <c r="BY8" s="1044"/>
      <c r="BZ8" s="1044"/>
      <c r="CA8" s="1044"/>
      <c r="CB8" s="1044"/>
      <c r="CC8" s="1045"/>
      <c r="CD8" s="1046"/>
      <c r="CE8" s="1047"/>
      <c r="CF8" s="1047"/>
      <c r="CG8" s="1047"/>
      <c r="CH8" s="1048"/>
      <c r="CI8" s="1049"/>
      <c r="CJ8" s="1050"/>
      <c r="CK8" s="1050"/>
      <c r="CL8" s="1050"/>
      <c r="CM8" s="1050"/>
      <c r="CN8" s="1050"/>
      <c r="CO8" s="1051"/>
      <c r="CP8" s="1052"/>
      <c r="CQ8" s="1053"/>
      <c r="CR8" s="1048"/>
      <c r="CS8" s="1052"/>
      <c r="CT8" s="1053"/>
      <c r="CU8" s="1053"/>
      <c r="CV8" s="1053"/>
      <c r="CW8" s="1048"/>
      <c r="CX8" s="1046"/>
      <c r="CY8" s="1048"/>
      <c r="CZ8" s="1054"/>
      <c r="DA8" s="1054"/>
      <c r="DI8" s="1042"/>
    </row>
    <row r="9" spans="1:113" s="1027" customFormat="1" ht="15" customHeight="1">
      <c r="A9" s="1056"/>
      <c r="B9" s="1057" t="s">
        <v>814</v>
      </c>
      <c r="C9" s="1058"/>
      <c r="D9" s="1059"/>
      <c r="E9" s="1060"/>
      <c r="F9" s="1059" t="s">
        <v>816</v>
      </c>
      <c r="G9" s="1061" t="s">
        <v>816</v>
      </c>
      <c r="H9" s="1060"/>
      <c r="I9" s="1059" t="s">
        <v>816</v>
      </c>
      <c r="J9" s="1060"/>
      <c r="K9" s="1059" t="s">
        <v>816</v>
      </c>
      <c r="L9" s="1062" t="s">
        <v>816</v>
      </c>
      <c r="M9" s="1060"/>
      <c r="N9" s="1059" t="s">
        <v>816</v>
      </c>
      <c r="O9" s="1061" t="s">
        <v>816</v>
      </c>
      <c r="P9" s="1060"/>
      <c r="Q9" s="1059" t="s">
        <v>816</v>
      </c>
      <c r="R9" s="1061" t="s">
        <v>816</v>
      </c>
      <c r="S9" s="1060"/>
      <c r="T9" s="1059" t="s">
        <v>816</v>
      </c>
      <c r="U9" s="1061" t="s">
        <v>816</v>
      </c>
      <c r="V9" s="1060"/>
      <c r="W9" s="1063"/>
      <c r="X9" s="1009"/>
      <c r="Y9" s="1010"/>
      <c r="Z9" s="1407"/>
      <c r="AA9" s="1011"/>
      <c r="AB9" s="1009"/>
      <c r="AC9" s="1010"/>
      <c r="AD9" s="1011"/>
      <c r="AE9" s="1009"/>
      <c r="AF9" s="1011"/>
      <c r="AG9" s="1009"/>
      <c r="AH9" s="1011"/>
      <c r="AI9" s="1009"/>
      <c r="AJ9" s="1010"/>
      <c r="AK9" s="1010"/>
      <c r="AL9" s="1010"/>
      <c r="AM9" s="1012"/>
      <c r="AN9" s="1012"/>
      <c r="AO9" s="1011"/>
      <c r="AP9" s="1009"/>
      <c r="AQ9" s="1011"/>
      <c r="AR9" s="1009"/>
      <c r="AS9" s="1010"/>
      <c r="AT9" s="1407"/>
      <c r="AU9" s="1011"/>
      <c r="AV9" s="1009"/>
      <c r="AW9" s="1010"/>
      <c r="AX9" s="1011"/>
      <c r="AY9" s="1009"/>
      <c r="AZ9" s="1011"/>
      <c r="BA9" s="1009"/>
      <c r="BB9" s="1010"/>
      <c r="BC9" s="1011"/>
      <c r="BD9" s="1064"/>
      <c r="BE9" s="1065"/>
      <c r="BF9" s="1066"/>
      <c r="BG9" s="1067"/>
      <c r="BH9" s="1065"/>
      <c r="BI9" s="1066"/>
      <c r="BJ9" s="1066"/>
      <c r="BK9" s="1066"/>
      <c r="BL9" s="1067"/>
      <c r="BM9" s="1065"/>
      <c r="BN9" s="1066"/>
      <c r="BO9" s="1067"/>
      <c r="BP9" s="1065"/>
      <c r="BQ9" s="1066"/>
      <c r="BR9" s="1066"/>
      <c r="BS9" s="1066"/>
      <c r="BT9" s="1066"/>
      <c r="BU9" s="1067"/>
      <c r="BV9" s="1065"/>
      <c r="BW9" s="1066"/>
      <c r="BX9" s="1066"/>
      <c r="BY9" s="1066"/>
      <c r="BZ9" s="1066"/>
      <c r="CA9" s="1066"/>
      <c r="CB9" s="1066"/>
      <c r="CC9" s="1067"/>
      <c r="CD9" s="1056"/>
      <c r="CE9" s="1068"/>
      <c r="CF9" s="1068"/>
      <c r="CG9" s="1068"/>
      <c r="CH9" s="1069"/>
      <c r="CI9" s="1070"/>
      <c r="CJ9" s="1071"/>
      <c r="CK9" s="1071"/>
      <c r="CL9" s="1071"/>
      <c r="CM9" s="1071"/>
      <c r="CN9" s="1071"/>
      <c r="CO9" s="1072"/>
      <c r="CP9" s="1056"/>
      <c r="CQ9" s="1068"/>
      <c r="CR9" s="1069"/>
      <c r="CS9" s="1056"/>
      <c r="CT9" s="1068"/>
      <c r="CU9" s="1068"/>
      <c r="CV9" s="1068"/>
      <c r="CW9" s="1069"/>
      <c r="CX9" s="1056"/>
      <c r="CY9" s="1069"/>
      <c r="CZ9" s="1073"/>
      <c r="DA9" s="1073"/>
      <c r="DI9" s="1064"/>
    </row>
    <row r="10" spans="1:113" s="1055" customFormat="1" ht="15" customHeight="1">
      <c r="A10" s="1028"/>
      <c r="B10" s="1029" t="s">
        <v>815</v>
      </c>
      <c r="C10" s="1030"/>
      <c r="D10" s="1035"/>
      <c r="E10" s="1032"/>
      <c r="F10" s="1035" t="s">
        <v>816</v>
      </c>
      <c r="G10" s="1036" t="s">
        <v>816</v>
      </c>
      <c r="H10" s="1032"/>
      <c r="I10" s="1035" t="s">
        <v>816</v>
      </c>
      <c r="J10" s="1032"/>
      <c r="K10" s="1035" t="s">
        <v>816</v>
      </c>
      <c r="L10" s="1074" t="s">
        <v>816</v>
      </c>
      <c r="M10" s="1032"/>
      <c r="N10" s="1035" t="s">
        <v>816</v>
      </c>
      <c r="O10" s="1036" t="s">
        <v>816</v>
      </c>
      <c r="P10" s="1032"/>
      <c r="Q10" s="1035" t="s">
        <v>816</v>
      </c>
      <c r="R10" s="1036" t="s">
        <v>816</v>
      </c>
      <c r="S10" s="1032"/>
      <c r="T10" s="1035" t="s">
        <v>816</v>
      </c>
      <c r="U10" s="1036" t="s">
        <v>816</v>
      </c>
      <c r="V10" s="1032"/>
      <c r="W10" s="1037">
        <f>+IF(C10="",0,E10+H10+J10+M10+P10+S10+V10)</f>
        <v>0</v>
      </c>
      <c r="X10" s="1038">
        <v>0</v>
      </c>
      <c r="Y10" s="1039">
        <v>0</v>
      </c>
      <c r="Z10" s="1408">
        <v>0</v>
      </c>
      <c r="AA10" s="1040">
        <f>SUM(X10:Z10)</f>
        <v>0</v>
      </c>
      <c r="AB10" s="1038">
        <v>0</v>
      </c>
      <c r="AC10" s="1039">
        <v>0</v>
      </c>
      <c r="AD10" s="1040">
        <f>SUM(AB10:AC10)</f>
        <v>0</v>
      </c>
      <c r="AE10" s="1038">
        <v>0</v>
      </c>
      <c r="AF10" s="1040"/>
      <c r="AG10" s="1038">
        <v>0</v>
      </c>
      <c r="AH10" s="1040"/>
      <c r="AI10" s="1038">
        <v>0</v>
      </c>
      <c r="AJ10" s="1039">
        <v>0</v>
      </c>
      <c r="AK10" s="1039">
        <v>0</v>
      </c>
      <c r="AL10" s="1039">
        <v>0</v>
      </c>
      <c r="AM10" s="1041">
        <v>0</v>
      </c>
      <c r="AN10" s="1041">
        <v>0</v>
      </c>
      <c r="AO10" s="1040">
        <f>SUM(AI10:AN10)</f>
        <v>0</v>
      </c>
      <c r="AP10" s="1038">
        <v>0</v>
      </c>
      <c r="AQ10" s="1040"/>
      <c r="AR10" s="1038">
        <v>0</v>
      </c>
      <c r="AS10" s="1039">
        <v>0</v>
      </c>
      <c r="AT10" s="1408">
        <v>0</v>
      </c>
      <c r="AU10" s="1040">
        <f>SUM(AR10:AT10)</f>
        <v>0</v>
      </c>
      <c r="AV10" s="1038">
        <v>0</v>
      </c>
      <c r="AW10" s="1039">
        <v>0</v>
      </c>
      <c r="AX10" s="1040">
        <f>SUM(AV10:AW10)</f>
        <v>0</v>
      </c>
      <c r="AY10" s="1038">
        <v>0</v>
      </c>
      <c r="AZ10" s="1040"/>
      <c r="BA10" s="1038">
        <v>0</v>
      </c>
      <c r="BB10" s="1039">
        <v>0</v>
      </c>
      <c r="BC10" s="1040">
        <f>SUM(BA10:BB10)</f>
        <v>0</v>
      </c>
      <c r="BD10" s="1042"/>
      <c r="BE10" s="1043"/>
      <c r="BF10" s="1044"/>
      <c r="BG10" s="1045"/>
      <c r="BH10" s="1043"/>
      <c r="BI10" s="1044"/>
      <c r="BJ10" s="1044"/>
      <c r="BK10" s="1044"/>
      <c r="BL10" s="1045"/>
      <c r="BM10" s="1043"/>
      <c r="BN10" s="1044"/>
      <c r="BO10" s="1045"/>
      <c r="BP10" s="1043"/>
      <c r="BQ10" s="1044"/>
      <c r="BR10" s="1044"/>
      <c r="BS10" s="1044"/>
      <c r="BT10" s="1044"/>
      <c r="BU10" s="1045"/>
      <c r="BV10" s="1043"/>
      <c r="BW10" s="1044"/>
      <c r="BX10" s="1044"/>
      <c r="BY10" s="1044"/>
      <c r="BZ10" s="1044"/>
      <c r="CA10" s="1044"/>
      <c r="CB10" s="1044"/>
      <c r="CC10" s="1045"/>
      <c r="CD10" s="1052"/>
      <c r="CE10" s="1053"/>
      <c r="CF10" s="1053"/>
      <c r="CG10" s="1053"/>
      <c r="CH10" s="1048"/>
      <c r="CI10" s="1049"/>
      <c r="CJ10" s="1050"/>
      <c r="CK10" s="1050"/>
      <c r="CL10" s="1050"/>
      <c r="CM10" s="1050"/>
      <c r="CN10" s="1050"/>
      <c r="CO10" s="1051"/>
      <c r="CP10" s="1052"/>
      <c r="CQ10" s="1053"/>
      <c r="CR10" s="1048"/>
      <c r="CS10" s="1052"/>
      <c r="CT10" s="1053"/>
      <c r="CU10" s="1053"/>
      <c r="CV10" s="1053"/>
      <c r="CW10" s="1048"/>
      <c r="CX10" s="1052"/>
      <c r="CY10" s="1048"/>
      <c r="CZ10" s="1054" t="s">
        <v>816</v>
      </c>
      <c r="DA10" s="1054"/>
      <c r="DI10" s="1042"/>
    </row>
    <row r="11" spans="1:113" s="1055" customFormat="1" ht="15" customHeight="1">
      <c r="A11" s="1028"/>
      <c r="B11" s="1029" t="s">
        <v>817</v>
      </c>
      <c r="C11" s="1030"/>
      <c r="D11" s="1035"/>
      <c r="E11" s="1032"/>
      <c r="F11" s="1035" t="s">
        <v>816</v>
      </c>
      <c r="G11" s="1036" t="s">
        <v>816</v>
      </c>
      <c r="H11" s="1032"/>
      <c r="I11" s="1035" t="s">
        <v>816</v>
      </c>
      <c r="J11" s="1032"/>
      <c r="K11" s="1035" t="s">
        <v>816</v>
      </c>
      <c r="L11" s="1074" t="s">
        <v>816</v>
      </c>
      <c r="M11" s="1032"/>
      <c r="N11" s="1035" t="s">
        <v>816</v>
      </c>
      <c r="O11" s="1036" t="s">
        <v>816</v>
      </c>
      <c r="P11" s="1032"/>
      <c r="Q11" s="1035" t="s">
        <v>816</v>
      </c>
      <c r="R11" s="1036" t="s">
        <v>816</v>
      </c>
      <c r="S11" s="1032"/>
      <c r="T11" s="1035" t="s">
        <v>816</v>
      </c>
      <c r="U11" s="1036" t="s">
        <v>816</v>
      </c>
      <c r="V11" s="1032"/>
      <c r="W11" s="1037">
        <f>+IF(C11="",0,E11+H11+J11+M11+P11+S11+V11)</f>
        <v>0</v>
      </c>
      <c r="X11" s="1038">
        <v>0</v>
      </c>
      <c r="Y11" s="1039">
        <v>0</v>
      </c>
      <c r="Z11" s="1408">
        <v>0</v>
      </c>
      <c r="AA11" s="1040">
        <f>SUM(X11:Z11)</f>
        <v>0</v>
      </c>
      <c r="AB11" s="1038">
        <v>0</v>
      </c>
      <c r="AC11" s="1039">
        <v>0</v>
      </c>
      <c r="AD11" s="1040">
        <f>SUM(AB11:AC11)</f>
        <v>0</v>
      </c>
      <c r="AE11" s="1038">
        <v>0</v>
      </c>
      <c r="AF11" s="1040"/>
      <c r="AG11" s="1038">
        <v>0</v>
      </c>
      <c r="AH11" s="1040"/>
      <c r="AI11" s="1038">
        <v>0</v>
      </c>
      <c r="AJ11" s="1039">
        <v>0</v>
      </c>
      <c r="AK11" s="1039">
        <v>0</v>
      </c>
      <c r="AL11" s="1039">
        <v>0</v>
      </c>
      <c r="AM11" s="1041">
        <v>0</v>
      </c>
      <c r="AN11" s="1041">
        <v>0</v>
      </c>
      <c r="AO11" s="1040">
        <f t="shared" ref="AO11:AO13" si="0">SUM(AI11:AN11)</f>
        <v>0</v>
      </c>
      <c r="AP11" s="1038">
        <v>0</v>
      </c>
      <c r="AQ11" s="1040"/>
      <c r="AR11" s="1038">
        <v>0</v>
      </c>
      <c r="AS11" s="1039">
        <v>0</v>
      </c>
      <c r="AT11" s="1408">
        <v>0</v>
      </c>
      <c r="AU11" s="1040">
        <f>SUM(AR11:AT11)</f>
        <v>0</v>
      </c>
      <c r="AV11" s="1038">
        <v>0</v>
      </c>
      <c r="AW11" s="1039">
        <v>0</v>
      </c>
      <c r="AX11" s="1040">
        <f>SUM(AV11:AW11)</f>
        <v>0</v>
      </c>
      <c r="AY11" s="1038">
        <v>0</v>
      </c>
      <c r="AZ11" s="1040"/>
      <c r="BA11" s="1038">
        <v>0</v>
      </c>
      <c r="BB11" s="1039">
        <v>0</v>
      </c>
      <c r="BC11" s="1040">
        <f>SUM(BA11:BB11)</f>
        <v>0</v>
      </c>
      <c r="BD11" s="1042"/>
      <c r="BE11" s="1043"/>
      <c r="BF11" s="1044"/>
      <c r="BG11" s="1045"/>
      <c r="BH11" s="1043"/>
      <c r="BI11" s="1044"/>
      <c r="BJ11" s="1044"/>
      <c r="BK11" s="1044"/>
      <c r="BL11" s="1045"/>
      <c r="BM11" s="1043"/>
      <c r="BN11" s="1044"/>
      <c r="BO11" s="1045"/>
      <c r="BP11" s="1043"/>
      <c r="BQ11" s="1044"/>
      <c r="BR11" s="1044"/>
      <c r="BS11" s="1044"/>
      <c r="BT11" s="1044"/>
      <c r="BU11" s="1045"/>
      <c r="BV11" s="1043"/>
      <c r="BW11" s="1044"/>
      <c r="BX11" s="1044"/>
      <c r="BY11" s="1044"/>
      <c r="BZ11" s="1044"/>
      <c r="CA11" s="1044"/>
      <c r="CB11" s="1044"/>
      <c r="CC11" s="1045"/>
      <c r="CD11" s="1052"/>
      <c r="CE11" s="1053"/>
      <c r="CF11" s="1053"/>
      <c r="CG11" s="1053"/>
      <c r="CH11" s="1048"/>
      <c r="CI11" s="1049"/>
      <c r="CJ11" s="1050"/>
      <c r="CK11" s="1050"/>
      <c r="CL11" s="1050"/>
      <c r="CM11" s="1050"/>
      <c r="CN11" s="1050"/>
      <c r="CO11" s="1051"/>
      <c r="CP11" s="1052"/>
      <c r="CQ11" s="1053"/>
      <c r="CR11" s="1048"/>
      <c r="CS11" s="1052"/>
      <c r="CT11" s="1053"/>
      <c r="CU11" s="1053"/>
      <c r="CV11" s="1053"/>
      <c r="CW11" s="1048"/>
      <c r="CX11" s="1052"/>
      <c r="CY11" s="1048"/>
      <c r="CZ11" s="1054" t="s">
        <v>816</v>
      </c>
      <c r="DA11" s="1054"/>
      <c r="DI11" s="1042"/>
    </row>
    <row r="12" spans="1:113" s="1055" customFormat="1" ht="15" customHeight="1">
      <c r="A12" s="1028"/>
      <c r="B12" s="1029" t="s">
        <v>818</v>
      </c>
      <c r="C12" s="1030"/>
      <c r="D12" s="1035"/>
      <c r="E12" s="1032"/>
      <c r="F12" s="1035" t="s">
        <v>816</v>
      </c>
      <c r="G12" s="1036" t="s">
        <v>816</v>
      </c>
      <c r="H12" s="1032"/>
      <c r="I12" s="1035" t="s">
        <v>816</v>
      </c>
      <c r="J12" s="1032"/>
      <c r="K12" s="1035" t="s">
        <v>816</v>
      </c>
      <c r="L12" s="1074" t="s">
        <v>816</v>
      </c>
      <c r="M12" s="1032"/>
      <c r="N12" s="1035" t="s">
        <v>816</v>
      </c>
      <c r="O12" s="1036" t="s">
        <v>816</v>
      </c>
      <c r="P12" s="1032"/>
      <c r="Q12" s="1035" t="s">
        <v>816</v>
      </c>
      <c r="R12" s="1036" t="s">
        <v>816</v>
      </c>
      <c r="S12" s="1032"/>
      <c r="T12" s="1035" t="s">
        <v>816</v>
      </c>
      <c r="U12" s="1036" t="s">
        <v>816</v>
      </c>
      <c r="V12" s="1032"/>
      <c r="W12" s="1037">
        <f>+IF(C12="",0,E12+H12+J12+M12+P12+S12+V12)</f>
        <v>0</v>
      </c>
      <c r="X12" s="1038">
        <v>0</v>
      </c>
      <c r="Y12" s="1039">
        <v>0</v>
      </c>
      <c r="Z12" s="1408">
        <v>0</v>
      </c>
      <c r="AA12" s="1040">
        <f>SUM(X12:Z12)</f>
        <v>0</v>
      </c>
      <c r="AB12" s="1038">
        <v>0</v>
      </c>
      <c r="AC12" s="1039">
        <v>0</v>
      </c>
      <c r="AD12" s="1040">
        <f>SUM(AB12:AC12)</f>
        <v>0</v>
      </c>
      <c r="AE12" s="1038">
        <v>0</v>
      </c>
      <c r="AF12" s="1040"/>
      <c r="AG12" s="1038">
        <v>0</v>
      </c>
      <c r="AH12" s="1040"/>
      <c r="AI12" s="1038">
        <v>0</v>
      </c>
      <c r="AJ12" s="1039">
        <v>0</v>
      </c>
      <c r="AK12" s="1039">
        <v>0</v>
      </c>
      <c r="AL12" s="1039">
        <v>0</v>
      </c>
      <c r="AM12" s="1041">
        <v>0</v>
      </c>
      <c r="AN12" s="1041">
        <v>0</v>
      </c>
      <c r="AO12" s="1040">
        <f t="shared" si="0"/>
        <v>0</v>
      </c>
      <c r="AP12" s="1038">
        <v>0</v>
      </c>
      <c r="AQ12" s="1040"/>
      <c r="AR12" s="1038">
        <v>0</v>
      </c>
      <c r="AS12" s="1039">
        <v>0</v>
      </c>
      <c r="AT12" s="1408">
        <v>0</v>
      </c>
      <c r="AU12" s="1040">
        <f>SUM(AR12:AT12)</f>
        <v>0</v>
      </c>
      <c r="AV12" s="1038">
        <v>0</v>
      </c>
      <c r="AW12" s="1039">
        <v>0</v>
      </c>
      <c r="AX12" s="1040">
        <f>SUM(AV12:AW12)</f>
        <v>0</v>
      </c>
      <c r="AY12" s="1038">
        <v>0</v>
      </c>
      <c r="AZ12" s="1040"/>
      <c r="BA12" s="1038">
        <v>0</v>
      </c>
      <c r="BB12" s="1039">
        <v>0</v>
      </c>
      <c r="BC12" s="1040">
        <f>SUM(BA12:BB12)</f>
        <v>0</v>
      </c>
      <c r="BD12" s="1042"/>
      <c r="BE12" s="1043"/>
      <c r="BF12" s="1044"/>
      <c r="BG12" s="1045"/>
      <c r="BH12" s="1043"/>
      <c r="BI12" s="1044"/>
      <c r="BJ12" s="1044"/>
      <c r="BK12" s="1044"/>
      <c r="BL12" s="1045"/>
      <c r="BM12" s="1043"/>
      <c r="BN12" s="1044"/>
      <c r="BO12" s="1045"/>
      <c r="BP12" s="1043"/>
      <c r="BQ12" s="1044"/>
      <c r="BR12" s="1044"/>
      <c r="BS12" s="1044"/>
      <c r="BT12" s="1044"/>
      <c r="BU12" s="1045"/>
      <c r="BV12" s="1043"/>
      <c r="BW12" s="1044"/>
      <c r="BX12" s="1044"/>
      <c r="BY12" s="1044"/>
      <c r="BZ12" s="1044"/>
      <c r="CA12" s="1044"/>
      <c r="CB12" s="1044"/>
      <c r="CC12" s="1045"/>
      <c r="CD12" s="1052"/>
      <c r="CE12" s="1053"/>
      <c r="CF12" s="1053"/>
      <c r="CG12" s="1053"/>
      <c r="CH12" s="1048"/>
      <c r="CI12" s="1049"/>
      <c r="CJ12" s="1050"/>
      <c r="CK12" s="1050"/>
      <c r="CL12" s="1050"/>
      <c r="CM12" s="1050"/>
      <c r="CN12" s="1050"/>
      <c r="CO12" s="1051"/>
      <c r="CP12" s="1052"/>
      <c r="CQ12" s="1053"/>
      <c r="CR12" s="1048"/>
      <c r="CS12" s="1052"/>
      <c r="CT12" s="1053"/>
      <c r="CU12" s="1053"/>
      <c r="CV12" s="1053"/>
      <c r="CW12" s="1048"/>
      <c r="CX12" s="1052"/>
      <c r="CY12" s="1048"/>
      <c r="CZ12" s="1054" t="s">
        <v>816</v>
      </c>
      <c r="DA12" s="1054"/>
      <c r="DI12" s="1042"/>
    </row>
    <row r="13" spans="1:113" s="1055" customFormat="1" ht="15" customHeight="1">
      <c r="A13" s="1028"/>
      <c r="B13" s="1029" t="s">
        <v>819</v>
      </c>
      <c r="C13" s="1030"/>
      <c r="D13" s="1035"/>
      <c r="E13" s="1032"/>
      <c r="F13" s="1035" t="s">
        <v>816</v>
      </c>
      <c r="G13" s="1036" t="s">
        <v>816</v>
      </c>
      <c r="H13" s="1032"/>
      <c r="I13" s="1035" t="s">
        <v>816</v>
      </c>
      <c r="J13" s="1032"/>
      <c r="K13" s="1035" t="s">
        <v>816</v>
      </c>
      <c r="L13" s="1074" t="s">
        <v>816</v>
      </c>
      <c r="M13" s="1032"/>
      <c r="N13" s="1035" t="s">
        <v>816</v>
      </c>
      <c r="O13" s="1036" t="s">
        <v>816</v>
      </c>
      <c r="P13" s="1032"/>
      <c r="Q13" s="1035" t="s">
        <v>816</v>
      </c>
      <c r="R13" s="1036" t="s">
        <v>816</v>
      </c>
      <c r="S13" s="1032"/>
      <c r="T13" s="1035" t="s">
        <v>816</v>
      </c>
      <c r="U13" s="1036" t="s">
        <v>816</v>
      </c>
      <c r="V13" s="1032"/>
      <c r="W13" s="1037">
        <f>+IF(C13="",0,E13+H13+J13+M13+P13+S13+V13)</f>
        <v>0</v>
      </c>
      <c r="X13" s="1038">
        <v>0</v>
      </c>
      <c r="Y13" s="1039">
        <v>0</v>
      </c>
      <c r="Z13" s="1408">
        <v>0</v>
      </c>
      <c r="AA13" s="1040">
        <f>SUM(X13:Z13)</f>
        <v>0</v>
      </c>
      <c r="AB13" s="1038">
        <v>0</v>
      </c>
      <c r="AC13" s="1039">
        <v>0</v>
      </c>
      <c r="AD13" s="1040">
        <f>SUM(AB13:AC13)</f>
        <v>0</v>
      </c>
      <c r="AE13" s="1038">
        <v>0</v>
      </c>
      <c r="AF13" s="1040"/>
      <c r="AG13" s="1038">
        <v>0</v>
      </c>
      <c r="AH13" s="1040"/>
      <c r="AI13" s="1038">
        <v>0</v>
      </c>
      <c r="AJ13" s="1039">
        <v>0</v>
      </c>
      <c r="AK13" s="1039">
        <v>0</v>
      </c>
      <c r="AL13" s="1039">
        <v>0</v>
      </c>
      <c r="AM13" s="1041">
        <v>0</v>
      </c>
      <c r="AN13" s="1041">
        <v>0</v>
      </c>
      <c r="AO13" s="1040">
        <f t="shared" si="0"/>
        <v>0</v>
      </c>
      <c r="AP13" s="1038">
        <v>0</v>
      </c>
      <c r="AQ13" s="1040"/>
      <c r="AR13" s="1038">
        <v>0</v>
      </c>
      <c r="AS13" s="1039">
        <v>0</v>
      </c>
      <c r="AT13" s="1408">
        <v>0</v>
      </c>
      <c r="AU13" s="1040">
        <f>SUM(AR13:AT13)</f>
        <v>0</v>
      </c>
      <c r="AV13" s="1038">
        <v>0</v>
      </c>
      <c r="AW13" s="1039">
        <v>0</v>
      </c>
      <c r="AX13" s="1040">
        <f>SUM(AV13:AW13)</f>
        <v>0</v>
      </c>
      <c r="AY13" s="1038">
        <v>0</v>
      </c>
      <c r="AZ13" s="1040"/>
      <c r="BA13" s="1038">
        <v>0</v>
      </c>
      <c r="BB13" s="1039">
        <v>0</v>
      </c>
      <c r="BC13" s="1040">
        <f>SUM(BA13:BB13)</f>
        <v>0</v>
      </c>
      <c r="BD13" s="1042"/>
      <c r="BE13" s="1043"/>
      <c r="BF13" s="1044"/>
      <c r="BG13" s="1045"/>
      <c r="BH13" s="1043"/>
      <c r="BI13" s="1044"/>
      <c r="BJ13" s="1044"/>
      <c r="BK13" s="1044"/>
      <c r="BL13" s="1045"/>
      <c r="BM13" s="1043"/>
      <c r="BN13" s="1044"/>
      <c r="BO13" s="1045"/>
      <c r="BP13" s="1043"/>
      <c r="BQ13" s="1044"/>
      <c r="BR13" s="1044"/>
      <c r="BS13" s="1044"/>
      <c r="BT13" s="1044"/>
      <c r="BU13" s="1045"/>
      <c r="BV13" s="1043"/>
      <c r="BW13" s="1044"/>
      <c r="BX13" s="1044"/>
      <c r="BY13" s="1044"/>
      <c r="BZ13" s="1044"/>
      <c r="CA13" s="1044"/>
      <c r="CB13" s="1044"/>
      <c r="CC13" s="1045"/>
      <c r="CD13" s="1052"/>
      <c r="CE13" s="1053"/>
      <c r="CF13" s="1053"/>
      <c r="CG13" s="1053"/>
      <c r="CH13" s="1048"/>
      <c r="CI13" s="1049"/>
      <c r="CJ13" s="1050"/>
      <c r="CK13" s="1050"/>
      <c r="CL13" s="1050"/>
      <c r="CM13" s="1050"/>
      <c r="CN13" s="1050"/>
      <c r="CO13" s="1051"/>
      <c r="CP13" s="1052"/>
      <c r="CQ13" s="1053"/>
      <c r="CR13" s="1048"/>
      <c r="CS13" s="1052"/>
      <c r="CT13" s="1053"/>
      <c r="CU13" s="1053"/>
      <c r="CV13" s="1053"/>
      <c r="CW13" s="1048"/>
      <c r="CX13" s="1052"/>
      <c r="CY13" s="1048"/>
      <c r="CZ13" s="1054" t="s">
        <v>816</v>
      </c>
      <c r="DA13" s="1054"/>
      <c r="DI13" s="1042"/>
    </row>
    <row r="14" spans="1:113" s="1027" customFormat="1">
      <c r="A14" s="1056"/>
      <c r="B14" s="1057" t="s">
        <v>820</v>
      </c>
      <c r="C14" s="1058"/>
      <c r="D14" s="1059"/>
      <c r="E14" s="1060"/>
      <c r="F14" s="1059" t="s">
        <v>816</v>
      </c>
      <c r="G14" s="1061" t="s">
        <v>816</v>
      </c>
      <c r="H14" s="1060"/>
      <c r="I14" s="1059" t="s">
        <v>816</v>
      </c>
      <c r="J14" s="1060"/>
      <c r="K14" s="1059" t="s">
        <v>816</v>
      </c>
      <c r="L14" s="1062" t="s">
        <v>816</v>
      </c>
      <c r="M14" s="1060"/>
      <c r="N14" s="1059" t="s">
        <v>816</v>
      </c>
      <c r="O14" s="1061" t="s">
        <v>816</v>
      </c>
      <c r="P14" s="1060"/>
      <c r="Q14" s="1059" t="s">
        <v>816</v>
      </c>
      <c r="R14" s="1061" t="s">
        <v>816</v>
      </c>
      <c r="S14" s="1060"/>
      <c r="T14" s="1059" t="s">
        <v>816</v>
      </c>
      <c r="U14" s="1061" t="s">
        <v>816</v>
      </c>
      <c r="V14" s="1060"/>
      <c r="W14" s="1063"/>
      <c r="X14" s="1009"/>
      <c r="Y14" s="1010"/>
      <c r="Z14" s="1407"/>
      <c r="AA14" s="1011"/>
      <c r="AB14" s="1009"/>
      <c r="AC14" s="1010"/>
      <c r="AD14" s="1011"/>
      <c r="AE14" s="1009"/>
      <c r="AF14" s="1011"/>
      <c r="AG14" s="1009"/>
      <c r="AH14" s="1011"/>
      <c r="AI14" s="1009"/>
      <c r="AJ14" s="1010"/>
      <c r="AK14" s="1010"/>
      <c r="AL14" s="1010"/>
      <c r="AM14" s="1012"/>
      <c r="AN14" s="1012"/>
      <c r="AO14" s="1011"/>
      <c r="AP14" s="1009"/>
      <c r="AQ14" s="1011"/>
      <c r="AR14" s="1009"/>
      <c r="AS14" s="1010"/>
      <c r="AT14" s="1407"/>
      <c r="AU14" s="1011"/>
      <c r="AV14" s="1009"/>
      <c r="AW14" s="1010"/>
      <c r="AX14" s="1011"/>
      <c r="AY14" s="1009"/>
      <c r="AZ14" s="1011"/>
      <c r="BA14" s="1009"/>
      <c r="BB14" s="1010"/>
      <c r="BC14" s="1011"/>
      <c r="BD14" s="1064"/>
      <c r="BE14" s="1075"/>
      <c r="BF14" s="1076"/>
      <c r="BG14" s="1077"/>
      <c r="BH14" s="1075"/>
      <c r="BI14" s="1076"/>
      <c r="BJ14" s="1076"/>
      <c r="BK14" s="1076"/>
      <c r="BL14" s="1077"/>
      <c r="BM14" s="1075"/>
      <c r="BN14" s="1076"/>
      <c r="BO14" s="1077"/>
      <c r="BP14" s="1078"/>
      <c r="BQ14" s="1079"/>
      <c r="BR14" s="1079"/>
      <c r="BS14" s="1079"/>
      <c r="BT14" s="1076"/>
      <c r="BU14" s="1077"/>
      <c r="BV14" s="1078"/>
      <c r="BW14" s="1079"/>
      <c r="BX14" s="1079"/>
      <c r="BY14" s="1079"/>
      <c r="BZ14" s="1079"/>
      <c r="CA14" s="1079"/>
      <c r="CB14" s="1076"/>
      <c r="CC14" s="1077"/>
      <c r="CD14" s="1075"/>
      <c r="CE14" s="1076"/>
      <c r="CF14" s="1076"/>
      <c r="CG14" s="1076"/>
      <c r="CH14" s="1077"/>
      <c r="CI14" s="1078"/>
      <c r="CJ14" s="1079"/>
      <c r="CK14" s="1079"/>
      <c r="CL14" s="1079"/>
      <c r="CM14" s="1079"/>
      <c r="CN14" s="1079"/>
      <c r="CO14" s="1080"/>
      <c r="CP14" s="1075"/>
      <c r="CQ14" s="1076"/>
      <c r="CR14" s="1077"/>
      <c r="CS14" s="1075"/>
      <c r="CT14" s="1076"/>
      <c r="CU14" s="1076"/>
      <c r="CV14" s="1076"/>
      <c r="CW14" s="1077"/>
      <c r="CX14" s="1075"/>
      <c r="CY14" s="1077"/>
      <c r="CZ14" s="1073"/>
      <c r="DA14" s="1073"/>
      <c r="DI14" s="1064"/>
    </row>
    <row r="15" spans="1:113" s="1101" customFormat="1">
      <c r="A15" s="1081"/>
      <c r="B15" s="1082" t="s">
        <v>821</v>
      </c>
      <c r="C15" s="1083"/>
      <c r="D15" s="1084"/>
      <c r="E15" s="1085"/>
      <c r="F15" s="1084" t="s">
        <v>816</v>
      </c>
      <c r="G15" s="1086" t="s">
        <v>816</v>
      </c>
      <c r="H15" s="1085"/>
      <c r="I15" s="1084" t="s">
        <v>816</v>
      </c>
      <c r="J15" s="1085"/>
      <c r="K15" s="1084" t="s">
        <v>816</v>
      </c>
      <c r="L15" s="1087" t="s">
        <v>816</v>
      </c>
      <c r="M15" s="1085"/>
      <c r="N15" s="1084" t="s">
        <v>816</v>
      </c>
      <c r="O15" s="1086" t="s">
        <v>816</v>
      </c>
      <c r="P15" s="1085"/>
      <c r="Q15" s="1084" t="s">
        <v>816</v>
      </c>
      <c r="R15" s="1086" t="s">
        <v>816</v>
      </c>
      <c r="S15" s="1085"/>
      <c r="T15" s="1084" t="s">
        <v>816</v>
      </c>
      <c r="U15" s="1086" t="s">
        <v>816</v>
      </c>
      <c r="V15" s="1085"/>
      <c r="W15" s="1088"/>
      <c r="X15" s="1089"/>
      <c r="Y15" s="1090"/>
      <c r="Z15" s="1407"/>
      <c r="AA15" s="1091"/>
      <c r="AB15" s="1089"/>
      <c r="AC15" s="1090"/>
      <c r="AD15" s="1091"/>
      <c r="AE15" s="1089"/>
      <c r="AF15" s="1091"/>
      <c r="AG15" s="1089"/>
      <c r="AH15" s="1091"/>
      <c r="AI15" s="1089"/>
      <c r="AJ15" s="1090"/>
      <c r="AK15" s="1090"/>
      <c r="AL15" s="1090"/>
      <c r="AM15" s="1092"/>
      <c r="AN15" s="1092"/>
      <c r="AO15" s="1091"/>
      <c r="AP15" s="1089"/>
      <c r="AQ15" s="1091"/>
      <c r="AR15" s="1089"/>
      <c r="AS15" s="1090"/>
      <c r="AT15" s="1407"/>
      <c r="AU15" s="1091"/>
      <c r="AV15" s="1089"/>
      <c r="AW15" s="1090"/>
      <c r="AX15" s="1091"/>
      <c r="AY15" s="1089"/>
      <c r="AZ15" s="1091"/>
      <c r="BA15" s="1089"/>
      <c r="BB15" s="1090"/>
      <c r="BC15" s="1091"/>
      <c r="BD15" s="1093"/>
      <c r="BE15" s="1094"/>
      <c r="BF15" s="1095"/>
      <c r="BG15" s="1096"/>
      <c r="BH15" s="1094"/>
      <c r="BI15" s="1095"/>
      <c r="BJ15" s="1095"/>
      <c r="BK15" s="1095"/>
      <c r="BL15" s="1096"/>
      <c r="BM15" s="1094"/>
      <c r="BN15" s="1095"/>
      <c r="BO15" s="1096"/>
      <c r="BP15" s="1097"/>
      <c r="BQ15" s="1098"/>
      <c r="BR15" s="1098"/>
      <c r="BS15" s="1098"/>
      <c r="BT15" s="1095"/>
      <c r="BU15" s="1096"/>
      <c r="BV15" s="1097"/>
      <c r="BW15" s="1098"/>
      <c r="BX15" s="1098"/>
      <c r="BY15" s="1098"/>
      <c r="BZ15" s="1098"/>
      <c r="CA15" s="1098"/>
      <c r="CB15" s="1095"/>
      <c r="CC15" s="1096"/>
      <c r="CD15" s="1094"/>
      <c r="CE15" s="1095"/>
      <c r="CF15" s="1095"/>
      <c r="CG15" s="1095"/>
      <c r="CH15" s="1096"/>
      <c r="CI15" s="1097"/>
      <c r="CJ15" s="1098"/>
      <c r="CK15" s="1098"/>
      <c r="CL15" s="1098"/>
      <c r="CM15" s="1098"/>
      <c r="CN15" s="1098"/>
      <c r="CO15" s="1099"/>
      <c r="CP15" s="1094"/>
      <c r="CQ15" s="1095"/>
      <c r="CR15" s="1096"/>
      <c r="CS15" s="1094"/>
      <c r="CT15" s="1095"/>
      <c r="CU15" s="1095"/>
      <c r="CV15" s="1095"/>
      <c r="CW15" s="1096"/>
      <c r="CX15" s="1094"/>
      <c r="CY15" s="1096"/>
      <c r="CZ15" s="1100"/>
      <c r="DA15" s="1100"/>
      <c r="DI15" s="1093"/>
    </row>
    <row r="16" spans="1:113" s="1055" customFormat="1">
      <c r="A16" s="955" t="s">
        <v>84</v>
      </c>
      <c r="B16" s="1102" t="s">
        <v>1344</v>
      </c>
      <c r="C16" s="1030" t="s">
        <v>81</v>
      </c>
      <c r="D16" s="1035"/>
      <c r="E16" s="1032">
        <f>+IF(C16="", 0,D16)</f>
        <v>0</v>
      </c>
      <c r="F16" s="1035">
        <v>0</v>
      </c>
      <c r="G16" s="1036">
        <v>0</v>
      </c>
      <c r="H16" s="1032">
        <f>+IF(C16="", 0,SUM(F16:G16))</f>
        <v>0</v>
      </c>
      <c r="I16" s="1035">
        <v>0</v>
      </c>
      <c r="J16" s="1032">
        <f>+IF(C16="", 0,I16)</f>
        <v>0</v>
      </c>
      <c r="K16" s="1035">
        <v>0</v>
      </c>
      <c r="L16" s="1074">
        <v>0</v>
      </c>
      <c r="M16" s="1032">
        <f>+IF(C16="",0,K16+L16)</f>
        <v>0</v>
      </c>
      <c r="N16" s="1035">
        <v>0</v>
      </c>
      <c r="O16" s="1036">
        <v>0</v>
      </c>
      <c r="P16" s="1032">
        <f>+IF(C16="", 0,SUM(N16:O16))</f>
        <v>0</v>
      </c>
      <c r="Q16" s="1035">
        <v>0</v>
      </c>
      <c r="R16" s="1036">
        <v>0</v>
      </c>
      <c r="S16" s="1032">
        <f>+IF(C16="",0,SUM(Q16:R16))</f>
        <v>0</v>
      </c>
      <c r="T16" s="1035">
        <v>0</v>
      </c>
      <c r="U16" s="1036">
        <v>0</v>
      </c>
      <c r="V16" s="1032">
        <f>+IF(C16="",0,SUM(T16:U16))</f>
        <v>0</v>
      </c>
      <c r="W16" s="1037">
        <f>+IF(C16="",0,E16+H16+J16+M16+P16+S16+V16)</f>
        <v>0</v>
      </c>
      <c r="X16" s="1038">
        <v>0</v>
      </c>
      <c r="Y16" s="1039">
        <v>0</v>
      </c>
      <c r="Z16" s="1408">
        <v>0</v>
      </c>
      <c r="AA16" s="1040">
        <f>SUM(X16:Z16)</f>
        <v>0</v>
      </c>
      <c r="AB16" s="1038">
        <v>0</v>
      </c>
      <c r="AC16" s="1039">
        <v>0</v>
      </c>
      <c r="AD16" s="1040">
        <f>SUM(AB16:AC16)</f>
        <v>0</v>
      </c>
      <c r="AE16" s="1038">
        <v>0</v>
      </c>
      <c r="AF16" s="1040">
        <f>+AE16</f>
        <v>0</v>
      </c>
      <c r="AG16" s="1038">
        <v>0</v>
      </c>
      <c r="AH16" s="1040">
        <f>+AG16</f>
        <v>0</v>
      </c>
      <c r="AI16" s="1038">
        <v>0</v>
      </c>
      <c r="AJ16" s="1039">
        <v>0</v>
      </c>
      <c r="AK16" s="1039">
        <v>0</v>
      </c>
      <c r="AL16" s="1039">
        <v>0</v>
      </c>
      <c r="AM16" s="1041">
        <v>0</v>
      </c>
      <c r="AN16" s="1041">
        <v>0</v>
      </c>
      <c r="AO16" s="1040">
        <f t="shared" ref="AO16:AO19" si="1">SUM(AI16:AN16)</f>
        <v>0</v>
      </c>
      <c r="AP16" s="1038">
        <v>500</v>
      </c>
      <c r="AQ16" s="1040">
        <f>+AP16</f>
        <v>500</v>
      </c>
      <c r="AR16" s="1038">
        <v>0</v>
      </c>
      <c r="AS16" s="1039">
        <v>0</v>
      </c>
      <c r="AT16" s="1408">
        <v>0</v>
      </c>
      <c r="AU16" s="1040">
        <f>SUM(AR16:AT16)</f>
        <v>0</v>
      </c>
      <c r="AV16" s="1038">
        <v>0</v>
      </c>
      <c r="AW16" s="1039">
        <v>0</v>
      </c>
      <c r="AX16" s="1040">
        <f>SUM(AV16:AW16)</f>
        <v>0</v>
      </c>
      <c r="AY16" s="1038">
        <v>0</v>
      </c>
      <c r="AZ16" s="1040">
        <f>+AY16</f>
        <v>0</v>
      </c>
      <c r="BA16" s="1038">
        <v>173.85300000000001</v>
      </c>
      <c r="BB16" s="1039">
        <v>98.65</v>
      </c>
      <c r="BC16" s="1040">
        <f>SUM(BA16:BB16)</f>
        <v>272.50300000000004</v>
      </c>
      <c r="BD16" s="1042">
        <f>+IF(C16="",0,BC16+AZ16+AX16+AU16+AQ16+AO16+AH16+AF16+AD16+AA16)</f>
        <v>772.50300000000004</v>
      </c>
      <c r="BE16" s="1052"/>
      <c r="BF16" s="1053"/>
      <c r="BG16" s="1048">
        <f>+BE16+BF16</f>
        <v>0</v>
      </c>
      <c r="BH16" s="1052"/>
      <c r="BI16" s="1053"/>
      <c r="BJ16" s="1053"/>
      <c r="BK16" s="1053"/>
      <c r="BL16" s="1048">
        <f>+BH16+BI16+BJ16+BK16</f>
        <v>0</v>
      </c>
      <c r="BM16" s="1052"/>
      <c r="BN16" s="1053"/>
      <c r="BO16" s="1048">
        <f>+BM16+BN16</f>
        <v>0</v>
      </c>
      <c r="BP16" s="1049"/>
      <c r="BQ16" s="1050"/>
      <c r="BR16" s="1050"/>
      <c r="BS16" s="1050"/>
      <c r="BT16" s="1053"/>
      <c r="BU16" s="1048">
        <f>+SUM(BP16:BT16)</f>
        <v>0</v>
      </c>
      <c r="BV16" s="1049"/>
      <c r="BW16" s="1050"/>
      <c r="BX16" s="1050"/>
      <c r="BY16" s="1050"/>
      <c r="BZ16" s="1050"/>
      <c r="CA16" s="1050"/>
      <c r="CB16" s="1053"/>
      <c r="CC16" s="1048">
        <f>+SUM(BV16:CB16)</f>
        <v>0</v>
      </c>
      <c r="CD16" s="1052"/>
      <c r="CE16" s="1053"/>
      <c r="CF16" s="1053"/>
      <c r="CG16" s="1053"/>
      <c r="CH16" s="1048">
        <f>+SUM(CD16:CG16)</f>
        <v>0</v>
      </c>
      <c r="CI16" s="1049"/>
      <c r="CJ16" s="1050"/>
      <c r="CK16" s="1050"/>
      <c r="CL16" s="1050"/>
      <c r="CM16" s="1050"/>
      <c r="CN16" s="1050"/>
      <c r="CO16" s="1051">
        <f t="shared" ref="CO16:CO19" si="2">+SUM(CI16:CN16)</f>
        <v>0</v>
      </c>
      <c r="CP16" s="1052"/>
      <c r="CQ16" s="1053"/>
      <c r="CR16" s="1048">
        <f>+SUM(CP16:CQ16)</f>
        <v>0</v>
      </c>
      <c r="CS16" s="1052"/>
      <c r="CT16" s="1053"/>
      <c r="CU16" s="1053"/>
      <c r="CV16" s="1053"/>
      <c r="CW16" s="1048">
        <f>+SUM(CS16:CV16)</f>
        <v>0</v>
      </c>
      <c r="CX16" s="1052"/>
      <c r="CY16" s="1048">
        <f>+CX16</f>
        <v>0</v>
      </c>
      <c r="CZ16" s="1103">
        <f>+IF(C16="",0,CY16+CR16+CH16+BU16+BO16+BL16+CO16+CW16+CC16+BG16)</f>
        <v>0</v>
      </c>
      <c r="DA16" s="1103">
        <f>IF(C16="",0,CZ16+BD16+W16)</f>
        <v>772.50300000000004</v>
      </c>
      <c r="DI16" s="1042">
        <f>BD16-BC16-AX16-AQ16-AF16-AD16</f>
        <v>0</v>
      </c>
    </row>
    <row r="17" spans="1:113" s="1055" customFormat="1">
      <c r="A17" s="955" t="s">
        <v>1345</v>
      </c>
      <c r="B17" s="1102" t="s">
        <v>1346</v>
      </c>
      <c r="C17" s="1030" t="s">
        <v>81</v>
      </c>
      <c r="D17" s="1035"/>
      <c r="E17" s="1032">
        <f t="shared" ref="E17:E80" si="3">+IF(C17="", 0,D17)</f>
        <v>0</v>
      </c>
      <c r="F17" s="1035">
        <v>0</v>
      </c>
      <c r="G17" s="1036">
        <v>0</v>
      </c>
      <c r="H17" s="1032">
        <f>+IF(C17="", 0,SUM(F17:G17))</f>
        <v>0</v>
      </c>
      <c r="I17" s="1035">
        <v>0</v>
      </c>
      <c r="J17" s="1032">
        <f>+IF(C17="", 0,I17)</f>
        <v>0</v>
      </c>
      <c r="K17" s="1035">
        <v>0</v>
      </c>
      <c r="L17" s="1074">
        <v>0</v>
      </c>
      <c r="M17" s="1032">
        <f>+IF(C17="",0,K17+L17)</f>
        <v>0</v>
      </c>
      <c r="N17" s="1035">
        <v>0</v>
      </c>
      <c r="O17" s="1036">
        <v>0</v>
      </c>
      <c r="P17" s="1032">
        <f>+IF(C17="", 0,SUM(N17:O17))</f>
        <v>0</v>
      </c>
      <c r="Q17" s="1035">
        <v>0</v>
      </c>
      <c r="R17" s="1036">
        <v>0</v>
      </c>
      <c r="S17" s="1032">
        <f>+IF(C17="",0,SUM(Q17:R17))</f>
        <v>0</v>
      </c>
      <c r="T17" s="1035">
        <v>0</v>
      </c>
      <c r="U17" s="1036">
        <v>0</v>
      </c>
      <c r="V17" s="1032">
        <f>+IF(C17="",0,SUM(T17:U17))</f>
        <v>0</v>
      </c>
      <c r="W17" s="1037">
        <f>+IF(C17="",0,E17+H17+J17+M17+P17+S17+V17)</f>
        <v>0</v>
      </c>
      <c r="X17" s="1038">
        <v>0</v>
      </c>
      <c r="Y17" s="1039">
        <v>0</v>
      </c>
      <c r="Z17" s="1408">
        <v>0</v>
      </c>
      <c r="AA17" s="1040">
        <f>SUM(X17:Z17)</f>
        <v>0</v>
      </c>
      <c r="AB17" s="1038">
        <v>0</v>
      </c>
      <c r="AC17" s="1039">
        <v>0</v>
      </c>
      <c r="AD17" s="1040">
        <f>SUM(AB17:AC17)</f>
        <v>0</v>
      </c>
      <c r="AE17" s="1038">
        <v>0</v>
      </c>
      <c r="AF17" s="1040">
        <f t="shared" ref="AF17:AF19" si="4">+AE17</f>
        <v>0</v>
      </c>
      <c r="AG17" s="1038">
        <v>0</v>
      </c>
      <c r="AH17" s="1040">
        <f t="shared" ref="AH17:AH19" si="5">+AG17</f>
        <v>0</v>
      </c>
      <c r="AI17" s="1038">
        <v>0</v>
      </c>
      <c r="AJ17" s="1039">
        <v>0</v>
      </c>
      <c r="AK17" s="1039">
        <v>0</v>
      </c>
      <c r="AL17" s="1039">
        <v>0</v>
      </c>
      <c r="AM17" s="1041">
        <v>0</v>
      </c>
      <c r="AN17" s="1041">
        <v>0</v>
      </c>
      <c r="AO17" s="1040">
        <f t="shared" si="1"/>
        <v>0</v>
      </c>
      <c r="AP17" s="1038">
        <v>0</v>
      </c>
      <c r="AQ17" s="1040">
        <f t="shared" ref="AQ17:AQ19" si="6">+AP17</f>
        <v>0</v>
      </c>
      <c r="AR17" s="1038">
        <v>0</v>
      </c>
      <c r="AS17" s="1039">
        <v>0</v>
      </c>
      <c r="AT17" s="1408">
        <v>0</v>
      </c>
      <c r="AU17" s="1040">
        <f>SUM(AR17:AT17)</f>
        <v>0</v>
      </c>
      <c r="AV17" s="1038">
        <v>0</v>
      </c>
      <c r="AW17" s="1039">
        <v>0</v>
      </c>
      <c r="AX17" s="1040">
        <f>SUM(AV17:AW17)</f>
        <v>0</v>
      </c>
      <c r="AY17" s="1038">
        <v>0</v>
      </c>
      <c r="AZ17" s="1040">
        <f t="shared" ref="AZ17:AZ19" si="7">+AY17</f>
        <v>0</v>
      </c>
      <c r="BA17" s="1038">
        <v>0</v>
      </c>
      <c r="BB17" s="1039">
        <v>0</v>
      </c>
      <c r="BC17" s="1040">
        <f>SUM(BA17:BB17)</f>
        <v>0</v>
      </c>
      <c r="BD17" s="1042">
        <f>+IF(C17="",0,BC17+AZ17+AX17+AU17+AQ17+AO17+AH17+AF17+AD17+AA17)</f>
        <v>0</v>
      </c>
      <c r="BE17" s="1052"/>
      <c r="BF17" s="1053"/>
      <c r="BG17" s="1048">
        <f t="shared" ref="BG17:BG80" si="8">+BE17+BF17</f>
        <v>0</v>
      </c>
      <c r="BH17" s="1052"/>
      <c r="BI17" s="1053"/>
      <c r="BJ17" s="1053"/>
      <c r="BK17" s="1053"/>
      <c r="BL17" s="1048">
        <f t="shared" ref="BL17:BL19" si="9">+BH17+BI17+BJ17+BK17</f>
        <v>0</v>
      </c>
      <c r="BM17" s="1052"/>
      <c r="BN17" s="1053"/>
      <c r="BO17" s="1048">
        <f t="shared" ref="BO17:BO19" si="10">+BM17+BN17</f>
        <v>0</v>
      </c>
      <c r="BP17" s="1049"/>
      <c r="BQ17" s="1050"/>
      <c r="BR17" s="1050"/>
      <c r="BS17" s="1050"/>
      <c r="BT17" s="1053"/>
      <c r="BU17" s="1048">
        <f t="shared" ref="BU17:BU19" si="11">+SUM(BP17:BT17)</f>
        <v>0</v>
      </c>
      <c r="BV17" s="1049"/>
      <c r="BW17" s="1050"/>
      <c r="BX17" s="1050"/>
      <c r="BY17" s="1050"/>
      <c r="BZ17" s="1050"/>
      <c r="CA17" s="1050"/>
      <c r="CB17" s="1053"/>
      <c r="CC17" s="1048">
        <f t="shared" ref="CC17:CC19" si="12">+SUM(BV17:CB17)</f>
        <v>0</v>
      </c>
      <c r="CD17" s="1052"/>
      <c r="CE17" s="1053"/>
      <c r="CF17" s="1053"/>
      <c r="CG17" s="1053"/>
      <c r="CH17" s="1048">
        <f t="shared" ref="CH17:CH19" si="13">+SUM(CD17:CG17)</f>
        <v>0</v>
      </c>
      <c r="CI17" s="1049"/>
      <c r="CJ17" s="1050"/>
      <c r="CK17" s="1050"/>
      <c r="CL17" s="1050"/>
      <c r="CM17" s="1050"/>
      <c r="CN17" s="1050"/>
      <c r="CO17" s="1051">
        <f t="shared" si="2"/>
        <v>0</v>
      </c>
      <c r="CP17" s="1052"/>
      <c r="CQ17" s="1053"/>
      <c r="CR17" s="1048">
        <f t="shared" ref="CR17:CR19" si="14">+SUM(CP17:CQ17)</f>
        <v>0</v>
      </c>
      <c r="CS17" s="1052"/>
      <c r="CT17" s="1053"/>
      <c r="CU17" s="1053"/>
      <c r="CV17" s="1053"/>
      <c r="CW17" s="1048">
        <f t="shared" ref="CW17:CW19" si="15">+SUM(CS17:CV17)</f>
        <v>0</v>
      </c>
      <c r="CX17" s="1052"/>
      <c r="CY17" s="1048">
        <f t="shared" ref="CY17:CY19" si="16">+CX17</f>
        <v>0</v>
      </c>
      <c r="CZ17" s="1103">
        <f>+IF(C17="",0,CY17+CR17+CH17+BU17+BO17+BL17+CO17+CW17+CC17+BG17)</f>
        <v>0</v>
      </c>
      <c r="DA17" s="1103">
        <f>IF(C17="",0,CZ17+BD17+W17)</f>
        <v>0</v>
      </c>
      <c r="DI17" s="1042">
        <f t="shared" ref="DI17:DI30" si="17">BD17-BC17-AX17-AQ17-AF17-AD17</f>
        <v>0</v>
      </c>
    </row>
    <row r="18" spans="1:113" s="1055" customFormat="1">
      <c r="A18" s="955" t="s">
        <v>826</v>
      </c>
      <c r="B18" s="1102" t="s">
        <v>825</v>
      </c>
      <c r="C18" s="1030" t="s">
        <v>827</v>
      </c>
      <c r="D18" s="1035"/>
      <c r="E18" s="1032">
        <f t="shared" si="3"/>
        <v>0</v>
      </c>
      <c r="F18" s="1035">
        <v>0</v>
      </c>
      <c r="G18" s="1036">
        <v>0</v>
      </c>
      <c r="H18" s="1032">
        <f>+IF(C18="", 0,SUM(F18:G18))</f>
        <v>0</v>
      </c>
      <c r="I18" s="1035">
        <v>0</v>
      </c>
      <c r="J18" s="1032">
        <f>+IF(C18="", 0,I18)</f>
        <v>0</v>
      </c>
      <c r="K18" s="1035">
        <v>0</v>
      </c>
      <c r="L18" s="1074">
        <v>0</v>
      </c>
      <c r="M18" s="1032">
        <f>+IF(C18="",0,K18+L18)</f>
        <v>0</v>
      </c>
      <c r="N18" s="1035">
        <v>0</v>
      </c>
      <c r="O18" s="1036">
        <v>0</v>
      </c>
      <c r="P18" s="1032">
        <f>+IF(C18="", 0,SUM(N18:O18))</f>
        <v>0</v>
      </c>
      <c r="Q18" s="1035">
        <v>0</v>
      </c>
      <c r="R18" s="1036">
        <v>0</v>
      </c>
      <c r="S18" s="1032">
        <f>+IF(C18="",0,SUM(Q18:R18))</f>
        <v>0</v>
      </c>
      <c r="T18" s="1035">
        <v>0</v>
      </c>
      <c r="U18" s="1036">
        <v>0</v>
      </c>
      <c r="V18" s="1032">
        <f>+IF(C18="",0,SUM(T18:U18))</f>
        <v>0</v>
      </c>
      <c r="W18" s="1037">
        <f>+IF(C18="",0,E18+H18+J18+M18+P18+S18+V18)</f>
        <v>0</v>
      </c>
      <c r="X18" s="1038">
        <v>0</v>
      </c>
      <c r="Y18" s="1039">
        <v>0</v>
      </c>
      <c r="Z18" s="1408">
        <v>0</v>
      </c>
      <c r="AA18" s="1040">
        <f>SUM(X18:Z18)</f>
        <v>0</v>
      </c>
      <c r="AB18" s="1038">
        <v>0</v>
      </c>
      <c r="AC18" s="1039">
        <v>0</v>
      </c>
      <c r="AD18" s="1040">
        <f>SUM(AB18:AC18)</f>
        <v>0</v>
      </c>
      <c r="AE18" s="1038">
        <v>0</v>
      </c>
      <c r="AF18" s="1040">
        <f t="shared" si="4"/>
        <v>0</v>
      </c>
      <c r="AG18" s="1038">
        <v>0</v>
      </c>
      <c r="AH18" s="1040">
        <f t="shared" si="5"/>
        <v>0</v>
      </c>
      <c r="AI18" s="1038">
        <v>0</v>
      </c>
      <c r="AJ18" s="1039">
        <v>0</v>
      </c>
      <c r="AK18" s="1039">
        <v>0</v>
      </c>
      <c r="AL18" s="1039">
        <v>0</v>
      </c>
      <c r="AM18" s="1041">
        <v>0</v>
      </c>
      <c r="AN18" s="1041">
        <v>0</v>
      </c>
      <c r="AO18" s="1040">
        <f t="shared" si="1"/>
        <v>0</v>
      </c>
      <c r="AP18" s="1038">
        <v>0</v>
      </c>
      <c r="AQ18" s="1040">
        <f t="shared" si="6"/>
        <v>0</v>
      </c>
      <c r="AR18" s="1038">
        <v>0</v>
      </c>
      <c r="AS18" s="1039">
        <v>0</v>
      </c>
      <c r="AT18" s="1408">
        <v>0</v>
      </c>
      <c r="AU18" s="1040">
        <f>SUM(AR18:AT18)</f>
        <v>0</v>
      </c>
      <c r="AV18" s="1038">
        <v>0</v>
      </c>
      <c r="AW18" s="1039">
        <v>0</v>
      </c>
      <c r="AX18" s="1040">
        <f>SUM(AV18:AW18)</f>
        <v>0</v>
      </c>
      <c r="AY18" s="1038">
        <v>0</v>
      </c>
      <c r="AZ18" s="1040">
        <f t="shared" si="7"/>
        <v>0</v>
      </c>
      <c r="BA18" s="1038">
        <v>0</v>
      </c>
      <c r="BB18" s="1039">
        <v>0</v>
      </c>
      <c r="BC18" s="1040">
        <f>SUM(BA18:BB18)</f>
        <v>0</v>
      </c>
      <c r="BD18" s="1042">
        <f>+IF(C18="",0,BC18+AZ18+AX18+AU18+AQ18+AO18+AH18+AF18+AD18+AA18)</f>
        <v>0</v>
      </c>
      <c r="BE18" s="1052"/>
      <c r="BF18" s="1053"/>
      <c r="BG18" s="1048">
        <f t="shared" si="8"/>
        <v>0</v>
      </c>
      <c r="BH18" s="1052"/>
      <c r="BI18" s="1053"/>
      <c r="BJ18" s="1053"/>
      <c r="BK18" s="1053"/>
      <c r="BL18" s="1048">
        <f t="shared" si="9"/>
        <v>0</v>
      </c>
      <c r="BM18" s="1052"/>
      <c r="BN18" s="1053"/>
      <c r="BO18" s="1048">
        <f t="shared" si="10"/>
        <v>0</v>
      </c>
      <c r="BP18" s="1049"/>
      <c r="BQ18" s="1050"/>
      <c r="BR18" s="1050"/>
      <c r="BS18" s="1050"/>
      <c r="BT18" s="1053"/>
      <c r="BU18" s="1048">
        <f t="shared" si="11"/>
        <v>0</v>
      </c>
      <c r="BV18" s="1049"/>
      <c r="BW18" s="1050"/>
      <c r="BX18" s="1050"/>
      <c r="BY18" s="1050"/>
      <c r="BZ18" s="1050"/>
      <c r="CA18" s="1050"/>
      <c r="CB18" s="1053"/>
      <c r="CC18" s="1048">
        <f t="shared" si="12"/>
        <v>0</v>
      </c>
      <c r="CD18" s="1052"/>
      <c r="CE18" s="1053"/>
      <c r="CF18" s="1053"/>
      <c r="CG18" s="1053"/>
      <c r="CH18" s="1048">
        <f t="shared" si="13"/>
        <v>0</v>
      </c>
      <c r="CI18" s="1049"/>
      <c r="CJ18" s="1050"/>
      <c r="CK18" s="1050"/>
      <c r="CL18" s="1050"/>
      <c r="CM18" s="1050"/>
      <c r="CN18" s="1050"/>
      <c r="CO18" s="1051">
        <f t="shared" si="2"/>
        <v>0</v>
      </c>
      <c r="CP18" s="1052"/>
      <c r="CQ18" s="1053"/>
      <c r="CR18" s="1048">
        <f t="shared" si="14"/>
        <v>0</v>
      </c>
      <c r="CS18" s="1052"/>
      <c r="CT18" s="1053"/>
      <c r="CU18" s="1053"/>
      <c r="CV18" s="1053"/>
      <c r="CW18" s="1048">
        <f t="shared" si="15"/>
        <v>0</v>
      </c>
      <c r="CX18" s="1052"/>
      <c r="CY18" s="1048">
        <f t="shared" si="16"/>
        <v>0</v>
      </c>
      <c r="CZ18" s="1103">
        <f>+IF(C18="",0,CY18+CR18+CH18+BU18+BO18+BL18+CO18+CW18+CC18+BG18)</f>
        <v>0</v>
      </c>
      <c r="DA18" s="1103">
        <f>IF(C18="",0,CZ18+BD18+W18)</f>
        <v>0</v>
      </c>
      <c r="DI18" s="1042">
        <f t="shared" si="17"/>
        <v>0</v>
      </c>
    </row>
    <row r="19" spans="1:113" s="1055" customFormat="1">
      <c r="A19" s="1028" t="s">
        <v>85</v>
      </c>
      <c r="B19" s="1102" t="s">
        <v>1347</v>
      </c>
      <c r="C19" s="1030" t="s">
        <v>111</v>
      </c>
      <c r="D19" s="1035"/>
      <c r="E19" s="1032">
        <f t="shared" si="3"/>
        <v>0</v>
      </c>
      <c r="F19" s="1035">
        <v>1.46</v>
      </c>
      <c r="G19" s="1036">
        <v>283.28000000000003</v>
      </c>
      <c r="H19" s="1032">
        <f>+IF(C19="", 0,SUM(F19:G19))</f>
        <v>284.74</v>
      </c>
      <c r="I19" s="1035">
        <v>0</v>
      </c>
      <c r="J19" s="1032">
        <f>+IF(C19="", 0,I19)</f>
        <v>0</v>
      </c>
      <c r="K19" s="1035">
        <v>0</v>
      </c>
      <c r="L19" s="1074">
        <v>0</v>
      </c>
      <c r="M19" s="1032">
        <f>+IF(C19="",0,K19+L19)</f>
        <v>0</v>
      </c>
      <c r="N19" s="1035">
        <v>103.05006411329383</v>
      </c>
      <c r="O19" s="1036">
        <v>7.2140909036472092</v>
      </c>
      <c r="P19" s="1032">
        <f>+IF(C19="", 0,SUM(N19:O19))</f>
        <v>110.26415501694103</v>
      </c>
      <c r="Q19" s="1035">
        <v>0</v>
      </c>
      <c r="R19" s="1036">
        <v>0</v>
      </c>
      <c r="S19" s="1032">
        <f>+IF(C19="",0,SUM(Q19:R19))</f>
        <v>0</v>
      </c>
      <c r="T19" s="1035">
        <v>5.5134951070500868</v>
      </c>
      <c r="U19" s="1036">
        <v>44.718775927402405</v>
      </c>
      <c r="V19" s="1032">
        <f>+IF(C19="",0,SUM(T19:U19))</f>
        <v>50.232271034452495</v>
      </c>
      <c r="W19" s="1037">
        <f>+IF(C19="",0,E19+H19+J19+M19+P19+S19+V19)</f>
        <v>445.23642605139349</v>
      </c>
      <c r="X19" s="1038">
        <v>0</v>
      </c>
      <c r="Y19" s="1039">
        <v>0</v>
      </c>
      <c r="Z19" s="1408">
        <v>0</v>
      </c>
      <c r="AA19" s="1040">
        <f>SUM(X19:Z19)</f>
        <v>0</v>
      </c>
      <c r="AB19" s="1038">
        <v>0</v>
      </c>
      <c r="AC19" s="1039">
        <v>0</v>
      </c>
      <c r="AD19" s="1040">
        <f>SUM(AB19:AC19)</f>
        <v>0</v>
      </c>
      <c r="AE19" s="1038">
        <v>0</v>
      </c>
      <c r="AF19" s="1040">
        <f t="shared" si="4"/>
        <v>0</v>
      </c>
      <c r="AG19" s="1038">
        <v>0</v>
      </c>
      <c r="AH19" s="1040">
        <f t="shared" si="5"/>
        <v>0</v>
      </c>
      <c r="AI19" s="1038">
        <v>0</v>
      </c>
      <c r="AJ19" s="1039">
        <v>0</v>
      </c>
      <c r="AK19" s="1039">
        <v>0</v>
      </c>
      <c r="AL19" s="1039">
        <v>0</v>
      </c>
      <c r="AM19" s="1041">
        <v>0</v>
      </c>
      <c r="AN19" s="1041">
        <v>0</v>
      </c>
      <c r="AO19" s="1040">
        <f t="shared" si="1"/>
        <v>0</v>
      </c>
      <c r="AP19" s="1038">
        <v>0</v>
      </c>
      <c r="AQ19" s="1040">
        <f t="shared" si="6"/>
        <v>0</v>
      </c>
      <c r="AR19" s="1038">
        <v>0</v>
      </c>
      <c r="AS19" s="1039">
        <v>0</v>
      </c>
      <c r="AT19" s="1408">
        <v>0</v>
      </c>
      <c r="AU19" s="1040">
        <f>SUM(AR19:AT19)</f>
        <v>0</v>
      </c>
      <c r="AV19" s="1038">
        <v>0</v>
      </c>
      <c r="AW19" s="1039">
        <v>0</v>
      </c>
      <c r="AX19" s="1040">
        <f>SUM(AV19:AW19)</f>
        <v>0</v>
      </c>
      <c r="AY19" s="1038">
        <v>0</v>
      </c>
      <c r="AZ19" s="1040">
        <f t="shared" si="7"/>
        <v>0</v>
      </c>
      <c r="BA19" s="1038">
        <v>0</v>
      </c>
      <c r="BB19" s="1039">
        <v>0</v>
      </c>
      <c r="BC19" s="1040">
        <f>SUM(BA19:BB19)</f>
        <v>0</v>
      </c>
      <c r="BD19" s="1042">
        <f>+IF(C19="",0,BC19+AZ19+AX19+AU19+AQ19+AO19+AH19+AF19+AD19+AA19)</f>
        <v>0</v>
      </c>
      <c r="BE19" s="1052"/>
      <c r="BF19" s="1053"/>
      <c r="BG19" s="1048">
        <f t="shared" si="8"/>
        <v>0</v>
      </c>
      <c r="BH19" s="1052"/>
      <c r="BI19" s="1053"/>
      <c r="BJ19" s="1053"/>
      <c r="BK19" s="1053"/>
      <c r="BL19" s="1048">
        <f t="shared" si="9"/>
        <v>0</v>
      </c>
      <c r="BM19" s="1052"/>
      <c r="BN19" s="1053"/>
      <c r="BO19" s="1048">
        <f t="shared" si="10"/>
        <v>0</v>
      </c>
      <c r="BP19" s="1049"/>
      <c r="BQ19" s="1050"/>
      <c r="BR19" s="1050"/>
      <c r="BS19" s="1050"/>
      <c r="BT19" s="1053"/>
      <c r="BU19" s="1048">
        <f t="shared" si="11"/>
        <v>0</v>
      </c>
      <c r="BV19" s="1049"/>
      <c r="BW19" s="1050"/>
      <c r="BX19" s="1050"/>
      <c r="BY19" s="1050"/>
      <c r="BZ19" s="1050"/>
      <c r="CA19" s="1050"/>
      <c r="CB19" s="1053"/>
      <c r="CC19" s="1048">
        <f t="shared" si="12"/>
        <v>0</v>
      </c>
      <c r="CD19" s="1052"/>
      <c r="CE19" s="1053"/>
      <c r="CF19" s="1053"/>
      <c r="CG19" s="1053"/>
      <c r="CH19" s="1048">
        <f t="shared" si="13"/>
        <v>0</v>
      </c>
      <c r="CI19" s="1049"/>
      <c r="CJ19" s="1050"/>
      <c r="CK19" s="1050"/>
      <c r="CL19" s="1050"/>
      <c r="CM19" s="1050"/>
      <c r="CN19" s="1050"/>
      <c r="CO19" s="1051">
        <f t="shared" si="2"/>
        <v>0</v>
      </c>
      <c r="CP19" s="1052"/>
      <c r="CQ19" s="1053"/>
      <c r="CR19" s="1048">
        <f t="shared" si="14"/>
        <v>0</v>
      </c>
      <c r="CS19" s="1052"/>
      <c r="CT19" s="1053"/>
      <c r="CU19" s="1053"/>
      <c r="CV19" s="1053"/>
      <c r="CW19" s="1048">
        <f t="shared" si="15"/>
        <v>0</v>
      </c>
      <c r="CX19" s="1052"/>
      <c r="CY19" s="1048">
        <f t="shared" si="16"/>
        <v>0</v>
      </c>
      <c r="CZ19" s="1103">
        <f>+IF(C19="",0,CY19+CR19+CH19+BU19+BO19+BL19+CO19+CW19+CC19+BG19)</f>
        <v>0</v>
      </c>
      <c r="DA19" s="1104">
        <f>IF(C19="",0,CZ19+BD19+W19)</f>
        <v>445.23642605139349</v>
      </c>
      <c r="DI19" s="1042">
        <f t="shared" si="17"/>
        <v>0</v>
      </c>
    </row>
    <row r="20" spans="1:113" s="1101" customFormat="1">
      <c r="A20" s="1081"/>
      <c r="B20" s="1082" t="s">
        <v>830</v>
      </c>
      <c r="C20" s="1083"/>
      <c r="D20" s="1084"/>
      <c r="E20" s="1085"/>
      <c r="F20" s="1084" t="s">
        <v>816</v>
      </c>
      <c r="G20" s="1086" t="s">
        <v>816</v>
      </c>
      <c r="H20" s="1085"/>
      <c r="I20" s="1084" t="s">
        <v>816</v>
      </c>
      <c r="J20" s="1085"/>
      <c r="K20" s="1084" t="s">
        <v>816</v>
      </c>
      <c r="L20" s="1087" t="s">
        <v>816</v>
      </c>
      <c r="M20" s="1085"/>
      <c r="N20" s="1084" t="s">
        <v>816</v>
      </c>
      <c r="O20" s="1086" t="s">
        <v>816</v>
      </c>
      <c r="P20" s="1085"/>
      <c r="Q20" s="1084" t="s">
        <v>816</v>
      </c>
      <c r="R20" s="1086" t="s">
        <v>816</v>
      </c>
      <c r="S20" s="1085"/>
      <c r="T20" s="1084" t="s">
        <v>816</v>
      </c>
      <c r="U20" s="1086" t="s">
        <v>816</v>
      </c>
      <c r="V20" s="1085"/>
      <c r="W20" s="1088"/>
      <c r="X20" s="1089"/>
      <c r="Y20" s="1090"/>
      <c r="Z20" s="1407"/>
      <c r="AA20" s="1091"/>
      <c r="AB20" s="1089"/>
      <c r="AC20" s="1090"/>
      <c r="AD20" s="1091"/>
      <c r="AE20" s="1089"/>
      <c r="AF20" s="1091"/>
      <c r="AG20" s="1089"/>
      <c r="AH20" s="1091"/>
      <c r="AI20" s="1089"/>
      <c r="AJ20" s="1090"/>
      <c r="AK20" s="1090"/>
      <c r="AL20" s="1090"/>
      <c r="AM20" s="1092"/>
      <c r="AN20" s="1092"/>
      <c r="AO20" s="1091"/>
      <c r="AP20" s="1089"/>
      <c r="AQ20" s="1091"/>
      <c r="AR20" s="1089"/>
      <c r="AS20" s="1090"/>
      <c r="AT20" s="1407"/>
      <c r="AU20" s="1091"/>
      <c r="AV20" s="1089"/>
      <c r="AW20" s="1090"/>
      <c r="AX20" s="1091"/>
      <c r="AY20" s="1089"/>
      <c r="AZ20" s="1091"/>
      <c r="BA20" s="1089"/>
      <c r="BB20" s="1090"/>
      <c r="BC20" s="1091"/>
      <c r="BD20" s="1093"/>
      <c r="BE20" s="1094"/>
      <c r="BF20" s="1095"/>
      <c r="BG20" s="1096"/>
      <c r="BH20" s="1094"/>
      <c r="BI20" s="1095"/>
      <c r="BJ20" s="1095"/>
      <c r="BK20" s="1095"/>
      <c r="BL20" s="1096"/>
      <c r="BM20" s="1094"/>
      <c r="BN20" s="1095"/>
      <c r="BO20" s="1096"/>
      <c r="BP20" s="1097"/>
      <c r="BQ20" s="1098"/>
      <c r="BR20" s="1098"/>
      <c r="BS20" s="1098"/>
      <c r="BT20" s="1095"/>
      <c r="BU20" s="1096"/>
      <c r="BV20" s="1097"/>
      <c r="BW20" s="1098"/>
      <c r="BX20" s="1098"/>
      <c r="BY20" s="1098"/>
      <c r="BZ20" s="1098"/>
      <c r="CA20" s="1098"/>
      <c r="CB20" s="1095"/>
      <c r="CC20" s="1096"/>
      <c r="CD20" s="1094"/>
      <c r="CE20" s="1095"/>
      <c r="CF20" s="1095"/>
      <c r="CG20" s="1095"/>
      <c r="CH20" s="1096"/>
      <c r="CI20" s="1097"/>
      <c r="CJ20" s="1098"/>
      <c r="CK20" s="1098"/>
      <c r="CL20" s="1098"/>
      <c r="CM20" s="1098"/>
      <c r="CN20" s="1098"/>
      <c r="CO20" s="1099"/>
      <c r="CP20" s="1094"/>
      <c r="CQ20" s="1095"/>
      <c r="CR20" s="1096"/>
      <c r="CS20" s="1094"/>
      <c r="CT20" s="1095"/>
      <c r="CU20" s="1095"/>
      <c r="CV20" s="1095"/>
      <c r="CW20" s="1096"/>
      <c r="CX20" s="1094"/>
      <c r="CY20" s="1096"/>
      <c r="CZ20" s="1100"/>
      <c r="DA20" s="1105"/>
      <c r="DI20" s="1093"/>
    </row>
    <row r="21" spans="1:113" s="1055" customFormat="1">
      <c r="A21" s="955" t="s">
        <v>35</v>
      </c>
      <c r="B21" s="1102" t="s">
        <v>1348</v>
      </c>
      <c r="C21" s="1030" t="s">
        <v>103</v>
      </c>
      <c r="D21" s="1035"/>
      <c r="E21" s="1032">
        <f t="shared" si="3"/>
        <v>0</v>
      </c>
      <c r="F21" s="1035">
        <v>0</v>
      </c>
      <c r="G21" s="1036">
        <v>0</v>
      </c>
      <c r="H21" s="1032">
        <f t="shared" ref="H21:H31" si="18">+IF(C21="", 0,SUM(F21:G21))</f>
        <v>0</v>
      </c>
      <c r="I21" s="1035">
        <v>0</v>
      </c>
      <c r="J21" s="1032">
        <f t="shared" ref="J21:J31" si="19">+IF(C21="", 0,I21)</f>
        <v>0</v>
      </c>
      <c r="K21" s="1035">
        <v>0</v>
      </c>
      <c r="L21" s="1074">
        <v>10.5</v>
      </c>
      <c r="M21" s="1032">
        <f t="shared" ref="M21:M31" si="20">+IF(C21="",0,K21+L21)</f>
        <v>10.5</v>
      </c>
      <c r="N21" s="1035">
        <v>0</v>
      </c>
      <c r="O21" s="1036">
        <v>0</v>
      </c>
      <c r="P21" s="1032">
        <f t="shared" ref="P21:P31" si="21">+IF(C21="", 0,SUM(N21:O21))</f>
        <v>0</v>
      </c>
      <c r="Q21" s="1035">
        <v>2.7149999999999999</v>
      </c>
      <c r="R21" s="1036">
        <v>2.13</v>
      </c>
      <c r="S21" s="1032">
        <f t="shared" ref="S21:S31" si="22">+IF(C21="",0,SUM(Q21:R21))</f>
        <v>4.8449999999999998</v>
      </c>
      <c r="T21" s="1035">
        <v>0</v>
      </c>
      <c r="U21" s="1036">
        <v>0</v>
      </c>
      <c r="V21" s="1032">
        <f t="shared" ref="V21:V31" si="23">+IF(C21="",0,SUM(T21:U21))</f>
        <v>0</v>
      </c>
      <c r="W21" s="1037">
        <f t="shared" ref="W21:W32" si="24">+IF(C21="",0,E21+H21+J21+M21+P21+S21+V21)</f>
        <v>15.344999999999999</v>
      </c>
      <c r="X21" s="1038">
        <v>0.1162</v>
      </c>
      <c r="Y21" s="1039">
        <v>0.32752799999999987</v>
      </c>
      <c r="Z21" s="1408">
        <v>1.2555000000000001</v>
      </c>
      <c r="AA21" s="1040">
        <f>SUM(Z21)</f>
        <v>1.2555000000000001</v>
      </c>
      <c r="AB21" s="1038">
        <v>0</v>
      </c>
      <c r="AC21" s="1039">
        <v>0</v>
      </c>
      <c r="AD21" s="1040">
        <f t="shared" ref="AD21:AD31" si="25">SUM(AB21:AC21)</f>
        <v>0</v>
      </c>
      <c r="AE21" s="1038">
        <v>0</v>
      </c>
      <c r="AF21" s="1040">
        <f t="shared" ref="AF21:AF31" si="26">+AE21</f>
        <v>0</v>
      </c>
      <c r="AG21" s="1038">
        <v>0</v>
      </c>
      <c r="AH21" s="1040">
        <f t="shared" ref="AH21:AH31" si="27">+AG21</f>
        <v>0</v>
      </c>
      <c r="AI21" s="1038">
        <v>3.4613593000000002</v>
      </c>
      <c r="AJ21" s="1039">
        <v>0.47574509999999998</v>
      </c>
      <c r="AK21" s="1039">
        <v>1.8791749999999996</v>
      </c>
      <c r="AL21" s="1039">
        <v>5.3854549999999985</v>
      </c>
      <c r="AM21" s="1041">
        <v>0</v>
      </c>
      <c r="AN21" s="1041">
        <v>0</v>
      </c>
      <c r="AO21" s="1040">
        <f>AI21+AM21+AN21</f>
        <v>3.4613593000000002</v>
      </c>
      <c r="AP21" s="1038">
        <v>0</v>
      </c>
      <c r="AQ21" s="1040">
        <f t="shared" ref="AQ21:AQ31" si="28">+AP21</f>
        <v>0</v>
      </c>
      <c r="AR21" s="1038">
        <v>4.048024979340668</v>
      </c>
      <c r="AS21" s="1039">
        <v>3.5071288000000038</v>
      </c>
      <c r="AT21" s="1408">
        <v>1.6197248000000004</v>
      </c>
      <c r="AU21" s="1040">
        <f>SUM(AT21)</f>
        <v>1.6197248000000004</v>
      </c>
      <c r="AV21" s="1038">
        <v>0</v>
      </c>
      <c r="AW21" s="1039">
        <v>0</v>
      </c>
      <c r="AX21" s="1040">
        <f t="shared" ref="AX21:AX31" si="29">SUM(AV21:AW21)</f>
        <v>0</v>
      </c>
      <c r="AY21" s="1038">
        <v>0.92583799999999972</v>
      </c>
      <c r="AZ21" s="1040">
        <f t="shared" ref="AZ21:AZ31" si="30">+AY21</f>
        <v>0.92583799999999972</v>
      </c>
      <c r="BA21" s="1038">
        <v>0</v>
      </c>
      <c r="BB21" s="1039">
        <v>0</v>
      </c>
      <c r="BC21" s="1040">
        <f t="shared" ref="BC21:BC31" si="31">SUM(BA21:BB21)</f>
        <v>0</v>
      </c>
      <c r="BD21" s="1042">
        <f t="shared" ref="BD21:BD31" si="32">+IF(C21="",0,BC21+AZ21+AX21+AU21+AQ21+AO21+AH21+AF21+AD21+AA21)</f>
        <v>7.2624221000000002</v>
      </c>
      <c r="BE21" s="1052"/>
      <c r="BF21" s="1053"/>
      <c r="BG21" s="1048">
        <f t="shared" si="8"/>
        <v>0</v>
      </c>
      <c r="BH21" s="1052"/>
      <c r="BI21" s="1053"/>
      <c r="BJ21" s="1053"/>
      <c r="BK21" s="1053"/>
      <c r="BL21" s="1048">
        <f t="shared" ref="BL21:BL31" si="33">+BH21+BI21+BJ21+BK21</f>
        <v>0</v>
      </c>
      <c r="BM21" s="1052"/>
      <c r="BN21" s="1053"/>
      <c r="BO21" s="1048">
        <f t="shared" ref="BO21:BO31" si="34">+BM21+BN21</f>
        <v>0</v>
      </c>
      <c r="BP21" s="1049"/>
      <c r="BQ21" s="1050"/>
      <c r="BR21" s="1050"/>
      <c r="BS21" s="1050"/>
      <c r="BT21" s="1053"/>
      <c r="BU21" s="1048">
        <f t="shared" ref="BU21:BU31" si="35">+SUM(BP21:BT21)</f>
        <v>0</v>
      </c>
      <c r="BV21" s="1049"/>
      <c r="BW21" s="1050"/>
      <c r="BX21" s="1050"/>
      <c r="BY21" s="1050"/>
      <c r="BZ21" s="1050"/>
      <c r="CA21" s="1050"/>
      <c r="CB21" s="1053"/>
      <c r="CC21" s="1048">
        <f t="shared" ref="CC21:CC31" si="36">+SUM(BV21:CB21)</f>
        <v>0</v>
      </c>
      <c r="CD21" s="1052"/>
      <c r="CE21" s="1053"/>
      <c r="CF21" s="1053"/>
      <c r="CG21" s="1053"/>
      <c r="CH21" s="1048">
        <f t="shared" ref="CH21:CH31" si="37">+SUM(CD21:CG21)</f>
        <v>0</v>
      </c>
      <c r="CI21" s="1049"/>
      <c r="CJ21" s="1050"/>
      <c r="CK21" s="1050"/>
      <c r="CL21" s="1050"/>
      <c r="CM21" s="1050"/>
      <c r="CN21" s="1050"/>
      <c r="CO21" s="1051">
        <f t="shared" ref="CO21:CO31" si="38">+SUM(CI21:CN21)</f>
        <v>0</v>
      </c>
      <c r="CP21" s="1052"/>
      <c r="CQ21" s="1053"/>
      <c r="CR21" s="1048">
        <f t="shared" ref="CR21:CR31" si="39">+SUM(CP21:CQ21)</f>
        <v>0</v>
      </c>
      <c r="CS21" s="1052"/>
      <c r="CT21" s="1053"/>
      <c r="CU21" s="1053"/>
      <c r="CV21" s="1053"/>
      <c r="CW21" s="1048">
        <f t="shared" ref="CW21:CW31" si="40">+SUM(CS21:CV21)</f>
        <v>0</v>
      </c>
      <c r="CX21" s="1052"/>
      <c r="CY21" s="1048">
        <f t="shared" ref="CY21:CY31" si="41">+CX21</f>
        <v>0</v>
      </c>
      <c r="CZ21" s="1103">
        <f t="shared" ref="CZ21:CZ32" si="42">+IF(C21="",0,CY21+CR21+CH21+BU21+BO21+BL21+CO21+CW21+CC21+BG21)</f>
        <v>0</v>
      </c>
      <c r="DA21" s="1104">
        <f t="shared" ref="DA21:DA32" si="43">IF(C21="",0,CZ21+BD21+W21)</f>
        <v>22.607422100000001</v>
      </c>
      <c r="DI21" s="1042">
        <f t="shared" si="17"/>
        <v>7.2624221000000002</v>
      </c>
    </row>
    <row r="22" spans="1:113" s="1055" customFormat="1" ht="30">
      <c r="A22" s="955" t="s">
        <v>87</v>
      </c>
      <c r="B22" s="1102" t="s">
        <v>1349</v>
      </c>
      <c r="C22" s="1030" t="s">
        <v>111</v>
      </c>
      <c r="D22" s="1035"/>
      <c r="E22" s="1032">
        <f t="shared" si="3"/>
        <v>0</v>
      </c>
      <c r="F22" s="1035">
        <v>1490.2199999999998</v>
      </c>
      <c r="G22" s="1036">
        <v>9732.9699999999975</v>
      </c>
      <c r="H22" s="1032">
        <f t="shared" si="18"/>
        <v>11223.189999999997</v>
      </c>
      <c r="I22" s="1035">
        <v>9827.5500000000011</v>
      </c>
      <c r="J22" s="1032">
        <f t="shared" si="19"/>
        <v>9827.5500000000011</v>
      </c>
      <c r="K22" s="1035">
        <v>852.81999999999971</v>
      </c>
      <c r="L22" s="1074">
        <v>4318.0499999999984</v>
      </c>
      <c r="M22" s="1032">
        <f t="shared" si="20"/>
        <v>5170.8699999999981</v>
      </c>
      <c r="N22" s="1035">
        <v>2412.890788432122</v>
      </c>
      <c r="O22" s="1036">
        <v>1544.9280041122583</v>
      </c>
      <c r="P22" s="1032">
        <f t="shared" si="21"/>
        <v>3957.8187925443804</v>
      </c>
      <c r="Q22" s="1035">
        <v>25401.49</v>
      </c>
      <c r="R22" s="1036">
        <v>113925.57</v>
      </c>
      <c r="S22" s="1032">
        <f t="shared" si="22"/>
        <v>139327.06</v>
      </c>
      <c r="T22" s="1035">
        <v>1175.9000000000001</v>
      </c>
      <c r="U22" s="1036">
        <v>1544.6500000000005</v>
      </c>
      <c r="V22" s="1032">
        <f t="shared" si="23"/>
        <v>2720.5500000000006</v>
      </c>
      <c r="W22" s="1037">
        <f t="shared" si="24"/>
        <v>172227.03879254436</v>
      </c>
      <c r="X22" s="1106">
        <v>0</v>
      </c>
      <c r="Y22" s="1107">
        <v>60.4</v>
      </c>
      <c r="Z22" s="1408">
        <v>0</v>
      </c>
      <c r="AA22" s="1040">
        <f>SUM(Z22)</f>
        <v>0</v>
      </c>
      <c r="AB22" s="1106">
        <v>7038.4050000000034</v>
      </c>
      <c r="AC22" s="1107">
        <v>5074.9999999999973</v>
      </c>
      <c r="AD22" s="1108">
        <f t="shared" si="25"/>
        <v>12113.405000000001</v>
      </c>
      <c r="AE22" s="1106">
        <v>40498.674000000014</v>
      </c>
      <c r="AF22" s="1108">
        <f t="shared" si="26"/>
        <v>40498.674000000014</v>
      </c>
      <c r="AG22" s="1106">
        <v>31136.800000000017</v>
      </c>
      <c r="AH22" s="1108">
        <f t="shared" si="27"/>
        <v>31136.800000000017</v>
      </c>
      <c r="AI22" s="1106">
        <v>164.55000000000004</v>
      </c>
      <c r="AJ22" s="1107">
        <v>0</v>
      </c>
      <c r="AK22" s="1107">
        <v>1438.6999999999996</v>
      </c>
      <c r="AL22" s="1107">
        <v>284.5</v>
      </c>
      <c r="AM22" s="1109">
        <v>0</v>
      </c>
      <c r="AN22" s="1109">
        <v>0</v>
      </c>
      <c r="AO22" s="1040">
        <f>AI22+AM22+AN22</f>
        <v>164.55000000000004</v>
      </c>
      <c r="AP22" s="1106">
        <v>42244.65</v>
      </c>
      <c r="AQ22" s="1108">
        <f t="shared" si="28"/>
        <v>42244.65</v>
      </c>
      <c r="AR22" s="1106">
        <v>207.10903844519433</v>
      </c>
      <c r="AS22" s="1107">
        <v>3656.7000000000007</v>
      </c>
      <c r="AT22" s="1408">
        <v>654.93499999999995</v>
      </c>
      <c r="AU22" s="1040">
        <f>SUM(AT22)</f>
        <v>654.93499999999995</v>
      </c>
      <c r="AV22" s="1106">
        <v>9543.9999999999982</v>
      </c>
      <c r="AW22" s="1107">
        <v>21281.269350000006</v>
      </c>
      <c r="AX22" s="1108">
        <f t="shared" si="29"/>
        <v>30825.269350000002</v>
      </c>
      <c r="AY22" s="1106">
        <v>2541.2999999999988</v>
      </c>
      <c r="AZ22" s="1108">
        <f t="shared" si="30"/>
        <v>2541.2999999999988</v>
      </c>
      <c r="BA22" s="1106">
        <v>58820.225000000028</v>
      </c>
      <c r="BB22" s="1107">
        <v>6395.6899999999969</v>
      </c>
      <c r="BC22" s="1108">
        <f t="shared" si="31"/>
        <v>65215.915000000023</v>
      </c>
      <c r="BD22" s="1042">
        <f t="shared" si="32"/>
        <v>225395.49835000004</v>
      </c>
      <c r="BE22" s="1052"/>
      <c r="BF22" s="1053"/>
      <c r="BG22" s="1048">
        <f t="shared" si="8"/>
        <v>0</v>
      </c>
      <c r="BH22" s="1052">
        <v>811.96</v>
      </c>
      <c r="BI22" s="1053"/>
      <c r="BJ22" s="1053"/>
      <c r="BK22" s="1053"/>
      <c r="BL22" s="1048">
        <f t="shared" si="33"/>
        <v>811.96</v>
      </c>
      <c r="BM22" s="1052"/>
      <c r="BN22" s="1053"/>
      <c r="BO22" s="1048">
        <f t="shared" si="34"/>
        <v>0</v>
      </c>
      <c r="BP22" s="1052"/>
      <c r="BQ22" s="1053"/>
      <c r="BR22" s="1053"/>
      <c r="BS22" s="1053"/>
      <c r="BT22" s="1053">
        <v>72876.2</v>
      </c>
      <c r="BU22" s="1048">
        <f t="shared" si="35"/>
        <v>72876.2</v>
      </c>
      <c r="BV22" s="1052">
        <v>1051.25</v>
      </c>
      <c r="BW22" s="1053">
        <v>127732.55</v>
      </c>
      <c r="BX22" s="1053"/>
      <c r="BY22" s="1053">
        <v>17359.900000000001</v>
      </c>
      <c r="BZ22" s="1053">
        <v>1471.4</v>
      </c>
      <c r="CA22" s="1053">
        <v>2721.2</v>
      </c>
      <c r="CB22" s="1053">
        <v>946.35</v>
      </c>
      <c r="CC22" s="1048">
        <f t="shared" si="36"/>
        <v>151282.65000000002</v>
      </c>
      <c r="CD22" s="1052"/>
      <c r="CE22" s="1053"/>
      <c r="CF22" s="1053"/>
      <c r="CG22" s="1053"/>
      <c r="CH22" s="1048">
        <f t="shared" si="37"/>
        <v>0</v>
      </c>
      <c r="CI22" s="1049"/>
      <c r="CJ22" s="1050"/>
      <c r="CK22" s="1050"/>
      <c r="CL22" s="1050"/>
      <c r="CM22" s="1050"/>
      <c r="CN22" s="1050"/>
      <c r="CO22" s="1051">
        <f t="shared" si="38"/>
        <v>0</v>
      </c>
      <c r="CP22" s="1052"/>
      <c r="CQ22" s="1053"/>
      <c r="CR22" s="1048">
        <f t="shared" si="39"/>
        <v>0</v>
      </c>
      <c r="CS22" s="1052"/>
      <c r="CT22" s="1053"/>
      <c r="CU22" s="1053"/>
      <c r="CV22" s="1053"/>
      <c r="CW22" s="1048">
        <f t="shared" si="40"/>
        <v>0</v>
      </c>
      <c r="CX22" s="1052"/>
      <c r="CY22" s="1048">
        <f t="shared" si="41"/>
        <v>0</v>
      </c>
      <c r="CZ22" s="1103">
        <f t="shared" si="42"/>
        <v>224970.81000000003</v>
      </c>
      <c r="DA22" s="1104">
        <f t="shared" si="43"/>
        <v>622593.34714254446</v>
      </c>
      <c r="DI22" s="1042">
        <f t="shared" si="17"/>
        <v>34497.585000000006</v>
      </c>
    </row>
    <row r="23" spans="1:113" s="1055" customFormat="1">
      <c r="A23" s="955" t="s">
        <v>86</v>
      </c>
      <c r="B23" s="1102" t="s">
        <v>1350</v>
      </c>
      <c r="C23" s="1030" t="s">
        <v>111</v>
      </c>
      <c r="D23" s="1035"/>
      <c r="E23" s="1032">
        <f t="shared" si="3"/>
        <v>0</v>
      </c>
      <c r="F23" s="1035">
        <v>0</v>
      </c>
      <c r="G23" s="1036">
        <v>0</v>
      </c>
      <c r="H23" s="1032">
        <f t="shared" si="18"/>
        <v>0</v>
      </c>
      <c r="I23" s="1035">
        <v>0</v>
      </c>
      <c r="J23" s="1032">
        <f t="shared" si="19"/>
        <v>0</v>
      </c>
      <c r="K23" s="1035">
        <v>0</v>
      </c>
      <c r="L23" s="1074">
        <v>0</v>
      </c>
      <c r="M23" s="1032">
        <f t="shared" si="20"/>
        <v>0</v>
      </c>
      <c r="N23" s="1035">
        <v>0</v>
      </c>
      <c r="O23" s="1036">
        <v>0</v>
      </c>
      <c r="P23" s="1032">
        <f t="shared" si="21"/>
        <v>0</v>
      </c>
      <c r="Q23" s="1035">
        <v>0</v>
      </c>
      <c r="R23" s="1036">
        <v>0</v>
      </c>
      <c r="S23" s="1032">
        <f t="shared" si="22"/>
        <v>0</v>
      </c>
      <c r="T23" s="1035">
        <v>0</v>
      </c>
      <c r="U23" s="1036">
        <v>0</v>
      </c>
      <c r="V23" s="1032">
        <f t="shared" si="23"/>
        <v>0</v>
      </c>
      <c r="W23" s="1037">
        <f t="shared" si="24"/>
        <v>0</v>
      </c>
      <c r="X23" s="1106">
        <v>0</v>
      </c>
      <c r="Y23" s="1107">
        <v>0</v>
      </c>
      <c r="Z23" s="1408">
        <v>0</v>
      </c>
      <c r="AA23" s="1040">
        <f t="shared" ref="AA23:AA31" si="44">SUM(Z23)</f>
        <v>0</v>
      </c>
      <c r="AB23" s="1106">
        <v>0</v>
      </c>
      <c r="AC23" s="1107">
        <v>0</v>
      </c>
      <c r="AD23" s="1108">
        <f t="shared" si="25"/>
        <v>0</v>
      </c>
      <c r="AE23" s="1106">
        <v>0</v>
      </c>
      <c r="AF23" s="1108">
        <f t="shared" si="26"/>
        <v>0</v>
      </c>
      <c r="AG23" s="1106">
        <v>0</v>
      </c>
      <c r="AH23" s="1108">
        <f t="shared" si="27"/>
        <v>0</v>
      </c>
      <c r="AI23" s="1106">
        <v>0</v>
      </c>
      <c r="AJ23" s="1107">
        <v>0</v>
      </c>
      <c r="AK23" s="1107">
        <v>0</v>
      </c>
      <c r="AL23" s="1107">
        <v>0</v>
      </c>
      <c r="AM23" s="1109">
        <v>0</v>
      </c>
      <c r="AN23" s="1109">
        <v>0</v>
      </c>
      <c r="AO23" s="1108">
        <f t="shared" ref="AO23:AO30" si="45">SUM(AI23:AN23)</f>
        <v>0</v>
      </c>
      <c r="AP23" s="1106">
        <v>0</v>
      </c>
      <c r="AQ23" s="1108">
        <f t="shared" si="28"/>
        <v>0</v>
      </c>
      <c r="AR23" s="1106">
        <v>0</v>
      </c>
      <c r="AS23" s="1107">
        <v>0</v>
      </c>
      <c r="AT23" s="1408">
        <v>0</v>
      </c>
      <c r="AU23" s="1108">
        <f t="shared" ref="AU23:AU30" si="46">SUM(AR23:AT23)</f>
        <v>0</v>
      </c>
      <c r="AV23" s="1106">
        <v>0</v>
      </c>
      <c r="AW23" s="1107">
        <v>0</v>
      </c>
      <c r="AX23" s="1108">
        <f t="shared" si="29"/>
        <v>0</v>
      </c>
      <c r="AY23" s="1106">
        <v>0</v>
      </c>
      <c r="AZ23" s="1108">
        <f t="shared" si="30"/>
        <v>0</v>
      </c>
      <c r="BA23" s="1106">
        <v>0</v>
      </c>
      <c r="BB23" s="1107">
        <v>0</v>
      </c>
      <c r="BC23" s="1108">
        <f t="shared" si="31"/>
        <v>0</v>
      </c>
      <c r="BD23" s="1042">
        <f t="shared" si="32"/>
        <v>0</v>
      </c>
      <c r="BE23" s="1052"/>
      <c r="BF23" s="1053"/>
      <c r="BG23" s="1048">
        <f t="shared" si="8"/>
        <v>0</v>
      </c>
      <c r="BH23" s="1052"/>
      <c r="BI23" s="1053"/>
      <c r="BJ23" s="1053"/>
      <c r="BK23" s="1053"/>
      <c r="BL23" s="1048">
        <f t="shared" si="33"/>
        <v>0</v>
      </c>
      <c r="BM23" s="1052"/>
      <c r="BN23" s="1053"/>
      <c r="BO23" s="1048">
        <f t="shared" si="34"/>
        <v>0</v>
      </c>
      <c r="BP23" s="1049"/>
      <c r="BQ23" s="1050"/>
      <c r="BR23" s="1050"/>
      <c r="BS23" s="1050"/>
      <c r="BT23" s="1053"/>
      <c r="BU23" s="1048">
        <f t="shared" si="35"/>
        <v>0</v>
      </c>
      <c r="BV23" s="1052"/>
      <c r="BW23" s="1053"/>
      <c r="BX23" s="1053"/>
      <c r="BY23" s="1053"/>
      <c r="BZ23" s="1053"/>
      <c r="CA23" s="1050"/>
      <c r="CB23" s="1053"/>
      <c r="CC23" s="1048">
        <f t="shared" si="36"/>
        <v>0</v>
      </c>
      <c r="CD23" s="1052"/>
      <c r="CE23" s="1053"/>
      <c r="CF23" s="1053"/>
      <c r="CG23" s="1053"/>
      <c r="CH23" s="1048">
        <f t="shared" si="37"/>
        <v>0</v>
      </c>
      <c r="CI23" s="1049"/>
      <c r="CJ23" s="1050"/>
      <c r="CK23" s="1050"/>
      <c r="CL23" s="1050"/>
      <c r="CM23" s="1050"/>
      <c r="CN23" s="1050"/>
      <c r="CO23" s="1051">
        <f t="shared" si="38"/>
        <v>0</v>
      </c>
      <c r="CP23" s="1052"/>
      <c r="CQ23" s="1053"/>
      <c r="CR23" s="1048">
        <f t="shared" si="39"/>
        <v>0</v>
      </c>
      <c r="CS23" s="1052"/>
      <c r="CT23" s="1053"/>
      <c r="CU23" s="1053"/>
      <c r="CV23" s="1053"/>
      <c r="CW23" s="1048">
        <f t="shared" si="40"/>
        <v>0</v>
      </c>
      <c r="CX23" s="1052"/>
      <c r="CY23" s="1048">
        <f t="shared" si="41"/>
        <v>0</v>
      </c>
      <c r="CZ23" s="1103">
        <f t="shared" si="42"/>
        <v>0</v>
      </c>
      <c r="DA23" s="1104">
        <f t="shared" si="43"/>
        <v>0</v>
      </c>
      <c r="DI23" s="1042">
        <f t="shared" si="17"/>
        <v>0</v>
      </c>
    </row>
    <row r="24" spans="1:113" s="1055" customFormat="1" ht="30">
      <c r="A24" s="955" t="s">
        <v>836</v>
      </c>
      <c r="B24" s="1102" t="s">
        <v>837</v>
      </c>
      <c r="C24" s="1030" t="s">
        <v>111</v>
      </c>
      <c r="D24" s="1035"/>
      <c r="E24" s="1032">
        <f t="shared" si="3"/>
        <v>0</v>
      </c>
      <c r="F24" s="1035">
        <v>0</v>
      </c>
      <c r="G24" s="1036">
        <v>0</v>
      </c>
      <c r="H24" s="1032">
        <f t="shared" si="18"/>
        <v>0</v>
      </c>
      <c r="I24" s="1035">
        <v>0</v>
      </c>
      <c r="J24" s="1032">
        <f t="shared" si="19"/>
        <v>0</v>
      </c>
      <c r="K24" s="1035">
        <v>0</v>
      </c>
      <c r="L24" s="1074">
        <v>0</v>
      </c>
      <c r="M24" s="1032">
        <f t="shared" si="20"/>
        <v>0</v>
      </c>
      <c r="N24" s="1035">
        <v>0</v>
      </c>
      <c r="O24" s="1036">
        <v>0</v>
      </c>
      <c r="P24" s="1032">
        <f t="shared" si="21"/>
        <v>0</v>
      </c>
      <c r="Q24" s="1035">
        <v>0</v>
      </c>
      <c r="R24" s="1036">
        <v>0</v>
      </c>
      <c r="S24" s="1032">
        <f t="shared" si="22"/>
        <v>0</v>
      </c>
      <c r="T24" s="1035">
        <v>0</v>
      </c>
      <c r="U24" s="1036">
        <v>0</v>
      </c>
      <c r="V24" s="1032">
        <f t="shared" si="23"/>
        <v>0</v>
      </c>
      <c r="W24" s="1037">
        <f t="shared" si="24"/>
        <v>0</v>
      </c>
      <c r="X24" s="1106">
        <v>0</v>
      </c>
      <c r="Y24" s="1107">
        <v>0</v>
      </c>
      <c r="Z24" s="1408">
        <v>0</v>
      </c>
      <c r="AA24" s="1040">
        <f t="shared" si="44"/>
        <v>0</v>
      </c>
      <c r="AB24" s="1106">
        <v>0</v>
      </c>
      <c r="AC24" s="1107">
        <v>0</v>
      </c>
      <c r="AD24" s="1108">
        <f t="shared" si="25"/>
        <v>0</v>
      </c>
      <c r="AE24" s="1106">
        <v>0</v>
      </c>
      <c r="AF24" s="1108">
        <f t="shared" si="26"/>
        <v>0</v>
      </c>
      <c r="AG24" s="1106">
        <v>0</v>
      </c>
      <c r="AH24" s="1108">
        <f t="shared" si="27"/>
        <v>0</v>
      </c>
      <c r="AI24" s="1106">
        <v>0</v>
      </c>
      <c r="AJ24" s="1107">
        <v>0</v>
      </c>
      <c r="AK24" s="1107">
        <v>0</v>
      </c>
      <c r="AL24" s="1107">
        <v>0</v>
      </c>
      <c r="AM24" s="1109">
        <v>0</v>
      </c>
      <c r="AN24" s="1109">
        <v>0</v>
      </c>
      <c r="AO24" s="1108">
        <f t="shared" si="45"/>
        <v>0</v>
      </c>
      <c r="AP24" s="1106">
        <v>0</v>
      </c>
      <c r="AQ24" s="1108">
        <f t="shared" si="28"/>
        <v>0</v>
      </c>
      <c r="AR24" s="1106">
        <v>0</v>
      </c>
      <c r="AS24" s="1107">
        <v>0</v>
      </c>
      <c r="AT24" s="1408">
        <v>0</v>
      </c>
      <c r="AU24" s="1108">
        <f t="shared" si="46"/>
        <v>0</v>
      </c>
      <c r="AV24" s="1106">
        <v>0</v>
      </c>
      <c r="AW24" s="1107">
        <v>0</v>
      </c>
      <c r="AX24" s="1108">
        <f t="shared" si="29"/>
        <v>0</v>
      </c>
      <c r="AY24" s="1106">
        <v>0</v>
      </c>
      <c r="AZ24" s="1108">
        <f t="shared" si="30"/>
        <v>0</v>
      </c>
      <c r="BA24" s="1106">
        <v>0</v>
      </c>
      <c r="BB24" s="1107">
        <v>0</v>
      </c>
      <c r="BC24" s="1108">
        <f t="shared" si="31"/>
        <v>0</v>
      </c>
      <c r="BD24" s="1042">
        <f t="shared" si="32"/>
        <v>0</v>
      </c>
      <c r="BE24" s="1052"/>
      <c r="BF24" s="1053"/>
      <c r="BG24" s="1048">
        <f t="shared" si="8"/>
        <v>0</v>
      </c>
      <c r="BH24" s="1052"/>
      <c r="BI24" s="1053"/>
      <c r="BJ24" s="1053"/>
      <c r="BK24" s="1053"/>
      <c r="BL24" s="1048">
        <f t="shared" si="33"/>
        <v>0</v>
      </c>
      <c r="BM24" s="1052"/>
      <c r="BN24" s="1053"/>
      <c r="BO24" s="1048">
        <f t="shared" si="34"/>
        <v>0</v>
      </c>
      <c r="BP24" s="1049"/>
      <c r="BQ24" s="1050"/>
      <c r="BR24" s="1050"/>
      <c r="BS24" s="1050"/>
      <c r="BT24" s="1053"/>
      <c r="BU24" s="1048">
        <f t="shared" si="35"/>
        <v>0</v>
      </c>
      <c r="BV24" s="1052"/>
      <c r="BW24" s="1053"/>
      <c r="BX24" s="1053"/>
      <c r="BY24" s="1053"/>
      <c r="BZ24" s="1053"/>
      <c r="CA24" s="1050"/>
      <c r="CB24" s="1053"/>
      <c r="CC24" s="1048">
        <f t="shared" si="36"/>
        <v>0</v>
      </c>
      <c r="CD24" s="1052"/>
      <c r="CE24" s="1053"/>
      <c r="CF24" s="1053"/>
      <c r="CG24" s="1053"/>
      <c r="CH24" s="1048">
        <f t="shared" si="37"/>
        <v>0</v>
      </c>
      <c r="CI24" s="1049"/>
      <c r="CJ24" s="1050"/>
      <c r="CK24" s="1050"/>
      <c r="CL24" s="1050"/>
      <c r="CM24" s="1050"/>
      <c r="CN24" s="1050"/>
      <c r="CO24" s="1051">
        <f t="shared" si="38"/>
        <v>0</v>
      </c>
      <c r="CP24" s="1052"/>
      <c r="CQ24" s="1053"/>
      <c r="CR24" s="1048">
        <f t="shared" si="39"/>
        <v>0</v>
      </c>
      <c r="CS24" s="1052"/>
      <c r="CT24" s="1053"/>
      <c r="CU24" s="1053"/>
      <c r="CV24" s="1053"/>
      <c r="CW24" s="1048">
        <f t="shared" si="40"/>
        <v>0</v>
      </c>
      <c r="CX24" s="1052"/>
      <c r="CY24" s="1048">
        <f t="shared" si="41"/>
        <v>0</v>
      </c>
      <c r="CZ24" s="1103">
        <f t="shared" si="42"/>
        <v>0</v>
      </c>
      <c r="DA24" s="1104">
        <f t="shared" si="43"/>
        <v>0</v>
      </c>
      <c r="DI24" s="1042">
        <f t="shared" si="17"/>
        <v>0</v>
      </c>
    </row>
    <row r="25" spans="1:113" s="1055" customFormat="1" ht="30">
      <c r="A25" s="955" t="s">
        <v>1351</v>
      </c>
      <c r="B25" s="1102" t="s">
        <v>1352</v>
      </c>
      <c r="C25" s="1030" t="s">
        <v>111</v>
      </c>
      <c r="D25" s="1035"/>
      <c r="E25" s="1032">
        <f t="shared" si="3"/>
        <v>0</v>
      </c>
      <c r="F25" s="1035">
        <v>1131.8400000000001</v>
      </c>
      <c r="G25" s="1036">
        <v>4594.2749999999996</v>
      </c>
      <c r="H25" s="1032">
        <f t="shared" si="18"/>
        <v>5726.1149999999998</v>
      </c>
      <c r="I25" s="1035">
        <v>0</v>
      </c>
      <c r="J25" s="1032">
        <f t="shared" si="19"/>
        <v>0</v>
      </c>
      <c r="K25" s="1035">
        <v>5636.2319999999991</v>
      </c>
      <c r="L25" s="1074">
        <v>3116.4</v>
      </c>
      <c r="M25" s="1032">
        <f t="shared" si="20"/>
        <v>8752.6319999999996</v>
      </c>
      <c r="N25" s="1035">
        <v>0</v>
      </c>
      <c r="O25" s="1036">
        <v>0</v>
      </c>
      <c r="P25" s="1032">
        <f t="shared" si="21"/>
        <v>0</v>
      </c>
      <c r="Q25" s="1035">
        <v>3021.81</v>
      </c>
      <c r="R25" s="1036">
        <v>17996.27999999464</v>
      </c>
      <c r="S25" s="1032">
        <f t="shared" si="22"/>
        <v>21018.089999994641</v>
      </c>
      <c r="T25" s="1035">
        <v>0</v>
      </c>
      <c r="U25" s="1036">
        <v>0</v>
      </c>
      <c r="V25" s="1032">
        <f t="shared" si="23"/>
        <v>0</v>
      </c>
      <c r="W25" s="1037">
        <f t="shared" si="24"/>
        <v>35496.836999994644</v>
      </c>
      <c r="X25" s="1106">
        <v>2355.19</v>
      </c>
      <c r="Y25" s="1107">
        <v>3838.9580000000001</v>
      </c>
      <c r="Z25" s="1408">
        <v>16049.550000000007</v>
      </c>
      <c r="AA25" s="1040">
        <f t="shared" si="44"/>
        <v>16049.550000000007</v>
      </c>
      <c r="AB25" s="1106">
        <v>11141.667219999972</v>
      </c>
      <c r="AC25" s="1107">
        <v>474.0499999999999</v>
      </c>
      <c r="AD25" s="1108">
        <f t="shared" si="25"/>
        <v>11615.717219999971</v>
      </c>
      <c r="AE25" s="1106">
        <v>55410.388767999961</v>
      </c>
      <c r="AF25" s="1108">
        <f t="shared" si="26"/>
        <v>55410.388767999961</v>
      </c>
      <c r="AG25" s="1106">
        <v>170021.91473799999</v>
      </c>
      <c r="AH25" s="1108">
        <f t="shared" si="27"/>
        <v>170021.91473799999</v>
      </c>
      <c r="AI25" s="1106">
        <v>46341.248999999989</v>
      </c>
      <c r="AJ25" s="1107">
        <v>7041.3259999999991</v>
      </c>
      <c r="AK25" s="1107">
        <v>29840.394000000004</v>
      </c>
      <c r="AL25" s="1107">
        <v>103506.96039999994</v>
      </c>
      <c r="AM25" s="1109">
        <v>0</v>
      </c>
      <c r="AN25" s="1109">
        <v>0</v>
      </c>
      <c r="AO25" s="1040">
        <f>AI25+AM25+AN25</f>
        <v>46341.248999999989</v>
      </c>
      <c r="AP25" s="1106">
        <v>47123.571986600116</v>
      </c>
      <c r="AQ25" s="1108">
        <f t="shared" si="28"/>
        <v>47123.571986600116</v>
      </c>
      <c r="AR25" s="1106">
        <v>83382.805540000045</v>
      </c>
      <c r="AS25" s="1107">
        <v>24459.614000000005</v>
      </c>
      <c r="AT25" s="1408">
        <v>24977.611380000017</v>
      </c>
      <c r="AU25" s="1040">
        <f t="shared" ref="AU25:AU26" si="47">SUM(AT25)</f>
        <v>24977.611380000017</v>
      </c>
      <c r="AV25" s="1106">
        <v>1601.44</v>
      </c>
      <c r="AW25" s="1107">
        <v>1499.6727500000006</v>
      </c>
      <c r="AX25" s="1108">
        <f t="shared" si="29"/>
        <v>3101.1127500000007</v>
      </c>
      <c r="AY25" s="1106">
        <v>9117.98</v>
      </c>
      <c r="AZ25" s="1108">
        <f t="shared" si="30"/>
        <v>9117.98</v>
      </c>
      <c r="BA25" s="1106">
        <v>5684.585</v>
      </c>
      <c r="BB25" s="1107">
        <v>1481.0049999999997</v>
      </c>
      <c r="BC25" s="1108">
        <f t="shared" si="31"/>
        <v>7165.59</v>
      </c>
      <c r="BD25" s="1042">
        <f t="shared" si="32"/>
        <v>390924.68584260001</v>
      </c>
      <c r="BE25" s="1052"/>
      <c r="BF25" s="1053"/>
      <c r="BG25" s="1048">
        <f t="shared" si="8"/>
        <v>0</v>
      </c>
      <c r="BH25" s="1052">
        <v>533.95000000000005</v>
      </c>
      <c r="BI25" s="1053">
        <v>6401.66</v>
      </c>
      <c r="BJ25" s="1053">
        <v>22889.15</v>
      </c>
      <c r="BK25" s="1053">
        <v>16161.75</v>
      </c>
      <c r="BL25" s="1048">
        <f t="shared" si="33"/>
        <v>45986.51</v>
      </c>
      <c r="BM25" s="1052">
        <v>27396.9</v>
      </c>
      <c r="BN25" s="1053">
        <v>15156.35</v>
      </c>
      <c r="BO25" s="1048">
        <f t="shared" si="34"/>
        <v>42553.25</v>
      </c>
      <c r="BP25" s="1052"/>
      <c r="BQ25" s="1053"/>
      <c r="BR25" s="1053"/>
      <c r="BS25" s="1053"/>
      <c r="BT25" s="1053">
        <v>466.7</v>
      </c>
      <c r="BU25" s="1048">
        <f t="shared" si="35"/>
        <v>466.7</v>
      </c>
      <c r="BV25" s="1052">
        <v>1376.11</v>
      </c>
      <c r="BW25" s="1053">
        <v>2205.0700000000002</v>
      </c>
      <c r="BX25" s="1053"/>
      <c r="BY25" s="1053">
        <v>5193.92</v>
      </c>
      <c r="BZ25" s="1053">
        <v>199.05</v>
      </c>
      <c r="CA25" s="1053">
        <v>3845.28</v>
      </c>
      <c r="CB25" s="1053">
        <v>66.05</v>
      </c>
      <c r="CC25" s="1048">
        <f t="shared" si="36"/>
        <v>12885.48</v>
      </c>
      <c r="CD25" s="1052">
        <v>527.76</v>
      </c>
      <c r="CE25" s="1053">
        <v>2902.68</v>
      </c>
      <c r="CF25" s="1053">
        <v>1055.52</v>
      </c>
      <c r="CG25" s="1053">
        <v>1055.52</v>
      </c>
      <c r="CH25" s="1048">
        <f t="shared" si="37"/>
        <v>5541.48</v>
      </c>
      <c r="CI25" s="1052">
        <v>14768.102000000001</v>
      </c>
      <c r="CJ25" s="1053">
        <v>368.3</v>
      </c>
      <c r="CK25" s="1053">
        <v>959.95</v>
      </c>
      <c r="CL25" s="1053">
        <v>1484.7</v>
      </c>
      <c r="CM25" s="1053">
        <v>3099.35</v>
      </c>
      <c r="CN25" s="1053">
        <v>2585.0500000000002</v>
      </c>
      <c r="CO25" s="1051">
        <f t="shared" si="38"/>
        <v>23265.451999999997</v>
      </c>
      <c r="CP25" s="1052">
        <v>20762.955999999998</v>
      </c>
      <c r="CQ25" s="1053">
        <v>5642.02</v>
      </c>
      <c r="CR25" s="1048">
        <f t="shared" si="39"/>
        <v>26404.975999999999</v>
      </c>
      <c r="CS25" s="1052">
        <v>36650.788999999997</v>
      </c>
      <c r="CT25" s="1053">
        <v>21966.36</v>
      </c>
      <c r="CU25" s="1053">
        <v>4166.4799999999996</v>
      </c>
      <c r="CV25" s="1053">
        <v>21998.44</v>
      </c>
      <c r="CW25" s="1048">
        <f t="shared" si="40"/>
        <v>84782.069000000003</v>
      </c>
      <c r="CX25" s="1052">
        <v>353.9</v>
      </c>
      <c r="CY25" s="1048">
        <f t="shared" si="41"/>
        <v>353.9</v>
      </c>
      <c r="CZ25" s="1103">
        <f t="shared" si="42"/>
        <v>242239.81700000001</v>
      </c>
      <c r="DA25" s="1104">
        <f t="shared" si="43"/>
        <v>668661.33984259469</v>
      </c>
      <c r="DI25" s="1042">
        <f t="shared" si="17"/>
        <v>266508.3051179999</v>
      </c>
    </row>
    <row r="26" spans="1:113" s="1055" customFormat="1">
      <c r="A26" s="955" t="s">
        <v>1353</v>
      </c>
      <c r="B26" s="1102" t="s">
        <v>1354</v>
      </c>
      <c r="C26" s="1030" t="s">
        <v>111</v>
      </c>
      <c r="D26" s="1035"/>
      <c r="E26" s="1032">
        <f t="shared" si="3"/>
        <v>0</v>
      </c>
      <c r="F26" s="1035">
        <v>1579.4684999999999</v>
      </c>
      <c r="G26" s="1036">
        <v>8057.9975000000013</v>
      </c>
      <c r="H26" s="1032">
        <f t="shared" si="18"/>
        <v>9637.4660000000003</v>
      </c>
      <c r="I26" s="1035">
        <v>8442.9453958333361</v>
      </c>
      <c r="J26" s="1032">
        <f t="shared" si="19"/>
        <v>8442.9453958333361</v>
      </c>
      <c r="K26" s="1035">
        <v>2996.6219999999998</v>
      </c>
      <c r="L26" s="1074">
        <v>1656.8999999999999</v>
      </c>
      <c r="M26" s="1032">
        <f t="shared" si="20"/>
        <v>4653.5219999999999</v>
      </c>
      <c r="N26" s="1035">
        <v>0</v>
      </c>
      <c r="O26" s="1036">
        <v>0</v>
      </c>
      <c r="P26" s="1032">
        <f t="shared" si="21"/>
        <v>0</v>
      </c>
      <c r="Q26" s="1035">
        <v>3421.3957499990847</v>
      </c>
      <c r="R26" s="1036">
        <v>6248.765749997945</v>
      </c>
      <c r="S26" s="1032">
        <f t="shared" si="22"/>
        <v>9670.1614999970298</v>
      </c>
      <c r="T26" s="1035">
        <v>0</v>
      </c>
      <c r="U26" s="1036">
        <v>0</v>
      </c>
      <c r="V26" s="1032">
        <f t="shared" si="23"/>
        <v>0</v>
      </c>
      <c r="W26" s="1037">
        <f t="shared" si="24"/>
        <v>32404.094895830367</v>
      </c>
      <c r="X26" s="1106">
        <v>342.26849999999996</v>
      </c>
      <c r="Y26" s="1107">
        <v>899.67719999999997</v>
      </c>
      <c r="Z26" s="1408">
        <v>2764.8870000000002</v>
      </c>
      <c r="AA26" s="1040">
        <f t="shared" si="44"/>
        <v>2764.8870000000002</v>
      </c>
      <c r="AB26" s="1106">
        <v>2994.4171754999857</v>
      </c>
      <c r="AC26" s="1107">
        <v>360</v>
      </c>
      <c r="AD26" s="1108">
        <f t="shared" si="25"/>
        <v>3354.4171754999857</v>
      </c>
      <c r="AE26" s="1106">
        <v>14921.775284699997</v>
      </c>
      <c r="AF26" s="1108">
        <f t="shared" si="26"/>
        <v>14921.775284699997</v>
      </c>
      <c r="AG26" s="1106">
        <v>31987.834153949992</v>
      </c>
      <c r="AH26" s="1108">
        <f t="shared" si="27"/>
        <v>31987.834153949992</v>
      </c>
      <c r="AI26" s="1106">
        <v>9333.0853499999994</v>
      </c>
      <c r="AJ26" s="1107">
        <v>1440.4141500000001</v>
      </c>
      <c r="AK26" s="1107">
        <v>4834.8801000000003</v>
      </c>
      <c r="AL26" s="1107">
        <v>13385.7801</v>
      </c>
      <c r="AM26" s="1109">
        <v>0</v>
      </c>
      <c r="AN26" s="1109">
        <v>0</v>
      </c>
      <c r="AO26" s="1040">
        <f>AI26+AM26+AN26</f>
        <v>9333.0853499999994</v>
      </c>
      <c r="AP26" s="1106">
        <v>8524.5565320150563</v>
      </c>
      <c r="AQ26" s="1108">
        <f t="shared" si="28"/>
        <v>8524.5565320150563</v>
      </c>
      <c r="AR26" s="1106">
        <v>9333.2708310000344</v>
      </c>
      <c r="AS26" s="1107">
        <v>10522.311600000001</v>
      </c>
      <c r="AT26" s="1408">
        <v>4240.1688645000113</v>
      </c>
      <c r="AU26" s="1040">
        <f t="shared" si="47"/>
        <v>4240.1688645000113</v>
      </c>
      <c r="AV26" s="1106">
        <v>93.58499999999998</v>
      </c>
      <c r="AW26" s="1107">
        <v>2752.9358999999999</v>
      </c>
      <c r="AX26" s="1108">
        <f t="shared" si="29"/>
        <v>2846.5209</v>
      </c>
      <c r="AY26" s="1106">
        <v>2640.357</v>
      </c>
      <c r="AZ26" s="1108">
        <f t="shared" si="30"/>
        <v>2640.357</v>
      </c>
      <c r="BA26" s="1106">
        <v>3421.8444</v>
      </c>
      <c r="BB26" s="1107">
        <v>473.52</v>
      </c>
      <c r="BC26" s="1108">
        <f t="shared" si="31"/>
        <v>3895.3643999999999</v>
      </c>
      <c r="BD26" s="1042">
        <f t="shared" si="32"/>
        <v>84508.966660665043</v>
      </c>
      <c r="BE26" s="1052"/>
      <c r="BF26" s="1053"/>
      <c r="BG26" s="1048">
        <f t="shared" si="8"/>
        <v>0</v>
      </c>
      <c r="BH26" s="1052">
        <v>577.5</v>
      </c>
      <c r="BI26" s="1053">
        <v>812.46</v>
      </c>
      <c r="BJ26" s="1053">
        <v>3693</v>
      </c>
      <c r="BK26" s="1053">
        <v>746.5</v>
      </c>
      <c r="BL26" s="1048">
        <f t="shared" si="33"/>
        <v>5829.46</v>
      </c>
      <c r="BM26" s="1052">
        <v>4431.6000000000004</v>
      </c>
      <c r="BN26" s="1053">
        <v>738.6</v>
      </c>
      <c r="BO26" s="1048">
        <f t="shared" si="34"/>
        <v>5170.2000000000007</v>
      </c>
      <c r="BP26" s="1052"/>
      <c r="BQ26" s="1053"/>
      <c r="BR26" s="1053"/>
      <c r="BS26" s="1053"/>
      <c r="BT26" s="1053">
        <v>360</v>
      </c>
      <c r="BU26" s="1048">
        <f t="shared" si="35"/>
        <v>360</v>
      </c>
      <c r="BV26" s="1052">
        <v>590.88</v>
      </c>
      <c r="BW26" s="1053">
        <v>832</v>
      </c>
      <c r="BX26" s="1053"/>
      <c r="BY26" s="1053">
        <v>997.11</v>
      </c>
      <c r="BZ26" s="1053">
        <v>480</v>
      </c>
      <c r="CA26" s="1053">
        <v>1218.69</v>
      </c>
      <c r="CB26" s="1053">
        <v>172.5</v>
      </c>
      <c r="CC26" s="1048">
        <f t="shared" si="36"/>
        <v>4291.18</v>
      </c>
      <c r="CD26" s="1052">
        <v>239.58</v>
      </c>
      <c r="CE26" s="1053">
        <v>1317.69</v>
      </c>
      <c r="CF26" s="1053">
        <v>479.16</v>
      </c>
      <c r="CG26" s="1053">
        <v>479.16</v>
      </c>
      <c r="CH26" s="1048">
        <f t="shared" si="37"/>
        <v>2515.59</v>
      </c>
      <c r="CI26" s="1052">
        <v>9148.0480000000007</v>
      </c>
      <c r="CJ26" s="1053">
        <v>1349.71</v>
      </c>
      <c r="CK26" s="1053">
        <v>532.5</v>
      </c>
      <c r="CL26" s="1053">
        <v>3899.17</v>
      </c>
      <c r="CM26" s="1053">
        <v>1597.5</v>
      </c>
      <c r="CN26" s="1053">
        <v>1241.7</v>
      </c>
      <c r="CO26" s="1051">
        <f t="shared" si="38"/>
        <v>17768.628000000001</v>
      </c>
      <c r="CP26" s="1052">
        <v>3747.7440000000001</v>
      </c>
      <c r="CQ26" s="1053">
        <v>5711.23</v>
      </c>
      <c r="CR26" s="1048">
        <f t="shared" si="39"/>
        <v>9458.9740000000002</v>
      </c>
      <c r="CS26" s="1052">
        <v>4899.4110000000001</v>
      </c>
      <c r="CT26" s="1053">
        <v>3226.34</v>
      </c>
      <c r="CU26" s="1053">
        <v>503.12</v>
      </c>
      <c r="CV26" s="1053">
        <v>2216.12</v>
      </c>
      <c r="CW26" s="1048">
        <f t="shared" si="40"/>
        <v>10844.991000000002</v>
      </c>
      <c r="CX26" s="1052">
        <v>180</v>
      </c>
      <c r="CY26" s="1048">
        <f t="shared" si="41"/>
        <v>180</v>
      </c>
      <c r="CZ26" s="1103">
        <f t="shared" si="42"/>
        <v>56419.023000000001</v>
      </c>
      <c r="DA26" s="1104">
        <f t="shared" si="43"/>
        <v>173332.08455649542</v>
      </c>
      <c r="DI26" s="1042">
        <f t="shared" si="17"/>
        <v>50966.332368449992</v>
      </c>
    </row>
    <row r="27" spans="1:113" s="1055" customFormat="1" ht="30">
      <c r="A27" s="955" t="s">
        <v>841</v>
      </c>
      <c r="B27" s="1102" t="s">
        <v>1355</v>
      </c>
      <c r="C27" s="1030" t="s">
        <v>111</v>
      </c>
      <c r="D27" s="1035"/>
      <c r="E27" s="1032">
        <f t="shared" si="3"/>
        <v>0</v>
      </c>
      <c r="F27" s="1035">
        <v>0</v>
      </c>
      <c r="G27" s="1036">
        <v>0</v>
      </c>
      <c r="H27" s="1032">
        <f t="shared" si="18"/>
        <v>0</v>
      </c>
      <c r="I27" s="1035">
        <v>0</v>
      </c>
      <c r="J27" s="1032">
        <f t="shared" si="19"/>
        <v>0</v>
      </c>
      <c r="K27" s="1035">
        <v>0</v>
      </c>
      <c r="L27" s="1074">
        <v>0</v>
      </c>
      <c r="M27" s="1032">
        <f t="shared" si="20"/>
        <v>0</v>
      </c>
      <c r="N27" s="1035">
        <v>0</v>
      </c>
      <c r="O27" s="1036">
        <v>0</v>
      </c>
      <c r="P27" s="1032">
        <f t="shared" si="21"/>
        <v>0</v>
      </c>
      <c r="Q27" s="1035">
        <v>14849.380000000001</v>
      </c>
      <c r="R27" s="1036">
        <v>89519.189999999988</v>
      </c>
      <c r="S27" s="1032">
        <f t="shared" si="22"/>
        <v>104368.56999999999</v>
      </c>
      <c r="T27" s="1035">
        <v>4084.25</v>
      </c>
      <c r="U27" s="1036">
        <v>5374.0399999999963</v>
      </c>
      <c r="V27" s="1032">
        <f t="shared" si="23"/>
        <v>9458.2899999999972</v>
      </c>
      <c r="W27" s="1037">
        <f t="shared" si="24"/>
        <v>113826.85999999999</v>
      </c>
      <c r="X27" s="1106">
        <v>0</v>
      </c>
      <c r="Y27" s="1107">
        <v>0</v>
      </c>
      <c r="Z27" s="1408">
        <v>0</v>
      </c>
      <c r="AA27" s="1040">
        <f t="shared" si="44"/>
        <v>0</v>
      </c>
      <c r="AB27" s="1106">
        <v>0</v>
      </c>
      <c r="AC27" s="1107">
        <v>0</v>
      </c>
      <c r="AD27" s="1108">
        <f t="shared" si="25"/>
        <v>0</v>
      </c>
      <c r="AE27" s="1106">
        <v>0</v>
      </c>
      <c r="AF27" s="1108">
        <f t="shared" si="26"/>
        <v>0</v>
      </c>
      <c r="AG27" s="1106">
        <v>0</v>
      </c>
      <c r="AH27" s="1108">
        <f t="shared" si="27"/>
        <v>0</v>
      </c>
      <c r="AI27" s="1106">
        <v>0</v>
      </c>
      <c r="AJ27" s="1107">
        <v>0</v>
      </c>
      <c r="AK27" s="1107">
        <v>0</v>
      </c>
      <c r="AL27" s="1107">
        <v>0</v>
      </c>
      <c r="AM27" s="1109">
        <v>0</v>
      </c>
      <c r="AN27" s="1109">
        <v>0</v>
      </c>
      <c r="AO27" s="1108">
        <f t="shared" si="45"/>
        <v>0</v>
      </c>
      <c r="AP27" s="1106">
        <v>0</v>
      </c>
      <c r="AQ27" s="1108">
        <f t="shared" si="28"/>
        <v>0</v>
      </c>
      <c r="AR27" s="1106">
        <v>0</v>
      </c>
      <c r="AS27" s="1107">
        <v>0</v>
      </c>
      <c r="AT27" s="1408">
        <v>0</v>
      </c>
      <c r="AU27" s="1108">
        <f t="shared" si="46"/>
        <v>0</v>
      </c>
      <c r="AV27" s="1106">
        <v>0</v>
      </c>
      <c r="AW27" s="1107">
        <v>0</v>
      </c>
      <c r="AX27" s="1108">
        <f t="shared" si="29"/>
        <v>0</v>
      </c>
      <c r="AY27" s="1106">
        <v>0</v>
      </c>
      <c r="AZ27" s="1108">
        <f t="shared" si="30"/>
        <v>0</v>
      </c>
      <c r="BA27" s="1106">
        <v>0</v>
      </c>
      <c r="BB27" s="1107">
        <v>0</v>
      </c>
      <c r="BC27" s="1108">
        <f t="shared" si="31"/>
        <v>0</v>
      </c>
      <c r="BD27" s="1042">
        <f t="shared" si="32"/>
        <v>0</v>
      </c>
      <c r="BE27" s="1052"/>
      <c r="BF27" s="1053"/>
      <c r="BG27" s="1048">
        <f t="shared" si="8"/>
        <v>0</v>
      </c>
      <c r="BH27" s="1052"/>
      <c r="BI27" s="1053"/>
      <c r="BJ27" s="1053"/>
      <c r="BK27" s="1053"/>
      <c r="BL27" s="1048">
        <f t="shared" si="33"/>
        <v>0</v>
      </c>
      <c r="BM27" s="1052"/>
      <c r="BN27" s="1053"/>
      <c r="BO27" s="1048">
        <f t="shared" si="34"/>
        <v>0</v>
      </c>
      <c r="BP27" s="1049"/>
      <c r="BQ27" s="1050"/>
      <c r="BR27" s="1050"/>
      <c r="BS27" s="1050"/>
      <c r="BT27" s="1053"/>
      <c r="BU27" s="1048">
        <f t="shared" si="35"/>
        <v>0</v>
      </c>
      <c r="BV27" s="1049"/>
      <c r="BW27" s="1050"/>
      <c r="BX27" s="1050"/>
      <c r="BY27" s="1050"/>
      <c r="BZ27" s="1050"/>
      <c r="CA27" s="1050"/>
      <c r="CB27" s="1053"/>
      <c r="CC27" s="1048">
        <f t="shared" si="36"/>
        <v>0</v>
      </c>
      <c r="CD27" s="1052"/>
      <c r="CE27" s="1053"/>
      <c r="CF27" s="1053"/>
      <c r="CG27" s="1053"/>
      <c r="CH27" s="1048">
        <f t="shared" si="37"/>
        <v>0</v>
      </c>
      <c r="CI27" s="1049"/>
      <c r="CJ27" s="1050"/>
      <c r="CK27" s="1050"/>
      <c r="CL27" s="1050"/>
      <c r="CM27" s="1050"/>
      <c r="CN27" s="1050"/>
      <c r="CO27" s="1051">
        <f t="shared" si="38"/>
        <v>0</v>
      </c>
      <c r="CP27" s="1052"/>
      <c r="CQ27" s="1053"/>
      <c r="CR27" s="1048">
        <f t="shared" si="39"/>
        <v>0</v>
      </c>
      <c r="CS27" s="1052"/>
      <c r="CT27" s="1053"/>
      <c r="CU27" s="1053"/>
      <c r="CV27" s="1053"/>
      <c r="CW27" s="1048">
        <f t="shared" si="40"/>
        <v>0</v>
      </c>
      <c r="CX27" s="1052"/>
      <c r="CY27" s="1048">
        <f t="shared" si="41"/>
        <v>0</v>
      </c>
      <c r="CZ27" s="1103">
        <f t="shared" si="42"/>
        <v>0</v>
      </c>
      <c r="DA27" s="1104">
        <f t="shared" si="43"/>
        <v>113826.85999999999</v>
      </c>
      <c r="DI27" s="1042">
        <f t="shared" si="17"/>
        <v>0</v>
      </c>
    </row>
    <row r="28" spans="1:113" s="1055" customFormat="1" ht="30">
      <c r="A28" s="955" t="s">
        <v>844</v>
      </c>
      <c r="B28" s="1102" t="s">
        <v>845</v>
      </c>
      <c r="C28" s="1030" t="s">
        <v>829</v>
      </c>
      <c r="D28" s="1035"/>
      <c r="E28" s="1032">
        <f t="shared" si="3"/>
        <v>0</v>
      </c>
      <c r="F28" s="1035">
        <v>2393.3819999999982</v>
      </c>
      <c r="G28" s="1036">
        <v>1076.4400000000005</v>
      </c>
      <c r="H28" s="1032">
        <f t="shared" si="18"/>
        <v>3469.8219999999988</v>
      </c>
      <c r="I28" s="1035">
        <v>180134.06999999998</v>
      </c>
      <c r="J28" s="1032">
        <f t="shared" si="19"/>
        <v>180134.06999999998</v>
      </c>
      <c r="K28" s="1035">
        <v>0</v>
      </c>
      <c r="L28" s="1074">
        <v>0</v>
      </c>
      <c r="M28" s="1032">
        <f t="shared" si="20"/>
        <v>0</v>
      </c>
      <c r="N28" s="1035">
        <v>0</v>
      </c>
      <c r="O28" s="1036">
        <v>0</v>
      </c>
      <c r="P28" s="1032">
        <f t="shared" si="21"/>
        <v>0</v>
      </c>
      <c r="Q28" s="1035">
        <v>0</v>
      </c>
      <c r="R28" s="1036">
        <v>0</v>
      </c>
      <c r="S28" s="1032">
        <f t="shared" si="22"/>
        <v>0</v>
      </c>
      <c r="T28" s="1035">
        <v>0</v>
      </c>
      <c r="U28" s="1036">
        <v>0</v>
      </c>
      <c r="V28" s="1032">
        <f t="shared" si="23"/>
        <v>0</v>
      </c>
      <c r="W28" s="1037">
        <f t="shared" si="24"/>
        <v>183603.89199999996</v>
      </c>
      <c r="X28" s="1106">
        <v>0</v>
      </c>
      <c r="Y28" s="1107">
        <v>0</v>
      </c>
      <c r="Z28" s="1408">
        <v>0</v>
      </c>
      <c r="AA28" s="1040">
        <f t="shared" si="44"/>
        <v>0</v>
      </c>
      <c r="AB28" s="1106">
        <v>0</v>
      </c>
      <c r="AC28" s="1107">
        <v>0</v>
      </c>
      <c r="AD28" s="1108">
        <f t="shared" si="25"/>
        <v>0</v>
      </c>
      <c r="AE28" s="1106">
        <v>0</v>
      </c>
      <c r="AF28" s="1108">
        <f t="shared" si="26"/>
        <v>0</v>
      </c>
      <c r="AG28" s="1106">
        <v>0</v>
      </c>
      <c r="AH28" s="1108">
        <f t="shared" si="27"/>
        <v>0</v>
      </c>
      <c r="AI28" s="1106">
        <v>0</v>
      </c>
      <c r="AJ28" s="1107">
        <v>0</v>
      </c>
      <c r="AK28" s="1107">
        <v>0</v>
      </c>
      <c r="AL28" s="1107">
        <v>0</v>
      </c>
      <c r="AM28" s="1109">
        <v>0</v>
      </c>
      <c r="AN28" s="1109">
        <v>0</v>
      </c>
      <c r="AO28" s="1108">
        <f t="shared" si="45"/>
        <v>0</v>
      </c>
      <c r="AP28" s="1106">
        <v>0</v>
      </c>
      <c r="AQ28" s="1108">
        <f t="shared" si="28"/>
        <v>0</v>
      </c>
      <c r="AR28" s="1106">
        <v>0</v>
      </c>
      <c r="AS28" s="1107">
        <v>0</v>
      </c>
      <c r="AT28" s="1408">
        <v>0</v>
      </c>
      <c r="AU28" s="1108">
        <f t="shared" si="46"/>
        <v>0</v>
      </c>
      <c r="AV28" s="1106">
        <v>0</v>
      </c>
      <c r="AW28" s="1107">
        <v>0</v>
      </c>
      <c r="AX28" s="1108">
        <f t="shared" si="29"/>
        <v>0</v>
      </c>
      <c r="AY28" s="1106">
        <v>0</v>
      </c>
      <c r="AZ28" s="1108">
        <f t="shared" si="30"/>
        <v>0</v>
      </c>
      <c r="BA28" s="1106">
        <v>0</v>
      </c>
      <c r="BB28" s="1107">
        <v>0</v>
      </c>
      <c r="BC28" s="1108">
        <f t="shared" si="31"/>
        <v>0</v>
      </c>
      <c r="BD28" s="1042">
        <f t="shared" si="32"/>
        <v>0</v>
      </c>
      <c r="BE28" s="1052"/>
      <c r="BF28" s="1053"/>
      <c r="BG28" s="1048">
        <f t="shared" si="8"/>
        <v>0</v>
      </c>
      <c r="BH28" s="1052"/>
      <c r="BI28" s="1053"/>
      <c r="BJ28" s="1053"/>
      <c r="BK28" s="1053"/>
      <c r="BL28" s="1048">
        <f t="shared" si="33"/>
        <v>0</v>
      </c>
      <c r="BM28" s="1052"/>
      <c r="BN28" s="1053"/>
      <c r="BO28" s="1048">
        <f t="shared" si="34"/>
        <v>0</v>
      </c>
      <c r="BP28" s="1049"/>
      <c r="BQ28" s="1050"/>
      <c r="BR28" s="1050"/>
      <c r="BS28" s="1050"/>
      <c r="BT28" s="1053"/>
      <c r="BU28" s="1048">
        <f t="shared" si="35"/>
        <v>0</v>
      </c>
      <c r="BV28" s="1049"/>
      <c r="BW28" s="1050"/>
      <c r="BX28" s="1050"/>
      <c r="BY28" s="1050"/>
      <c r="BZ28" s="1050"/>
      <c r="CA28" s="1050"/>
      <c r="CB28" s="1053"/>
      <c r="CC28" s="1048">
        <f t="shared" si="36"/>
        <v>0</v>
      </c>
      <c r="CD28" s="1052"/>
      <c r="CE28" s="1053"/>
      <c r="CF28" s="1053"/>
      <c r="CG28" s="1053"/>
      <c r="CH28" s="1048">
        <f t="shared" si="37"/>
        <v>0</v>
      </c>
      <c r="CI28" s="1049"/>
      <c r="CJ28" s="1050"/>
      <c r="CK28" s="1050"/>
      <c r="CL28" s="1050"/>
      <c r="CM28" s="1050"/>
      <c r="CN28" s="1050"/>
      <c r="CO28" s="1051">
        <f t="shared" si="38"/>
        <v>0</v>
      </c>
      <c r="CP28" s="1052"/>
      <c r="CQ28" s="1053"/>
      <c r="CR28" s="1048">
        <f t="shared" si="39"/>
        <v>0</v>
      </c>
      <c r="CS28" s="1052"/>
      <c r="CT28" s="1053"/>
      <c r="CU28" s="1053"/>
      <c r="CV28" s="1053"/>
      <c r="CW28" s="1048">
        <f t="shared" si="40"/>
        <v>0</v>
      </c>
      <c r="CX28" s="1052"/>
      <c r="CY28" s="1048">
        <f t="shared" si="41"/>
        <v>0</v>
      </c>
      <c r="CZ28" s="1103">
        <f t="shared" si="42"/>
        <v>0</v>
      </c>
      <c r="DA28" s="1104">
        <f t="shared" si="43"/>
        <v>183603.89199999996</v>
      </c>
      <c r="DI28" s="1042">
        <f t="shared" si="17"/>
        <v>0</v>
      </c>
    </row>
    <row r="29" spans="1:113" s="1055" customFormat="1">
      <c r="A29" s="955" t="s">
        <v>1356</v>
      </c>
      <c r="B29" s="1110" t="s">
        <v>1357</v>
      </c>
      <c r="C29" s="1030" t="s">
        <v>111</v>
      </c>
      <c r="D29" s="1035"/>
      <c r="E29" s="1032">
        <f t="shared" si="3"/>
        <v>0</v>
      </c>
      <c r="F29" s="1035">
        <v>0</v>
      </c>
      <c r="G29" s="1036">
        <v>1840.0541860526366</v>
      </c>
      <c r="H29" s="1032">
        <f t="shared" si="18"/>
        <v>1840.0541860526366</v>
      </c>
      <c r="I29" s="1035">
        <v>2655.84375</v>
      </c>
      <c r="J29" s="1032">
        <f t="shared" si="19"/>
        <v>2655.84375</v>
      </c>
      <c r="K29" s="1035">
        <v>0</v>
      </c>
      <c r="L29" s="1074">
        <v>0</v>
      </c>
      <c r="M29" s="1032">
        <f t="shared" si="20"/>
        <v>0</v>
      </c>
      <c r="N29" s="1035">
        <v>0</v>
      </c>
      <c r="O29" s="1036">
        <v>0</v>
      </c>
      <c r="P29" s="1032">
        <f t="shared" si="21"/>
        <v>0</v>
      </c>
      <c r="Q29" s="1035">
        <v>0</v>
      </c>
      <c r="R29" s="1036">
        <v>0</v>
      </c>
      <c r="S29" s="1032">
        <f t="shared" si="22"/>
        <v>0</v>
      </c>
      <c r="T29" s="1035">
        <v>2022.7500000000002</v>
      </c>
      <c r="U29" s="1036">
        <v>4719.75</v>
      </c>
      <c r="V29" s="1032">
        <f t="shared" si="23"/>
        <v>6742.5</v>
      </c>
      <c r="W29" s="1037">
        <f t="shared" si="24"/>
        <v>11238.397936052635</v>
      </c>
      <c r="X29" s="1106">
        <v>0</v>
      </c>
      <c r="Y29" s="1107">
        <v>0</v>
      </c>
      <c r="Z29" s="1408">
        <v>0</v>
      </c>
      <c r="AA29" s="1040">
        <f t="shared" si="44"/>
        <v>0</v>
      </c>
      <c r="AB29" s="1106">
        <v>0</v>
      </c>
      <c r="AC29" s="1107">
        <v>0</v>
      </c>
      <c r="AD29" s="1108">
        <f t="shared" si="25"/>
        <v>0</v>
      </c>
      <c r="AE29" s="1106">
        <v>0</v>
      </c>
      <c r="AF29" s="1108">
        <f t="shared" si="26"/>
        <v>0</v>
      </c>
      <c r="AG29" s="1106">
        <v>0</v>
      </c>
      <c r="AH29" s="1108">
        <f t="shared" si="27"/>
        <v>0</v>
      </c>
      <c r="AI29" s="1106">
        <v>0</v>
      </c>
      <c r="AJ29" s="1107">
        <v>0</v>
      </c>
      <c r="AK29" s="1107">
        <v>0</v>
      </c>
      <c r="AL29" s="1107">
        <v>0</v>
      </c>
      <c r="AM29" s="1109">
        <v>0</v>
      </c>
      <c r="AN29" s="1109">
        <v>0</v>
      </c>
      <c r="AO29" s="1108">
        <f t="shared" si="45"/>
        <v>0</v>
      </c>
      <c r="AP29" s="1106">
        <v>0</v>
      </c>
      <c r="AQ29" s="1108">
        <f t="shared" si="28"/>
        <v>0</v>
      </c>
      <c r="AR29" s="1106">
        <v>0</v>
      </c>
      <c r="AS29" s="1107">
        <v>0</v>
      </c>
      <c r="AT29" s="1408">
        <v>0</v>
      </c>
      <c r="AU29" s="1108">
        <f t="shared" si="46"/>
        <v>0</v>
      </c>
      <c r="AV29" s="1106">
        <v>0</v>
      </c>
      <c r="AW29" s="1107">
        <v>0</v>
      </c>
      <c r="AX29" s="1108">
        <f t="shared" si="29"/>
        <v>0</v>
      </c>
      <c r="AY29" s="1106">
        <v>0</v>
      </c>
      <c r="AZ29" s="1108">
        <f t="shared" si="30"/>
        <v>0</v>
      </c>
      <c r="BA29" s="1106">
        <v>0</v>
      </c>
      <c r="BB29" s="1107">
        <v>0</v>
      </c>
      <c r="BC29" s="1108">
        <f t="shared" si="31"/>
        <v>0</v>
      </c>
      <c r="BD29" s="1042">
        <f t="shared" si="32"/>
        <v>0</v>
      </c>
      <c r="BE29" s="1052"/>
      <c r="BF29" s="1053"/>
      <c r="BG29" s="1048">
        <f t="shared" si="8"/>
        <v>0</v>
      </c>
      <c r="BH29" s="1052"/>
      <c r="BI29" s="1053"/>
      <c r="BJ29" s="1053"/>
      <c r="BK29" s="1053"/>
      <c r="BL29" s="1048">
        <f t="shared" si="33"/>
        <v>0</v>
      </c>
      <c r="BM29" s="1052"/>
      <c r="BN29" s="1053"/>
      <c r="BO29" s="1048">
        <f t="shared" si="34"/>
        <v>0</v>
      </c>
      <c r="BP29" s="1049"/>
      <c r="BQ29" s="1050"/>
      <c r="BR29" s="1050"/>
      <c r="BS29" s="1050"/>
      <c r="BT29" s="1053"/>
      <c r="BU29" s="1048">
        <f t="shared" si="35"/>
        <v>0</v>
      </c>
      <c r="BV29" s="1049"/>
      <c r="BW29" s="1050"/>
      <c r="BX29" s="1050"/>
      <c r="BY29" s="1050"/>
      <c r="BZ29" s="1050"/>
      <c r="CA29" s="1050"/>
      <c r="CB29" s="1053"/>
      <c r="CC29" s="1048">
        <f t="shared" si="36"/>
        <v>0</v>
      </c>
      <c r="CD29" s="1052"/>
      <c r="CE29" s="1053"/>
      <c r="CF29" s="1053"/>
      <c r="CG29" s="1053"/>
      <c r="CH29" s="1048">
        <f t="shared" si="37"/>
        <v>0</v>
      </c>
      <c r="CI29" s="1049"/>
      <c r="CJ29" s="1050"/>
      <c r="CK29" s="1050"/>
      <c r="CL29" s="1050"/>
      <c r="CM29" s="1050"/>
      <c r="CN29" s="1050"/>
      <c r="CO29" s="1051">
        <f t="shared" si="38"/>
        <v>0</v>
      </c>
      <c r="CP29" s="1052"/>
      <c r="CQ29" s="1053"/>
      <c r="CR29" s="1048">
        <f t="shared" si="39"/>
        <v>0</v>
      </c>
      <c r="CS29" s="1052"/>
      <c r="CT29" s="1053"/>
      <c r="CU29" s="1053"/>
      <c r="CV29" s="1053"/>
      <c r="CW29" s="1048">
        <f t="shared" si="40"/>
        <v>0</v>
      </c>
      <c r="CX29" s="1052"/>
      <c r="CY29" s="1048">
        <f t="shared" si="41"/>
        <v>0</v>
      </c>
      <c r="CZ29" s="1103">
        <f t="shared" si="42"/>
        <v>0</v>
      </c>
      <c r="DA29" s="1104">
        <f t="shared" si="43"/>
        <v>11238.397936052635</v>
      </c>
      <c r="DI29" s="1042">
        <f t="shared" si="17"/>
        <v>0</v>
      </c>
    </row>
    <row r="30" spans="1:113" s="1055" customFormat="1">
      <c r="A30" s="955" t="s">
        <v>1358</v>
      </c>
      <c r="B30" s="1102" t="s">
        <v>1359</v>
      </c>
      <c r="C30" s="1030" t="s">
        <v>111</v>
      </c>
      <c r="D30" s="1035"/>
      <c r="E30" s="1032">
        <f t="shared" si="3"/>
        <v>0</v>
      </c>
      <c r="F30" s="1035">
        <v>0</v>
      </c>
      <c r="G30" s="1036">
        <v>0</v>
      </c>
      <c r="H30" s="1032">
        <f t="shared" si="18"/>
        <v>0</v>
      </c>
      <c r="I30" s="1035">
        <v>0</v>
      </c>
      <c r="J30" s="1032">
        <f t="shared" si="19"/>
        <v>0</v>
      </c>
      <c r="K30" s="1035">
        <v>0</v>
      </c>
      <c r="L30" s="1074">
        <v>0</v>
      </c>
      <c r="M30" s="1032">
        <f t="shared" si="20"/>
        <v>0</v>
      </c>
      <c r="N30" s="1035">
        <v>0</v>
      </c>
      <c r="O30" s="1036">
        <v>0</v>
      </c>
      <c r="P30" s="1032">
        <f t="shared" si="21"/>
        <v>0</v>
      </c>
      <c r="Q30" s="1035">
        <v>0</v>
      </c>
      <c r="R30" s="1036">
        <v>0</v>
      </c>
      <c r="S30" s="1032">
        <f t="shared" si="22"/>
        <v>0</v>
      </c>
      <c r="T30" s="1035">
        <v>0</v>
      </c>
      <c r="U30" s="1036">
        <v>0</v>
      </c>
      <c r="V30" s="1032">
        <f t="shared" si="23"/>
        <v>0</v>
      </c>
      <c r="W30" s="1037">
        <f t="shared" si="24"/>
        <v>0</v>
      </c>
      <c r="X30" s="1106">
        <v>0</v>
      </c>
      <c r="Y30" s="1107">
        <v>0</v>
      </c>
      <c r="Z30" s="1408">
        <v>0</v>
      </c>
      <c r="AA30" s="1040">
        <f t="shared" si="44"/>
        <v>0</v>
      </c>
      <c r="AB30" s="1106">
        <v>0</v>
      </c>
      <c r="AC30" s="1107">
        <v>0</v>
      </c>
      <c r="AD30" s="1108">
        <f t="shared" si="25"/>
        <v>0</v>
      </c>
      <c r="AE30" s="1106">
        <v>0</v>
      </c>
      <c r="AF30" s="1108">
        <f t="shared" si="26"/>
        <v>0</v>
      </c>
      <c r="AG30" s="1106">
        <v>0</v>
      </c>
      <c r="AH30" s="1108">
        <f t="shared" si="27"/>
        <v>0</v>
      </c>
      <c r="AI30" s="1106">
        <v>0</v>
      </c>
      <c r="AJ30" s="1107">
        <v>0</v>
      </c>
      <c r="AK30" s="1107">
        <v>0</v>
      </c>
      <c r="AL30" s="1107">
        <v>0</v>
      </c>
      <c r="AM30" s="1109">
        <v>0</v>
      </c>
      <c r="AN30" s="1109">
        <v>0</v>
      </c>
      <c r="AO30" s="1108">
        <f t="shared" si="45"/>
        <v>0</v>
      </c>
      <c r="AP30" s="1106">
        <v>0</v>
      </c>
      <c r="AQ30" s="1108">
        <f t="shared" si="28"/>
        <v>0</v>
      </c>
      <c r="AR30" s="1106">
        <v>0</v>
      </c>
      <c r="AS30" s="1107">
        <v>0</v>
      </c>
      <c r="AT30" s="1408">
        <v>0</v>
      </c>
      <c r="AU30" s="1108">
        <f t="shared" si="46"/>
        <v>0</v>
      </c>
      <c r="AV30" s="1106">
        <v>0</v>
      </c>
      <c r="AW30" s="1107">
        <v>0</v>
      </c>
      <c r="AX30" s="1108">
        <f t="shared" si="29"/>
        <v>0</v>
      </c>
      <c r="AY30" s="1106">
        <v>0</v>
      </c>
      <c r="AZ30" s="1108">
        <f t="shared" si="30"/>
        <v>0</v>
      </c>
      <c r="BA30" s="1106">
        <v>0</v>
      </c>
      <c r="BB30" s="1107">
        <v>0</v>
      </c>
      <c r="BC30" s="1108">
        <f t="shared" si="31"/>
        <v>0</v>
      </c>
      <c r="BD30" s="1042">
        <f t="shared" si="32"/>
        <v>0</v>
      </c>
      <c r="BE30" s="1052"/>
      <c r="BF30" s="1053"/>
      <c r="BG30" s="1048">
        <f t="shared" si="8"/>
        <v>0</v>
      </c>
      <c r="BH30" s="1052"/>
      <c r="BI30" s="1053"/>
      <c r="BJ30" s="1053"/>
      <c r="BK30" s="1053"/>
      <c r="BL30" s="1048">
        <f t="shared" si="33"/>
        <v>0</v>
      </c>
      <c r="BM30" s="1052"/>
      <c r="BN30" s="1053"/>
      <c r="BO30" s="1048">
        <f t="shared" si="34"/>
        <v>0</v>
      </c>
      <c r="BP30" s="1049"/>
      <c r="BQ30" s="1050"/>
      <c r="BR30" s="1050"/>
      <c r="BS30" s="1050"/>
      <c r="BT30" s="1053"/>
      <c r="BU30" s="1048">
        <f t="shared" si="35"/>
        <v>0</v>
      </c>
      <c r="BV30" s="1049"/>
      <c r="BW30" s="1050"/>
      <c r="BX30" s="1050"/>
      <c r="BY30" s="1050"/>
      <c r="BZ30" s="1050"/>
      <c r="CA30" s="1050"/>
      <c r="CB30" s="1053"/>
      <c r="CC30" s="1048">
        <f t="shared" si="36"/>
        <v>0</v>
      </c>
      <c r="CD30" s="1052"/>
      <c r="CE30" s="1053"/>
      <c r="CF30" s="1053"/>
      <c r="CG30" s="1053"/>
      <c r="CH30" s="1048">
        <f t="shared" si="37"/>
        <v>0</v>
      </c>
      <c r="CI30" s="1049"/>
      <c r="CJ30" s="1050"/>
      <c r="CK30" s="1050"/>
      <c r="CL30" s="1050"/>
      <c r="CM30" s="1050"/>
      <c r="CN30" s="1050"/>
      <c r="CO30" s="1051">
        <f t="shared" si="38"/>
        <v>0</v>
      </c>
      <c r="CP30" s="1052"/>
      <c r="CQ30" s="1053"/>
      <c r="CR30" s="1048">
        <f t="shared" si="39"/>
        <v>0</v>
      </c>
      <c r="CS30" s="1052"/>
      <c r="CT30" s="1053"/>
      <c r="CU30" s="1053"/>
      <c r="CV30" s="1053"/>
      <c r="CW30" s="1048">
        <f t="shared" si="40"/>
        <v>0</v>
      </c>
      <c r="CX30" s="1052"/>
      <c r="CY30" s="1048">
        <f t="shared" si="41"/>
        <v>0</v>
      </c>
      <c r="CZ30" s="1103">
        <f t="shared" si="42"/>
        <v>0</v>
      </c>
      <c r="DA30" s="1104">
        <f t="shared" si="43"/>
        <v>0</v>
      </c>
      <c r="DI30" s="1042">
        <f t="shared" si="17"/>
        <v>0</v>
      </c>
    </row>
    <row r="31" spans="1:113" s="1113" customFormat="1" ht="60">
      <c r="A31" s="955" t="s">
        <v>849</v>
      </c>
      <c r="B31" s="1102" t="s">
        <v>1360</v>
      </c>
      <c r="C31" s="1030" t="s">
        <v>1361</v>
      </c>
      <c r="D31" s="1035"/>
      <c r="E31" s="1032">
        <f t="shared" si="3"/>
        <v>0</v>
      </c>
      <c r="F31" s="1035">
        <f t="shared" ref="F31:G31" si="48">+(F22+F29+F24)*1.25</f>
        <v>1862.7749999999996</v>
      </c>
      <c r="G31" s="1036">
        <f t="shared" si="48"/>
        <v>14466.280232565794</v>
      </c>
      <c r="H31" s="1032">
        <f t="shared" si="18"/>
        <v>16329.055232565794</v>
      </c>
      <c r="I31" s="1035">
        <f t="shared" ref="I31" si="49">+(I22+I29+I24)*1.25</f>
        <v>15604.242187500002</v>
      </c>
      <c r="J31" s="1032">
        <f t="shared" si="19"/>
        <v>15604.242187500002</v>
      </c>
      <c r="K31" s="1035">
        <f t="shared" ref="K31:L31" si="50">+(K22+K29+K24)*1.25</f>
        <v>1066.0249999999996</v>
      </c>
      <c r="L31" s="1074">
        <f t="shared" si="50"/>
        <v>5397.5624999999982</v>
      </c>
      <c r="M31" s="1032">
        <f t="shared" si="20"/>
        <v>6463.5874999999978</v>
      </c>
      <c r="N31" s="1035">
        <f t="shared" ref="N31:O31" si="51">+(N22+N29+N24)*1.25</f>
        <v>3016.1134855401524</v>
      </c>
      <c r="O31" s="1036">
        <f t="shared" si="51"/>
        <v>1931.1600051403229</v>
      </c>
      <c r="P31" s="1032">
        <f t="shared" si="21"/>
        <v>4947.2734906804753</v>
      </c>
      <c r="Q31" s="1035">
        <f t="shared" ref="Q31:R31" si="52">+(Q22+Q29+Q24)*1.25</f>
        <v>31751.862500000003</v>
      </c>
      <c r="R31" s="1036">
        <f t="shared" si="52"/>
        <v>142406.96250000002</v>
      </c>
      <c r="S31" s="1032">
        <f t="shared" si="22"/>
        <v>174158.82500000001</v>
      </c>
      <c r="T31" s="1035">
        <f t="shared" ref="T31:U31" si="53">+(T22+T29+T24)*1.25</f>
        <v>3998.3125000000009</v>
      </c>
      <c r="U31" s="1036">
        <f t="shared" si="53"/>
        <v>7830.5000000000009</v>
      </c>
      <c r="V31" s="1032">
        <f t="shared" si="23"/>
        <v>11828.812500000002</v>
      </c>
      <c r="W31" s="1037">
        <f t="shared" si="24"/>
        <v>229331.79591074627</v>
      </c>
      <c r="X31" s="1106">
        <f t="shared" ref="X31:Z31" si="54">+(X22+X29+X24)*1.25</f>
        <v>0</v>
      </c>
      <c r="Y31" s="1107">
        <f t="shared" si="54"/>
        <v>75.5</v>
      </c>
      <c r="Z31" s="1408">
        <f t="shared" si="54"/>
        <v>0</v>
      </c>
      <c r="AA31" s="1040">
        <f t="shared" si="44"/>
        <v>0</v>
      </c>
      <c r="AB31" s="1106">
        <f t="shared" ref="AB31:AC31" si="55">+(AB22+AB29+AB24)*1.25</f>
        <v>8798.006250000004</v>
      </c>
      <c r="AC31" s="1107">
        <f t="shared" si="55"/>
        <v>6343.7499999999964</v>
      </c>
      <c r="AD31" s="1108">
        <f t="shared" si="25"/>
        <v>15141.75625</v>
      </c>
      <c r="AE31" s="1106">
        <f>+(AE22+AE29+AE24)*1.25</f>
        <v>50623.342500000013</v>
      </c>
      <c r="AF31" s="1108">
        <f t="shared" si="26"/>
        <v>50623.342500000013</v>
      </c>
      <c r="AG31" s="1106">
        <f>+(AG22+AG29+AG24)*1.25</f>
        <v>38921.000000000022</v>
      </c>
      <c r="AH31" s="1108">
        <f t="shared" si="27"/>
        <v>38921.000000000022</v>
      </c>
      <c r="AI31" s="1106">
        <f>+(AI22+AI29+AI24)*1.25</f>
        <v>205.68750000000006</v>
      </c>
      <c r="AJ31" s="1107">
        <f t="shared" ref="AJ31:AL31" si="56">+(AJ22+AJ29+AJ24)*1.25</f>
        <v>0</v>
      </c>
      <c r="AK31" s="1107">
        <f t="shared" si="56"/>
        <v>1798.3749999999995</v>
      </c>
      <c r="AL31" s="1107">
        <f t="shared" si="56"/>
        <v>355.625</v>
      </c>
      <c r="AM31" s="1109">
        <v>0</v>
      </c>
      <c r="AN31" s="1109">
        <v>0</v>
      </c>
      <c r="AO31" s="1040">
        <f>AI31+AM31+AN31</f>
        <v>205.68750000000006</v>
      </c>
      <c r="AP31" s="1106">
        <f>+(AP22+AP29+AP24)*1.25</f>
        <v>52805.8125</v>
      </c>
      <c r="AQ31" s="1108">
        <f t="shared" si="28"/>
        <v>52805.8125</v>
      </c>
      <c r="AR31" s="1106">
        <f t="shared" ref="AR31:AT31" si="57">+(AR22+AR29+AR24)*1.25</f>
        <v>258.88629805649293</v>
      </c>
      <c r="AS31" s="1107">
        <f t="shared" si="57"/>
        <v>4570.8750000000009</v>
      </c>
      <c r="AT31" s="1408">
        <f t="shared" si="57"/>
        <v>818.66874999999993</v>
      </c>
      <c r="AU31" s="1040">
        <f t="shared" ref="AU31" si="58">SUM(AT31)</f>
        <v>818.66874999999993</v>
      </c>
      <c r="AV31" s="1106">
        <f>+(AV22+AV29+AV24)*1.25</f>
        <v>11929.999999999998</v>
      </c>
      <c r="AW31" s="1107">
        <f t="shared" ref="AW31" si="59">+(AW22+AW29+AW24)*1.25</f>
        <v>26601.586687500007</v>
      </c>
      <c r="AX31" s="1108">
        <f t="shared" si="29"/>
        <v>38531.586687500007</v>
      </c>
      <c r="AY31" s="1106">
        <f>+(AY22+AY29+AY24)*1.25</f>
        <v>3176.6249999999986</v>
      </c>
      <c r="AZ31" s="1108">
        <f t="shared" si="30"/>
        <v>3176.6249999999986</v>
      </c>
      <c r="BA31" s="1106">
        <f t="shared" ref="BA31:BB31" si="60">+(BA22+BA29+BA24)*1.25</f>
        <v>73525.281250000029</v>
      </c>
      <c r="BB31" s="1107">
        <f t="shared" si="60"/>
        <v>7994.6124999999956</v>
      </c>
      <c r="BC31" s="1108">
        <f t="shared" si="31"/>
        <v>81519.893750000017</v>
      </c>
      <c r="BD31" s="1042">
        <f t="shared" si="32"/>
        <v>281744.37293750001</v>
      </c>
      <c r="BE31" s="1035">
        <f t="shared" ref="BE31:BF31" si="61">+(BE22+BE29+BE24)*1.25</f>
        <v>0</v>
      </c>
      <c r="BF31" s="1036">
        <f t="shared" si="61"/>
        <v>0</v>
      </c>
      <c r="BG31" s="1032">
        <f t="shared" si="8"/>
        <v>0</v>
      </c>
      <c r="BH31" s="1035">
        <f t="shared" ref="BH31:BK31" si="62">+(BH22+BH29+BH24)*1.25</f>
        <v>1014.95</v>
      </c>
      <c r="BI31" s="1036">
        <f t="shared" si="62"/>
        <v>0</v>
      </c>
      <c r="BJ31" s="1036">
        <f t="shared" si="62"/>
        <v>0</v>
      </c>
      <c r="BK31" s="1036">
        <f t="shared" si="62"/>
        <v>0</v>
      </c>
      <c r="BL31" s="1032">
        <f t="shared" si="33"/>
        <v>1014.95</v>
      </c>
      <c r="BM31" s="1035">
        <f t="shared" ref="BM31:BN31" si="63">+(BM22+BM29+BM24)*1.25</f>
        <v>0</v>
      </c>
      <c r="BN31" s="1036">
        <f t="shared" si="63"/>
        <v>0</v>
      </c>
      <c r="BO31" s="1032">
        <f t="shared" si="34"/>
        <v>0</v>
      </c>
      <c r="BP31" s="1035">
        <f t="shared" ref="BP31:BT31" si="64">+(BP22+BP29+BP24)*1.25</f>
        <v>0</v>
      </c>
      <c r="BQ31" s="1036">
        <f t="shared" si="64"/>
        <v>0</v>
      </c>
      <c r="BR31" s="1036">
        <f t="shared" si="64"/>
        <v>0</v>
      </c>
      <c r="BS31" s="1036">
        <f t="shared" si="64"/>
        <v>0</v>
      </c>
      <c r="BT31" s="1036">
        <f t="shared" si="64"/>
        <v>91095.25</v>
      </c>
      <c r="BU31" s="1032">
        <f t="shared" si="35"/>
        <v>91095.25</v>
      </c>
      <c r="BV31" s="1035">
        <f t="shared" ref="BV31:CB31" si="65">+(BV22+BV29+BV24)*1.25</f>
        <v>1314.0625</v>
      </c>
      <c r="BW31" s="1036">
        <f t="shared" si="65"/>
        <v>159665.6875</v>
      </c>
      <c r="BX31" s="1036">
        <f t="shared" si="65"/>
        <v>0</v>
      </c>
      <c r="BY31" s="1036">
        <f t="shared" si="65"/>
        <v>21699.875</v>
      </c>
      <c r="BZ31" s="1036">
        <f t="shared" si="65"/>
        <v>1839.25</v>
      </c>
      <c r="CA31" s="1036">
        <f t="shared" si="65"/>
        <v>3401.5</v>
      </c>
      <c r="CB31" s="1036">
        <f t="shared" si="65"/>
        <v>1182.9375</v>
      </c>
      <c r="CC31" s="1032">
        <f t="shared" si="36"/>
        <v>189103.3125</v>
      </c>
      <c r="CD31" s="1035">
        <f t="shared" ref="CD31:CG31" si="66">+(CD22+CD29+CD24)*1.25</f>
        <v>0</v>
      </c>
      <c r="CE31" s="1036">
        <f t="shared" si="66"/>
        <v>0</v>
      </c>
      <c r="CF31" s="1036">
        <f t="shared" si="66"/>
        <v>0</v>
      </c>
      <c r="CG31" s="1036">
        <f t="shared" si="66"/>
        <v>0</v>
      </c>
      <c r="CH31" s="1032">
        <f t="shared" si="37"/>
        <v>0</v>
      </c>
      <c r="CI31" s="1035">
        <f t="shared" ref="CI31:CN31" si="67">+(CI22+CI29+CI24)*1.25</f>
        <v>0</v>
      </c>
      <c r="CJ31" s="1036">
        <f t="shared" si="67"/>
        <v>0</v>
      </c>
      <c r="CK31" s="1036">
        <f t="shared" si="67"/>
        <v>0</v>
      </c>
      <c r="CL31" s="1036">
        <f t="shared" si="67"/>
        <v>0</v>
      </c>
      <c r="CM31" s="1036">
        <f t="shared" si="67"/>
        <v>0</v>
      </c>
      <c r="CN31" s="1036">
        <f t="shared" si="67"/>
        <v>0</v>
      </c>
      <c r="CO31" s="1111">
        <f t="shared" si="38"/>
        <v>0</v>
      </c>
      <c r="CP31" s="1035">
        <f t="shared" ref="CP31:CQ31" si="68">+(CP22+CP29+CP24)*1.25</f>
        <v>0</v>
      </c>
      <c r="CQ31" s="1036">
        <f t="shared" si="68"/>
        <v>0</v>
      </c>
      <c r="CR31" s="1032">
        <f t="shared" si="39"/>
        <v>0</v>
      </c>
      <c r="CS31" s="1035">
        <f t="shared" ref="CS31:CV31" si="69">+(CS22+CS29+CS24)*1.25</f>
        <v>0</v>
      </c>
      <c r="CT31" s="1036">
        <f t="shared" si="69"/>
        <v>0</v>
      </c>
      <c r="CU31" s="1036">
        <f t="shared" si="69"/>
        <v>0</v>
      </c>
      <c r="CV31" s="1036">
        <f t="shared" si="69"/>
        <v>0</v>
      </c>
      <c r="CW31" s="1032">
        <f t="shared" si="40"/>
        <v>0</v>
      </c>
      <c r="CX31" s="1035">
        <f>+(CX22+CX29+CX24)*1.25</f>
        <v>0</v>
      </c>
      <c r="CY31" s="1032">
        <f t="shared" si="41"/>
        <v>0</v>
      </c>
      <c r="CZ31" s="1037">
        <f t="shared" si="42"/>
        <v>281213.51250000001</v>
      </c>
      <c r="DA31" s="1112">
        <f t="shared" si="43"/>
        <v>792289.68134824629</v>
      </c>
      <c r="DI31" s="1042"/>
    </row>
    <row r="32" spans="1:113" s="1055" customFormat="1">
      <c r="A32" s="955" t="s">
        <v>1362</v>
      </c>
      <c r="B32" s="1102" t="s">
        <v>1363</v>
      </c>
      <c r="C32" s="1030" t="s">
        <v>1364</v>
      </c>
      <c r="D32" s="1035"/>
      <c r="E32" s="1032">
        <f t="shared" si="3"/>
        <v>0</v>
      </c>
      <c r="F32" s="1035"/>
      <c r="G32" s="1036"/>
      <c r="H32" s="1032" t="e">
        <f>+'Acarreos Tramo 2 Fase II'!Y38+'Acarreos Tramo 2 Fase II'!Y39</f>
        <v>#REF!</v>
      </c>
      <c r="I32" s="1035"/>
      <c r="J32" s="1032" t="e">
        <f>+'Acarreos Tramo 2 Fase II'!Y52+'Acarreos Tramo 2 Fase II'!Y53</f>
        <v>#REF!</v>
      </c>
      <c r="K32" s="1035"/>
      <c r="L32" s="1074"/>
      <c r="M32" s="1032" t="e">
        <f>+'Acarreos Tramo 2 Fase II'!Y66+'Acarreos Tramo 2 Fase II'!Y67</f>
        <v>#REF!</v>
      </c>
      <c r="N32" s="1035"/>
      <c r="O32" s="1036"/>
      <c r="P32" s="1032">
        <f>+'Acarreos Tramo 2 Fase II'!Y79+'Acarreos Tramo 2 Fase II'!Y80</f>
        <v>0</v>
      </c>
      <c r="Q32" s="1035"/>
      <c r="R32" s="1036"/>
      <c r="S32" s="1032" t="e">
        <f>+'Acarreos Tramo 2 Fase II'!Y93+'Acarreos Tramo 2 Fase II'!Y94</f>
        <v>#REF!</v>
      </c>
      <c r="T32" s="1035"/>
      <c r="U32" s="1036"/>
      <c r="V32" s="1032" t="e">
        <f>+'Acarreos Tramo 2 Fase II'!Y106+'Acarreos Tramo 2 Fase II'!Y107</f>
        <v>#REF!</v>
      </c>
      <c r="W32" s="1037" t="e">
        <f t="shared" si="24"/>
        <v>#REF!</v>
      </c>
      <c r="X32" s="1106"/>
      <c r="Y32" s="1107"/>
      <c r="Z32" s="1408"/>
      <c r="AA32" s="1108" t="e">
        <f>+#REF!+#REF!</f>
        <v>#REF!</v>
      </c>
      <c r="AB32" s="1106"/>
      <c r="AC32" s="1107"/>
      <c r="AD32" s="1108" t="e">
        <f>+#REF!+#REF!</f>
        <v>#REF!</v>
      </c>
      <c r="AE32" s="1106"/>
      <c r="AF32" s="1108" t="e">
        <f>+#REF!+#REF!</f>
        <v>#REF!</v>
      </c>
      <c r="AG32" s="1106"/>
      <c r="AH32" s="1108" t="e">
        <f>+#REF!+#REF!</f>
        <v>#REF!</v>
      </c>
      <c r="AI32" s="1106"/>
      <c r="AJ32" s="1107"/>
      <c r="AK32" s="1107"/>
      <c r="AL32" s="1107"/>
      <c r="AM32" s="1109"/>
      <c r="AN32" s="1109"/>
      <c r="AO32" s="1108" t="e">
        <f>+#REF!+#REF!</f>
        <v>#REF!</v>
      </c>
      <c r="AP32" s="1106"/>
      <c r="AQ32" s="1108" t="e">
        <f>+#REF!+#REF!</f>
        <v>#REF!</v>
      </c>
      <c r="AR32" s="1106"/>
      <c r="AS32" s="1107"/>
      <c r="AT32" s="1408"/>
      <c r="AU32" s="1108" t="e">
        <f>+#REF!+#REF!</f>
        <v>#REF!</v>
      </c>
      <c r="AV32" s="1106"/>
      <c r="AW32" s="1107"/>
      <c r="AX32" s="1108" t="e">
        <f>+#REF!+#REF!</f>
        <v>#REF!</v>
      </c>
      <c r="AY32" s="1106"/>
      <c r="AZ32" s="1108" t="e">
        <f>+#REF!+#REF!</f>
        <v>#REF!</v>
      </c>
      <c r="BA32" s="1106"/>
      <c r="BB32" s="1107"/>
      <c r="BC32" s="1108" t="e">
        <f>+#REF!+#REF!</f>
        <v>#REF!</v>
      </c>
      <c r="BD32" s="1042">
        <f>+BD25*5+BD26*5</f>
        <v>2377168.2625163253</v>
      </c>
      <c r="BE32" s="1052"/>
      <c r="BF32" s="1053"/>
      <c r="BG32" s="1048">
        <f t="shared" si="8"/>
        <v>0</v>
      </c>
      <c r="BH32" s="1052"/>
      <c r="BI32" s="1053"/>
      <c r="BJ32" s="1053"/>
      <c r="BK32" s="1053"/>
      <c r="BL32" s="1048" t="e">
        <f>+'Acarreos Tramo 7 Fase II'!AI24+'Acarreos Tramo 7 Fase II'!AI25</f>
        <v>#REF!</v>
      </c>
      <c r="BM32" s="1052"/>
      <c r="BN32" s="1053"/>
      <c r="BO32" s="1048" t="e">
        <f>+'Acarreos Tramo 7 Fase II'!AI38+'Acarreos Tramo 7 Fase II'!AI39</f>
        <v>#REF!</v>
      </c>
      <c r="BP32" s="1049"/>
      <c r="BQ32" s="1050"/>
      <c r="BR32" s="1050"/>
      <c r="BS32" s="1050"/>
      <c r="BT32" s="1053"/>
      <c r="BU32" s="1048" t="e">
        <f>+'Acarreos Tramo 7 Fase II'!AI51+'Acarreos Tramo 7 Fase II'!AI52</f>
        <v>#REF!</v>
      </c>
      <c r="BV32" s="1049"/>
      <c r="BW32" s="1050"/>
      <c r="BX32" s="1050"/>
      <c r="BY32" s="1050"/>
      <c r="BZ32" s="1050"/>
      <c r="CA32" s="1050"/>
      <c r="CB32" s="1053"/>
      <c r="CC32" s="1048" t="e">
        <f>+'Acarreos Tramo 7 Fase II'!AI78+'Acarreos Tramo 7 Fase II'!AI79</f>
        <v>#REF!</v>
      </c>
      <c r="CD32" s="1052"/>
      <c r="CE32" s="1053"/>
      <c r="CF32" s="1053"/>
      <c r="CG32" s="1053"/>
      <c r="CH32" s="1048" t="e">
        <f>+'Acarreos Tramo 7 Fase II'!AI65+'Acarreos Tramo 7 Fase II'!AI66</f>
        <v>#REF!</v>
      </c>
      <c r="CI32" s="1049"/>
      <c r="CJ32" s="1050"/>
      <c r="CK32" s="1050"/>
      <c r="CL32" s="1050"/>
      <c r="CM32" s="1050"/>
      <c r="CN32" s="1050"/>
      <c r="CO32" s="1051" t="e">
        <f>+'Acarreos Tramo 7 Fase II'!AI105+'Acarreos Tramo 7 Fase II'!AI106</f>
        <v>#REF!</v>
      </c>
      <c r="CP32" s="1052"/>
      <c r="CQ32" s="1053"/>
      <c r="CR32" s="1048" t="e">
        <f>+'Acarreos Tramo 7 Fase II'!AI92+'Acarreos Tramo 7 Fase II'!AI93</f>
        <v>#REF!</v>
      </c>
      <c r="CS32" s="1052"/>
      <c r="CT32" s="1053"/>
      <c r="CU32" s="1053"/>
      <c r="CV32" s="1053"/>
      <c r="CW32" s="1048" t="e">
        <f>+'Acarreos Tramo 7 Fase II'!AI119+'Acarreos Tramo 7 Fase II'!AI120</f>
        <v>#REF!</v>
      </c>
      <c r="CX32" s="1052"/>
      <c r="CY32" s="1048" t="e">
        <f>+'Acarreos Tramo 7 Fase II'!AI132+'Acarreos Tramo 7 Fase II'!AI133</f>
        <v>#REF!</v>
      </c>
      <c r="CZ32" s="1103" t="e">
        <f t="shared" si="42"/>
        <v>#REF!</v>
      </c>
      <c r="DA32" s="1104" t="e">
        <f t="shared" si="43"/>
        <v>#REF!</v>
      </c>
      <c r="DI32" s="1042"/>
    </row>
    <row r="33" spans="1:113" s="1101" customFormat="1">
      <c r="A33" s="1081"/>
      <c r="B33" s="1082" t="s">
        <v>855</v>
      </c>
      <c r="C33" s="1083"/>
      <c r="D33" s="1084"/>
      <c r="E33" s="1085"/>
      <c r="F33" s="1084" t="s">
        <v>816</v>
      </c>
      <c r="G33" s="1086" t="s">
        <v>816</v>
      </c>
      <c r="H33" s="1085"/>
      <c r="I33" s="1084" t="s">
        <v>816</v>
      </c>
      <c r="J33" s="1085"/>
      <c r="K33" s="1084" t="s">
        <v>816</v>
      </c>
      <c r="L33" s="1087" t="s">
        <v>816</v>
      </c>
      <c r="M33" s="1085"/>
      <c r="N33" s="1084" t="s">
        <v>816</v>
      </c>
      <c r="O33" s="1086" t="s">
        <v>816</v>
      </c>
      <c r="P33" s="1085"/>
      <c r="Q33" s="1084" t="s">
        <v>816</v>
      </c>
      <c r="R33" s="1086" t="s">
        <v>816</v>
      </c>
      <c r="S33" s="1085"/>
      <c r="T33" s="1084" t="s">
        <v>816</v>
      </c>
      <c r="U33" s="1086" t="s">
        <v>816</v>
      </c>
      <c r="V33" s="1085"/>
      <c r="W33" s="1088"/>
      <c r="X33" s="1089"/>
      <c r="Y33" s="1090"/>
      <c r="Z33" s="1407"/>
      <c r="AA33" s="1091"/>
      <c r="AB33" s="1089"/>
      <c r="AC33" s="1090"/>
      <c r="AD33" s="1091"/>
      <c r="AE33" s="1089"/>
      <c r="AF33" s="1091"/>
      <c r="AG33" s="1089"/>
      <c r="AH33" s="1091"/>
      <c r="AI33" s="1089"/>
      <c r="AJ33" s="1090"/>
      <c r="AK33" s="1090"/>
      <c r="AL33" s="1090"/>
      <c r="AM33" s="1092"/>
      <c r="AN33" s="1092"/>
      <c r="AO33" s="1091"/>
      <c r="AP33" s="1089"/>
      <c r="AQ33" s="1091"/>
      <c r="AR33" s="1089"/>
      <c r="AS33" s="1090"/>
      <c r="AT33" s="1407"/>
      <c r="AU33" s="1091"/>
      <c r="AV33" s="1089"/>
      <c r="AW33" s="1090"/>
      <c r="AX33" s="1091"/>
      <c r="AY33" s="1089"/>
      <c r="AZ33" s="1091"/>
      <c r="BA33" s="1089"/>
      <c r="BB33" s="1090"/>
      <c r="BC33" s="1091"/>
      <c r="BD33" s="1093"/>
      <c r="BE33" s="1094"/>
      <c r="BF33" s="1095"/>
      <c r="BG33" s="1096"/>
      <c r="BH33" s="1094"/>
      <c r="BI33" s="1095"/>
      <c r="BJ33" s="1095"/>
      <c r="BK33" s="1095"/>
      <c r="BL33" s="1096"/>
      <c r="BM33" s="1094"/>
      <c r="BN33" s="1095"/>
      <c r="BO33" s="1096"/>
      <c r="BP33" s="1097"/>
      <c r="BQ33" s="1098"/>
      <c r="BR33" s="1098"/>
      <c r="BS33" s="1098"/>
      <c r="BT33" s="1095"/>
      <c r="BU33" s="1096"/>
      <c r="BV33" s="1097"/>
      <c r="BW33" s="1098"/>
      <c r="BX33" s="1098"/>
      <c r="BY33" s="1098"/>
      <c r="BZ33" s="1098"/>
      <c r="CA33" s="1098"/>
      <c r="CB33" s="1095"/>
      <c r="CC33" s="1096"/>
      <c r="CD33" s="1094"/>
      <c r="CE33" s="1095"/>
      <c r="CF33" s="1095"/>
      <c r="CG33" s="1095"/>
      <c r="CH33" s="1096"/>
      <c r="CI33" s="1097"/>
      <c r="CJ33" s="1098"/>
      <c r="CK33" s="1098"/>
      <c r="CL33" s="1098"/>
      <c r="CM33" s="1098"/>
      <c r="CN33" s="1098"/>
      <c r="CO33" s="1099"/>
      <c r="CP33" s="1094"/>
      <c r="CQ33" s="1095"/>
      <c r="CR33" s="1096"/>
      <c r="CS33" s="1094"/>
      <c r="CT33" s="1095"/>
      <c r="CU33" s="1095"/>
      <c r="CV33" s="1095"/>
      <c r="CW33" s="1096"/>
      <c r="CX33" s="1094"/>
      <c r="CY33" s="1096"/>
      <c r="CZ33" s="1096"/>
      <c r="DA33" s="1105"/>
      <c r="DI33" s="1093"/>
    </row>
    <row r="34" spans="1:113" s="1134" customFormat="1">
      <c r="A34" s="1114"/>
      <c r="B34" s="1115" t="s">
        <v>856</v>
      </c>
      <c r="C34" s="1116"/>
      <c r="D34" s="1117"/>
      <c r="E34" s="1118"/>
      <c r="F34" s="1117" t="s">
        <v>816</v>
      </c>
      <c r="G34" s="1119" t="s">
        <v>816</v>
      </c>
      <c r="H34" s="1118"/>
      <c r="I34" s="1117" t="s">
        <v>816</v>
      </c>
      <c r="J34" s="1118"/>
      <c r="K34" s="1117" t="s">
        <v>816</v>
      </c>
      <c r="L34" s="1120" t="s">
        <v>816</v>
      </c>
      <c r="M34" s="1118"/>
      <c r="N34" s="1117" t="s">
        <v>816</v>
      </c>
      <c r="O34" s="1119" t="s">
        <v>816</v>
      </c>
      <c r="P34" s="1118"/>
      <c r="Q34" s="1117" t="s">
        <v>816</v>
      </c>
      <c r="R34" s="1119" t="s">
        <v>816</v>
      </c>
      <c r="S34" s="1118"/>
      <c r="T34" s="1117" t="s">
        <v>816</v>
      </c>
      <c r="U34" s="1119" t="s">
        <v>816</v>
      </c>
      <c r="V34" s="1118"/>
      <c r="W34" s="1121"/>
      <c r="X34" s="1122"/>
      <c r="Y34" s="1123"/>
      <c r="Z34" s="1407"/>
      <c r="AA34" s="1124"/>
      <c r="AB34" s="1122"/>
      <c r="AC34" s="1123"/>
      <c r="AD34" s="1124"/>
      <c r="AE34" s="1122"/>
      <c r="AF34" s="1124"/>
      <c r="AG34" s="1122"/>
      <c r="AH34" s="1124"/>
      <c r="AI34" s="1122"/>
      <c r="AJ34" s="1123"/>
      <c r="AK34" s="1123"/>
      <c r="AL34" s="1123"/>
      <c r="AM34" s="1125"/>
      <c r="AN34" s="1125"/>
      <c r="AO34" s="1124"/>
      <c r="AP34" s="1122"/>
      <c r="AQ34" s="1124"/>
      <c r="AR34" s="1122"/>
      <c r="AS34" s="1123"/>
      <c r="AT34" s="1407"/>
      <c r="AU34" s="1124"/>
      <c r="AV34" s="1122"/>
      <c r="AW34" s="1123"/>
      <c r="AX34" s="1124"/>
      <c r="AY34" s="1122"/>
      <c r="AZ34" s="1124"/>
      <c r="BA34" s="1122"/>
      <c r="BB34" s="1123"/>
      <c r="BC34" s="1124"/>
      <c r="BD34" s="1126"/>
      <c r="BE34" s="1127"/>
      <c r="BF34" s="1128"/>
      <c r="BG34" s="1129"/>
      <c r="BH34" s="1127"/>
      <c r="BI34" s="1128"/>
      <c r="BJ34" s="1128"/>
      <c r="BK34" s="1128"/>
      <c r="BL34" s="1129"/>
      <c r="BM34" s="1127"/>
      <c r="BN34" s="1128"/>
      <c r="BO34" s="1129"/>
      <c r="BP34" s="1130"/>
      <c r="BQ34" s="1131"/>
      <c r="BR34" s="1131"/>
      <c r="BS34" s="1131"/>
      <c r="BT34" s="1128"/>
      <c r="BU34" s="1129"/>
      <c r="BV34" s="1130"/>
      <c r="BW34" s="1131"/>
      <c r="BX34" s="1131"/>
      <c r="BY34" s="1131"/>
      <c r="BZ34" s="1131"/>
      <c r="CA34" s="1131"/>
      <c r="CB34" s="1128"/>
      <c r="CC34" s="1129"/>
      <c r="CD34" s="1127"/>
      <c r="CE34" s="1128"/>
      <c r="CF34" s="1128"/>
      <c r="CG34" s="1128"/>
      <c r="CH34" s="1129"/>
      <c r="CI34" s="1130"/>
      <c r="CJ34" s="1131"/>
      <c r="CK34" s="1131"/>
      <c r="CL34" s="1131"/>
      <c r="CM34" s="1131"/>
      <c r="CN34" s="1131"/>
      <c r="CO34" s="1132"/>
      <c r="CP34" s="1127"/>
      <c r="CQ34" s="1128"/>
      <c r="CR34" s="1129"/>
      <c r="CS34" s="1127"/>
      <c r="CT34" s="1128"/>
      <c r="CU34" s="1128"/>
      <c r="CV34" s="1128"/>
      <c r="CW34" s="1129"/>
      <c r="CX34" s="1127"/>
      <c r="CY34" s="1129"/>
      <c r="CZ34" s="1129"/>
      <c r="DA34" s="1133"/>
      <c r="DI34" s="1126"/>
    </row>
    <row r="35" spans="1:113" s="1055" customFormat="1">
      <c r="A35" s="955" t="s">
        <v>415</v>
      </c>
      <c r="B35" s="1102" t="s">
        <v>858</v>
      </c>
      <c r="C35" s="1030" t="s">
        <v>111</v>
      </c>
      <c r="D35" s="1035"/>
      <c r="E35" s="1032">
        <f t="shared" si="3"/>
        <v>0</v>
      </c>
      <c r="F35" s="1035">
        <v>40.375</v>
      </c>
      <c r="G35" s="1036">
        <v>664.10500000000002</v>
      </c>
      <c r="H35" s="1032">
        <f t="shared" ref="H35:H52" si="70">+IF(C35="", 0,SUM(F35:G35))</f>
        <v>704.48</v>
      </c>
      <c r="I35" s="1035">
        <v>1497.0615000000005</v>
      </c>
      <c r="J35" s="1032">
        <f t="shared" ref="J35:J52" si="71">+IF(C35="", 0,I35)</f>
        <v>1497.0615000000005</v>
      </c>
      <c r="K35" s="1035">
        <v>433.34343000000001</v>
      </c>
      <c r="L35" s="1074">
        <v>347.48699999999997</v>
      </c>
      <c r="M35" s="1032">
        <f t="shared" ref="M35:M52" si="72">+IF(C35="",0,K35+L35)</f>
        <v>780.83042999999998</v>
      </c>
      <c r="N35" s="1035">
        <v>0</v>
      </c>
      <c r="O35" s="1036">
        <v>0</v>
      </c>
      <c r="P35" s="1032">
        <f t="shared" ref="P35:P52" si="73">+IF(C35="", 0,SUM(N35:O35))</f>
        <v>0</v>
      </c>
      <c r="Q35" s="1035">
        <v>1014.552</v>
      </c>
      <c r="R35" s="1036">
        <v>1792.8960000000002</v>
      </c>
      <c r="S35" s="1032">
        <f t="shared" ref="S35:S52" si="74">+IF(C35="",0,SUM(Q35:R35))</f>
        <v>2807.4480000000003</v>
      </c>
      <c r="T35" s="1035">
        <v>179.34</v>
      </c>
      <c r="U35" s="1036">
        <v>521.22</v>
      </c>
      <c r="V35" s="1032">
        <f t="shared" ref="V35:V52" si="75">+IF(C35="",0,SUM(T35:U35))</f>
        <v>700.56000000000006</v>
      </c>
      <c r="W35" s="1037">
        <f t="shared" ref="W35:W52" si="76">+IF(C35="",0,E35+H35+J35+M35+P35+S35+V35)</f>
        <v>6490.379930000001</v>
      </c>
      <c r="X35" s="1038">
        <v>0</v>
      </c>
      <c r="Y35" s="1039">
        <v>0</v>
      </c>
      <c r="Z35" s="1408">
        <v>0</v>
      </c>
      <c r="AA35" s="1040">
        <f t="shared" ref="AA35:AA36" si="77">SUM(X35:Z35)</f>
        <v>0</v>
      </c>
      <c r="AB35" s="1038">
        <v>0</v>
      </c>
      <c r="AC35" s="1039">
        <v>0</v>
      </c>
      <c r="AD35" s="1040">
        <f t="shared" ref="AD35:AD52" si="78">SUM(AB35:AC35)</f>
        <v>0</v>
      </c>
      <c r="AE35" s="1038">
        <v>0</v>
      </c>
      <c r="AF35" s="1040">
        <f t="shared" ref="AF35:AF52" si="79">+AE35</f>
        <v>0</v>
      </c>
      <c r="AG35" s="1038">
        <v>0</v>
      </c>
      <c r="AH35" s="1040">
        <f t="shared" ref="AH35:AH52" si="80">+AG35</f>
        <v>0</v>
      </c>
      <c r="AI35" s="1038">
        <v>0</v>
      </c>
      <c r="AJ35" s="1039">
        <v>0</v>
      </c>
      <c r="AK35" s="1039">
        <v>0</v>
      </c>
      <c r="AL35" s="1039">
        <v>0</v>
      </c>
      <c r="AM35" s="1041">
        <v>0</v>
      </c>
      <c r="AN35" s="1041">
        <v>0</v>
      </c>
      <c r="AO35" s="1040">
        <f t="shared" ref="AO35:AO52" si="81">SUM(AI35:AN35)</f>
        <v>0</v>
      </c>
      <c r="AP35" s="1038">
        <v>0</v>
      </c>
      <c r="AQ35" s="1040">
        <f t="shared" ref="AQ35:AQ52" si="82">+AP35</f>
        <v>0</v>
      </c>
      <c r="AR35" s="1038">
        <v>0</v>
      </c>
      <c r="AS35" s="1039">
        <v>0</v>
      </c>
      <c r="AT35" s="1408">
        <v>0</v>
      </c>
      <c r="AU35" s="1040">
        <f t="shared" ref="AU35:AU36" si="83">SUM(AR35:AT35)</f>
        <v>0</v>
      </c>
      <c r="AV35" s="1038">
        <v>0</v>
      </c>
      <c r="AW35" s="1039">
        <v>0</v>
      </c>
      <c r="AX35" s="1040">
        <f t="shared" ref="AX35:AX52" si="84">SUM(AV35:AW35)</f>
        <v>0</v>
      </c>
      <c r="AY35" s="1038">
        <v>0</v>
      </c>
      <c r="AZ35" s="1040">
        <f t="shared" ref="AZ35:AZ52" si="85">+AY35</f>
        <v>0</v>
      </c>
      <c r="BA35" s="1038">
        <v>0</v>
      </c>
      <c r="BB35" s="1039">
        <v>0</v>
      </c>
      <c r="BC35" s="1040">
        <f t="shared" ref="BC35:BC52" si="86">SUM(BA35:BB35)</f>
        <v>0</v>
      </c>
      <c r="BD35" s="1042">
        <f t="shared" ref="BD35:BD52" si="87">+IF(C35="",0,BC35+AZ35+AX35+AU35+AQ35+AO35+AH35+AF35+AD35+AA35)</f>
        <v>0</v>
      </c>
      <c r="BE35" s="1052"/>
      <c r="BF35" s="1053"/>
      <c r="BG35" s="1048">
        <f t="shared" si="8"/>
        <v>0</v>
      </c>
      <c r="BH35" s="1052"/>
      <c r="BI35" s="1053"/>
      <c r="BJ35" s="1053"/>
      <c r="BK35" s="1053"/>
      <c r="BL35" s="1048">
        <f t="shared" ref="BL35:BL52" si="88">+BH35+BI35+BJ35+BK35</f>
        <v>0</v>
      </c>
      <c r="BM35" s="1052"/>
      <c r="BN35" s="1053"/>
      <c r="BO35" s="1048">
        <f t="shared" ref="BO35:BO52" si="89">+BM35+BN35</f>
        <v>0</v>
      </c>
      <c r="BP35" s="1049"/>
      <c r="BQ35" s="1050"/>
      <c r="BR35" s="1050"/>
      <c r="BS35" s="1050"/>
      <c r="BT35" s="1053"/>
      <c r="BU35" s="1048">
        <f t="shared" ref="BU35:BU52" si="90">+SUM(BP35:BT35)</f>
        <v>0</v>
      </c>
      <c r="BV35" s="1049"/>
      <c r="BW35" s="1050"/>
      <c r="BX35" s="1050"/>
      <c r="BY35" s="1050"/>
      <c r="BZ35" s="1050"/>
      <c r="CA35" s="1050"/>
      <c r="CB35" s="1053"/>
      <c r="CC35" s="1048">
        <f t="shared" ref="CC35:CC52" si="91">+SUM(BV35:CB35)</f>
        <v>0</v>
      </c>
      <c r="CD35" s="1052"/>
      <c r="CE35" s="1053"/>
      <c r="CF35" s="1053"/>
      <c r="CG35" s="1053"/>
      <c r="CH35" s="1048">
        <f t="shared" ref="CH35:CH52" si="92">+SUM(CD35:CG35)</f>
        <v>0</v>
      </c>
      <c r="CI35" s="1049"/>
      <c r="CJ35" s="1050"/>
      <c r="CK35" s="1050"/>
      <c r="CL35" s="1050"/>
      <c r="CM35" s="1050"/>
      <c r="CN35" s="1050"/>
      <c r="CO35" s="1051">
        <f t="shared" ref="CO35:CO52" si="93">+SUM(CI35:CN35)</f>
        <v>0</v>
      </c>
      <c r="CP35" s="1052"/>
      <c r="CQ35" s="1053"/>
      <c r="CR35" s="1048">
        <f t="shared" ref="CR35:CR52" si="94">+SUM(CP35:CQ35)</f>
        <v>0</v>
      </c>
      <c r="CS35" s="1052"/>
      <c r="CT35" s="1053"/>
      <c r="CU35" s="1053"/>
      <c r="CV35" s="1053"/>
      <c r="CW35" s="1048">
        <f t="shared" ref="CW35:CW52" si="95">+SUM(CS35:CV35)</f>
        <v>0</v>
      </c>
      <c r="CX35" s="1052"/>
      <c r="CY35" s="1048">
        <f t="shared" ref="CY35:CY52" si="96">+CX35</f>
        <v>0</v>
      </c>
      <c r="CZ35" s="1103">
        <f t="shared" ref="CZ35:CZ52" si="97">+IF(C35="",0,CY35+CR35+CH35+BU35+BO35+BL35+CO35+CW35+CC35+BG35)</f>
        <v>0</v>
      </c>
      <c r="DA35" s="1104">
        <f t="shared" ref="DA35:DA52" si="98">IF(C35="",0,CZ35+BD35+W35)</f>
        <v>6490.379930000001</v>
      </c>
      <c r="DI35" s="1042">
        <f t="shared" ref="DI35:DI52" si="99">+IF(BH35="",0,DH35+DE35+DC35+CZ35+CV35+CT35+CM35+CK35+CI35+CF35)</f>
        <v>0</v>
      </c>
    </row>
    <row r="36" spans="1:113" s="1055" customFormat="1">
      <c r="A36" s="955" t="s">
        <v>416</v>
      </c>
      <c r="B36" s="1102" t="s">
        <v>1365</v>
      </c>
      <c r="C36" s="1030" t="s">
        <v>111</v>
      </c>
      <c r="D36" s="1035"/>
      <c r="E36" s="1032">
        <f t="shared" si="3"/>
        <v>0</v>
      </c>
      <c r="F36" s="1035">
        <v>0</v>
      </c>
      <c r="G36" s="1036">
        <v>0</v>
      </c>
      <c r="H36" s="1032">
        <f t="shared" si="70"/>
        <v>0</v>
      </c>
      <c r="I36" s="1035">
        <v>0</v>
      </c>
      <c r="J36" s="1032">
        <f t="shared" si="71"/>
        <v>0</v>
      </c>
      <c r="K36" s="1035">
        <v>0</v>
      </c>
      <c r="L36" s="1074">
        <v>0</v>
      </c>
      <c r="M36" s="1032">
        <f t="shared" si="72"/>
        <v>0</v>
      </c>
      <c r="N36" s="1035">
        <v>0</v>
      </c>
      <c r="O36" s="1036">
        <v>0</v>
      </c>
      <c r="P36" s="1032">
        <f t="shared" si="73"/>
        <v>0</v>
      </c>
      <c r="Q36" s="1035">
        <v>0</v>
      </c>
      <c r="R36" s="1036">
        <v>0</v>
      </c>
      <c r="S36" s="1032">
        <f t="shared" si="74"/>
        <v>0</v>
      </c>
      <c r="T36" s="1035">
        <v>0</v>
      </c>
      <c r="U36" s="1036">
        <v>0</v>
      </c>
      <c r="V36" s="1032">
        <f t="shared" si="75"/>
        <v>0</v>
      </c>
      <c r="W36" s="1037">
        <f t="shared" si="76"/>
        <v>0</v>
      </c>
      <c r="X36" s="1038">
        <v>0</v>
      </c>
      <c r="Y36" s="1039">
        <v>0</v>
      </c>
      <c r="Z36" s="1408">
        <v>0</v>
      </c>
      <c r="AA36" s="1040">
        <f t="shared" si="77"/>
        <v>0</v>
      </c>
      <c r="AB36" s="1038">
        <v>0</v>
      </c>
      <c r="AC36" s="1039">
        <v>0</v>
      </c>
      <c r="AD36" s="1040">
        <f t="shared" si="78"/>
        <v>0</v>
      </c>
      <c r="AE36" s="1038">
        <v>0</v>
      </c>
      <c r="AF36" s="1040">
        <f t="shared" si="79"/>
        <v>0</v>
      </c>
      <c r="AG36" s="1038">
        <v>0</v>
      </c>
      <c r="AH36" s="1040">
        <f t="shared" si="80"/>
        <v>0</v>
      </c>
      <c r="AI36" s="1038">
        <v>0</v>
      </c>
      <c r="AJ36" s="1039">
        <v>0</v>
      </c>
      <c r="AK36" s="1039">
        <v>0</v>
      </c>
      <c r="AL36" s="1039">
        <v>0</v>
      </c>
      <c r="AM36" s="1041">
        <v>0</v>
      </c>
      <c r="AN36" s="1041">
        <v>0</v>
      </c>
      <c r="AO36" s="1040">
        <f t="shared" si="81"/>
        <v>0</v>
      </c>
      <c r="AP36" s="1038">
        <v>0</v>
      </c>
      <c r="AQ36" s="1040">
        <f t="shared" si="82"/>
        <v>0</v>
      </c>
      <c r="AR36" s="1038">
        <v>0</v>
      </c>
      <c r="AS36" s="1039">
        <v>0</v>
      </c>
      <c r="AT36" s="1408">
        <v>0</v>
      </c>
      <c r="AU36" s="1040">
        <f t="shared" si="83"/>
        <v>0</v>
      </c>
      <c r="AV36" s="1038">
        <v>0</v>
      </c>
      <c r="AW36" s="1039">
        <v>0</v>
      </c>
      <c r="AX36" s="1040">
        <f t="shared" si="84"/>
        <v>0</v>
      </c>
      <c r="AY36" s="1038">
        <v>0</v>
      </c>
      <c r="AZ36" s="1040">
        <f t="shared" si="85"/>
        <v>0</v>
      </c>
      <c r="BA36" s="1038">
        <v>0</v>
      </c>
      <c r="BB36" s="1039">
        <v>0</v>
      </c>
      <c r="BC36" s="1040">
        <f t="shared" si="86"/>
        <v>0</v>
      </c>
      <c r="BD36" s="1042">
        <f t="shared" si="87"/>
        <v>0</v>
      </c>
      <c r="BE36" s="1052"/>
      <c r="BF36" s="1053"/>
      <c r="BG36" s="1048">
        <f t="shared" si="8"/>
        <v>0</v>
      </c>
      <c r="BH36" s="1052"/>
      <c r="BI36" s="1053"/>
      <c r="BJ36" s="1053"/>
      <c r="BK36" s="1053"/>
      <c r="BL36" s="1048">
        <f t="shared" si="88"/>
        <v>0</v>
      </c>
      <c r="BM36" s="1052"/>
      <c r="BN36" s="1053"/>
      <c r="BO36" s="1048">
        <f t="shared" si="89"/>
        <v>0</v>
      </c>
      <c r="BP36" s="1049"/>
      <c r="BQ36" s="1050"/>
      <c r="BR36" s="1050"/>
      <c r="BS36" s="1050"/>
      <c r="BT36" s="1053"/>
      <c r="BU36" s="1048">
        <f t="shared" si="90"/>
        <v>0</v>
      </c>
      <c r="BV36" s="1049"/>
      <c r="BW36" s="1050"/>
      <c r="BX36" s="1050"/>
      <c r="BY36" s="1050"/>
      <c r="BZ36" s="1050"/>
      <c r="CA36" s="1050"/>
      <c r="CB36" s="1053"/>
      <c r="CC36" s="1048">
        <f t="shared" si="91"/>
        <v>0</v>
      </c>
      <c r="CD36" s="1052"/>
      <c r="CE36" s="1053"/>
      <c r="CF36" s="1053"/>
      <c r="CG36" s="1053"/>
      <c r="CH36" s="1048">
        <f t="shared" si="92"/>
        <v>0</v>
      </c>
      <c r="CI36" s="1049"/>
      <c r="CJ36" s="1050"/>
      <c r="CK36" s="1050"/>
      <c r="CL36" s="1050"/>
      <c r="CM36" s="1050"/>
      <c r="CN36" s="1050"/>
      <c r="CO36" s="1051">
        <f t="shared" si="93"/>
        <v>0</v>
      </c>
      <c r="CP36" s="1052"/>
      <c r="CQ36" s="1053"/>
      <c r="CR36" s="1048">
        <f t="shared" si="94"/>
        <v>0</v>
      </c>
      <c r="CS36" s="1052"/>
      <c r="CT36" s="1053"/>
      <c r="CU36" s="1053"/>
      <c r="CV36" s="1053"/>
      <c r="CW36" s="1048">
        <f t="shared" si="95"/>
        <v>0</v>
      </c>
      <c r="CX36" s="1052"/>
      <c r="CY36" s="1048">
        <f t="shared" si="96"/>
        <v>0</v>
      </c>
      <c r="CZ36" s="1103">
        <f t="shared" si="97"/>
        <v>0</v>
      </c>
      <c r="DA36" s="1104">
        <f t="shared" si="98"/>
        <v>0</v>
      </c>
      <c r="DI36" s="1042">
        <f t="shared" si="99"/>
        <v>0</v>
      </c>
    </row>
    <row r="37" spans="1:113" s="1055" customFormat="1">
      <c r="A37" s="955" t="s">
        <v>417</v>
      </c>
      <c r="B37" s="1102" t="s">
        <v>862</v>
      </c>
      <c r="C37" s="1030" t="s">
        <v>111</v>
      </c>
      <c r="D37" s="1035"/>
      <c r="E37" s="1032">
        <f t="shared" si="3"/>
        <v>0</v>
      </c>
      <c r="F37" s="1035">
        <v>0</v>
      </c>
      <c r="G37" s="1036">
        <v>0</v>
      </c>
      <c r="H37" s="1032">
        <f t="shared" si="70"/>
        <v>0</v>
      </c>
      <c r="I37" s="1035">
        <v>0</v>
      </c>
      <c r="J37" s="1032">
        <f t="shared" si="71"/>
        <v>0</v>
      </c>
      <c r="K37" s="1035">
        <v>0</v>
      </c>
      <c r="L37" s="1074">
        <v>0</v>
      </c>
      <c r="M37" s="1032">
        <f t="shared" si="72"/>
        <v>0</v>
      </c>
      <c r="N37" s="1035">
        <v>0</v>
      </c>
      <c r="O37" s="1036">
        <v>0</v>
      </c>
      <c r="P37" s="1032">
        <f t="shared" si="73"/>
        <v>0</v>
      </c>
      <c r="Q37" s="1035">
        <v>0</v>
      </c>
      <c r="R37" s="1036">
        <v>0</v>
      </c>
      <c r="S37" s="1032">
        <f t="shared" si="74"/>
        <v>0</v>
      </c>
      <c r="T37" s="1035">
        <v>0</v>
      </c>
      <c r="U37" s="1036">
        <v>0</v>
      </c>
      <c r="V37" s="1032">
        <f t="shared" si="75"/>
        <v>0</v>
      </c>
      <c r="W37" s="1037">
        <f t="shared" si="76"/>
        <v>0</v>
      </c>
      <c r="X37" s="1038">
        <v>0</v>
      </c>
      <c r="Y37" s="1039">
        <v>24.104749999999999</v>
      </c>
      <c r="Z37" s="1408">
        <v>0</v>
      </c>
      <c r="AA37" s="1040">
        <f t="shared" ref="AA37:AA59" si="100">SUM(Z37)</f>
        <v>0</v>
      </c>
      <c r="AB37" s="1038">
        <v>15.960999999999999</v>
      </c>
      <c r="AC37" s="1039">
        <v>0</v>
      </c>
      <c r="AD37" s="1040">
        <f t="shared" si="78"/>
        <v>15.960999999999999</v>
      </c>
      <c r="AE37" s="1038">
        <v>338.6065000000001</v>
      </c>
      <c r="AF37" s="1040">
        <f t="shared" si="79"/>
        <v>338.6065000000001</v>
      </c>
      <c r="AG37" s="1038">
        <v>304.01024999999998</v>
      </c>
      <c r="AH37" s="1040">
        <f t="shared" si="80"/>
        <v>304.01024999999998</v>
      </c>
      <c r="AI37" s="1038">
        <v>176.42574999999999</v>
      </c>
      <c r="AJ37" s="1039">
        <v>22.086124999999999</v>
      </c>
      <c r="AK37" s="1039">
        <v>126.25127499999999</v>
      </c>
      <c r="AL37" s="1039">
        <v>273.34949999999998</v>
      </c>
      <c r="AM37" s="1041">
        <v>0</v>
      </c>
      <c r="AN37" s="1041">
        <v>0</v>
      </c>
      <c r="AO37" s="1040">
        <f>AI37+AM37+AN37</f>
        <v>176.42574999999999</v>
      </c>
      <c r="AP37" s="1038">
        <v>271.28587499999998</v>
      </c>
      <c r="AQ37" s="1040">
        <f t="shared" si="82"/>
        <v>271.28587499999998</v>
      </c>
      <c r="AR37" s="1038">
        <v>533.66618750000009</v>
      </c>
      <c r="AS37" s="1039">
        <v>150.34757500000001</v>
      </c>
      <c r="AT37" s="1408">
        <v>0</v>
      </c>
      <c r="AU37" s="1040">
        <f>SUM(AT37)</f>
        <v>0</v>
      </c>
      <c r="AV37" s="1038">
        <v>0</v>
      </c>
      <c r="AW37" s="1039">
        <v>299.95731250000006</v>
      </c>
      <c r="AX37" s="1040">
        <f t="shared" si="84"/>
        <v>299.95731250000006</v>
      </c>
      <c r="AY37" s="1038">
        <v>0</v>
      </c>
      <c r="AZ37" s="1040">
        <f t="shared" si="85"/>
        <v>0</v>
      </c>
      <c r="BA37" s="1038">
        <v>6.2387499999999996</v>
      </c>
      <c r="BB37" s="1039">
        <v>0</v>
      </c>
      <c r="BC37" s="1040">
        <f t="shared" si="86"/>
        <v>6.2387499999999996</v>
      </c>
      <c r="BD37" s="1042">
        <f t="shared" si="87"/>
        <v>1412.4854375</v>
      </c>
      <c r="BE37" s="1052"/>
      <c r="BF37" s="1053"/>
      <c r="BG37" s="1048">
        <f t="shared" si="8"/>
        <v>0</v>
      </c>
      <c r="BH37" s="1052"/>
      <c r="BI37" s="1053"/>
      <c r="BJ37" s="1053"/>
      <c r="BK37" s="1053"/>
      <c r="BL37" s="1048">
        <f t="shared" si="88"/>
        <v>0</v>
      </c>
      <c r="BM37" s="1052"/>
      <c r="BN37" s="1053"/>
      <c r="BO37" s="1048">
        <f t="shared" si="89"/>
        <v>0</v>
      </c>
      <c r="BP37" s="1049"/>
      <c r="BQ37" s="1050"/>
      <c r="BR37" s="1050"/>
      <c r="BS37" s="1050"/>
      <c r="BT37" s="1053"/>
      <c r="BU37" s="1048">
        <f t="shared" si="90"/>
        <v>0</v>
      </c>
      <c r="BV37" s="1049"/>
      <c r="BW37" s="1050"/>
      <c r="BX37" s="1050"/>
      <c r="BY37" s="1050"/>
      <c r="BZ37" s="1050"/>
      <c r="CA37" s="1050"/>
      <c r="CB37" s="1053"/>
      <c r="CC37" s="1048">
        <f t="shared" si="91"/>
        <v>0</v>
      </c>
      <c r="CD37" s="1052"/>
      <c r="CE37" s="1053"/>
      <c r="CF37" s="1053"/>
      <c r="CG37" s="1053"/>
      <c r="CH37" s="1048">
        <f t="shared" si="92"/>
        <v>0</v>
      </c>
      <c r="CI37" s="1049"/>
      <c r="CJ37" s="1050"/>
      <c r="CK37" s="1050"/>
      <c r="CL37" s="1050"/>
      <c r="CM37" s="1050"/>
      <c r="CN37" s="1050"/>
      <c r="CO37" s="1051">
        <f t="shared" si="93"/>
        <v>0</v>
      </c>
      <c r="CP37" s="1052"/>
      <c r="CQ37" s="1053"/>
      <c r="CR37" s="1048">
        <f t="shared" si="94"/>
        <v>0</v>
      </c>
      <c r="CS37" s="1052"/>
      <c r="CT37" s="1053"/>
      <c r="CU37" s="1053"/>
      <c r="CV37" s="1053"/>
      <c r="CW37" s="1048">
        <f t="shared" si="95"/>
        <v>0</v>
      </c>
      <c r="CX37" s="1052"/>
      <c r="CY37" s="1048">
        <f t="shared" si="96"/>
        <v>0</v>
      </c>
      <c r="CZ37" s="1103">
        <f t="shared" si="97"/>
        <v>0</v>
      </c>
      <c r="DA37" s="1104">
        <f t="shared" si="98"/>
        <v>1412.4854375</v>
      </c>
      <c r="DI37" s="1042">
        <f t="shared" si="99"/>
        <v>0</v>
      </c>
    </row>
    <row r="38" spans="1:113" s="1055" customFormat="1" ht="30">
      <c r="A38" s="955" t="s">
        <v>1366</v>
      </c>
      <c r="B38" s="1102" t="s">
        <v>863</v>
      </c>
      <c r="C38" s="1030" t="s">
        <v>111</v>
      </c>
      <c r="D38" s="1035"/>
      <c r="E38" s="1032">
        <f t="shared" si="3"/>
        <v>0</v>
      </c>
      <c r="F38" s="1035">
        <v>19.427499999999998</v>
      </c>
      <c r="G38" s="1036">
        <v>359.3005</v>
      </c>
      <c r="H38" s="1032">
        <f t="shared" si="70"/>
        <v>378.72800000000001</v>
      </c>
      <c r="I38" s="1035">
        <v>266.94</v>
      </c>
      <c r="J38" s="1032">
        <f t="shared" si="71"/>
        <v>266.94</v>
      </c>
      <c r="K38" s="1035">
        <v>348.06896220565977</v>
      </c>
      <c r="L38" s="1074">
        <v>267.53194521300514</v>
      </c>
      <c r="M38" s="1032">
        <f t="shared" si="72"/>
        <v>615.60090741866497</v>
      </c>
      <c r="N38" s="1035">
        <v>0</v>
      </c>
      <c r="O38" s="1036">
        <v>0</v>
      </c>
      <c r="P38" s="1032">
        <f t="shared" si="73"/>
        <v>0</v>
      </c>
      <c r="Q38" s="1035">
        <v>836.48014332465038</v>
      </c>
      <c r="R38" s="1036">
        <v>1385.9170179517243</v>
      </c>
      <c r="S38" s="1032">
        <f t="shared" si="74"/>
        <v>2222.3971612763748</v>
      </c>
      <c r="T38" s="1035">
        <v>151.70816017106648</v>
      </c>
      <c r="U38" s="1036">
        <v>415.43088725947632</v>
      </c>
      <c r="V38" s="1032">
        <f t="shared" si="75"/>
        <v>567.13904743054286</v>
      </c>
      <c r="W38" s="1037">
        <f t="shared" si="76"/>
        <v>4050.8051161255826</v>
      </c>
      <c r="X38" s="1038">
        <v>0</v>
      </c>
      <c r="Y38" s="1039">
        <v>0</v>
      </c>
      <c r="Z38" s="1408">
        <v>0</v>
      </c>
      <c r="AA38" s="1040">
        <f t="shared" si="100"/>
        <v>0</v>
      </c>
      <c r="AB38" s="1038">
        <v>0</v>
      </c>
      <c r="AC38" s="1039">
        <v>0</v>
      </c>
      <c r="AD38" s="1040">
        <f t="shared" si="78"/>
        <v>0</v>
      </c>
      <c r="AE38" s="1038">
        <v>0</v>
      </c>
      <c r="AF38" s="1040">
        <f t="shared" si="79"/>
        <v>0</v>
      </c>
      <c r="AG38" s="1038">
        <v>0</v>
      </c>
      <c r="AH38" s="1040">
        <f t="shared" si="80"/>
        <v>0</v>
      </c>
      <c r="AI38" s="1038">
        <v>0</v>
      </c>
      <c r="AJ38" s="1039">
        <v>0</v>
      </c>
      <c r="AK38" s="1039">
        <v>0</v>
      </c>
      <c r="AL38" s="1039">
        <v>0</v>
      </c>
      <c r="AM38" s="1041">
        <v>0</v>
      </c>
      <c r="AN38" s="1041">
        <v>0</v>
      </c>
      <c r="AO38" s="1040">
        <f t="shared" si="81"/>
        <v>0</v>
      </c>
      <c r="AP38" s="1038">
        <v>0</v>
      </c>
      <c r="AQ38" s="1040">
        <f t="shared" si="82"/>
        <v>0</v>
      </c>
      <c r="AR38" s="1038">
        <v>0</v>
      </c>
      <c r="AS38" s="1039">
        <v>0</v>
      </c>
      <c r="AT38" s="1408">
        <v>0</v>
      </c>
      <c r="AU38" s="1040">
        <f t="shared" ref="AU38:AU52" si="101">SUM(AT38)</f>
        <v>0</v>
      </c>
      <c r="AV38" s="1038">
        <v>0</v>
      </c>
      <c r="AW38" s="1039">
        <v>0</v>
      </c>
      <c r="AX38" s="1040">
        <f t="shared" si="84"/>
        <v>0</v>
      </c>
      <c r="AY38" s="1038">
        <v>0</v>
      </c>
      <c r="AZ38" s="1040">
        <f t="shared" si="85"/>
        <v>0</v>
      </c>
      <c r="BA38" s="1038">
        <v>0</v>
      </c>
      <c r="BB38" s="1039">
        <v>0</v>
      </c>
      <c r="BC38" s="1040">
        <f t="shared" si="86"/>
        <v>0</v>
      </c>
      <c r="BD38" s="1042">
        <f t="shared" si="87"/>
        <v>0</v>
      </c>
      <c r="BE38" s="1052"/>
      <c r="BF38" s="1053"/>
      <c r="BG38" s="1048">
        <f t="shared" si="8"/>
        <v>0</v>
      </c>
      <c r="BH38" s="1052"/>
      <c r="BI38" s="1053"/>
      <c r="BJ38" s="1053"/>
      <c r="BK38" s="1053"/>
      <c r="BL38" s="1048">
        <f t="shared" si="88"/>
        <v>0</v>
      </c>
      <c r="BM38" s="1052"/>
      <c r="BN38" s="1053"/>
      <c r="BO38" s="1048">
        <f t="shared" si="89"/>
        <v>0</v>
      </c>
      <c r="BP38" s="1049"/>
      <c r="BQ38" s="1050"/>
      <c r="BR38" s="1050"/>
      <c r="BS38" s="1050"/>
      <c r="BT38" s="1053"/>
      <c r="BU38" s="1048">
        <f t="shared" si="90"/>
        <v>0</v>
      </c>
      <c r="BV38" s="1049"/>
      <c r="BW38" s="1050"/>
      <c r="BX38" s="1050"/>
      <c r="BY38" s="1050"/>
      <c r="BZ38" s="1050"/>
      <c r="CA38" s="1050"/>
      <c r="CB38" s="1053"/>
      <c r="CC38" s="1048">
        <f t="shared" si="91"/>
        <v>0</v>
      </c>
      <c r="CD38" s="1052"/>
      <c r="CE38" s="1053"/>
      <c r="CF38" s="1053"/>
      <c r="CG38" s="1053"/>
      <c r="CH38" s="1048">
        <f t="shared" si="92"/>
        <v>0</v>
      </c>
      <c r="CI38" s="1049"/>
      <c r="CJ38" s="1050"/>
      <c r="CK38" s="1050"/>
      <c r="CL38" s="1050"/>
      <c r="CM38" s="1050"/>
      <c r="CN38" s="1050"/>
      <c r="CO38" s="1051">
        <f t="shared" si="93"/>
        <v>0</v>
      </c>
      <c r="CP38" s="1052"/>
      <c r="CQ38" s="1053"/>
      <c r="CR38" s="1048">
        <f t="shared" si="94"/>
        <v>0</v>
      </c>
      <c r="CS38" s="1052"/>
      <c r="CT38" s="1053"/>
      <c r="CU38" s="1053"/>
      <c r="CV38" s="1053"/>
      <c r="CW38" s="1048">
        <f t="shared" si="95"/>
        <v>0</v>
      </c>
      <c r="CX38" s="1052"/>
      <c r="CY38" s="1048">
        <f t="shared" si="96"/>
        <v>0</v>
      </c>
      <c r="CZ38" s="1103">
        <f t="shared" si="97"/>
        <v>0</v>
      </c>
      <c r="DA38" s="1104">
        <f t="shared" si="98"/>
        <v>4050.8051161255826</v>
      </c>
      <c r="DI38" s="1042">
        <f t="shared" si="99"/>
        <v>0</v>
      </c>
    </row>
    <row r="39" spans="1:113" s="1055" customFormat="1" ht="30">
      <c r="A39" s="955" t="s">
        <v>864</v>
      </c>
      <c r="B39" s="1102" t="s">
        <v>865</v>
      </c>
      <c r="C39" s="1030" t="s">
        <v>11</v>
      </c>
      <c r="D39" s="1035"/>
      <c r="E39" s="1032">
        <f t="shared" si="3"/>
        <v>0</v>
      </c>
      <c r="F39" s="1035">
        <v>0</v>
      </c>
      <c r="G39" s="1036">
        <v>0</v>
      </c>
      <c r="H39" s="1032">
        <f t="shared" si="70"/>
        <v>0</v>
      </c>
      <c r="I39" s="1035">
        <v>0</v>
      </c>
      <c r="J39" s="1032">
        <f t="shared" si="71"/>
        <v>0</v>
      </c>
      <c r="K39" s="1035">
        <v>0</v>
      </c>
      <c r="L39" s="1074">
        <v>0</v>
      </c>
      <c r="M39" s="1032">
        <f t="shared" si="72"/>
        <v>0</v>
      </c>
      <c r="N39" s="1035">
        <v>0</v>
      </c>
      <c r="O39" s="1036">
        <v>0</v>
      </c>
      <c r="P39" s="1032">
        <f t="shared" si="73"/>
        <v>0</v>
      </c>
      <c r="Q39" s="1035">
        <v>0</v>
      </c>
      <c r="R39" s="1036">
        <v>0</v>
      </c>
      <c r="S39" s="1032">
        <f t="shared" si="74"/>
        <v>0</v>
      </c>
      <c r="T39" s="1035">
        <v>0</v>
      </c>
      <c r="U39" s="1036">
        <v>0</v>
      </c>
      <c r="V39" s="1032">
        <f t="shared" si="75"/>
        <v>0</v>
      </c>
      <c r="W39" s="1037">
        <f t="shared" si="76"/>
        <v>0</v>
      </c>
      <c r="X39" s="1038">
        <v>0</v>
      </c>
      <c r="Y39" s="1039">
        <v>0</v>
      </c>
      <c r="Z39" s="1408">
        <v>0</v>
      </c>
      <c r="AA39" s="1040">
        <f t="shared" si="100"/>
        <v>0</v>
      </c>
      <c r="AB39" s="1038">
        <v>0</v>
      </c>
      <c r="AC39" s="1039">
        <v>0</v>
      </c>
      <c r="AD39" s="1040">
        <f t="shared" si="78"/>
        <v>0</v>
      </c>
      <c r="AE39" s="1038">
        <v>0</v>
      </c>
      <c r="AF39" s="1040">
        <f t="shared" si="79"/>
        <v>0</v>
      </c>
      <c r="AG39" s="1038">
        <v>0</v>
      </c>
      <c r="AH39" s="1040">
        <f t="shared" si="80"/>
        <v>0</v>
      </c>
      <c r="AI39" s="1038">
        <v>0</v>
      </c>
      <c r="AJ39" s="1039">
        <v>0</v>
      </c>
      <c r="AK39" s="1039">
        <v>0</v>
      </c>
      <c r="AL39" s="1039">
        <v>0</v>
      </c>
      <c r="AM39" s="1041">
        <v>0</v>
      </c>
      <c r="AN39" s="1041">
        <v>0</v>
      </c>
      <c r="AO39" s="1040">
        <f t="shared" si="81"/>
        <v>0</v>
      </c>
      <c r="AP39" s="1038">
        <v>0</v>
      </c>
      <c r="AQ39" s="1040">
        <f t="shared" si="82"/>
        <v>0</v>
      </c>
      <c r="AR39" s="1038">
        <v>0</v>
      </c>
      <c r="AS39" s="1039">
        <v>0</v>
      </c>
      <c r="AT39" s="1408">
        <v>0</v>
      </c>
      <c r="AU39" s="1040">
        <f t="shared" si="101"/>
        <v>0</v>
      </c>
      <c r="AV39" s="1038">
        <v>0</v>
      </c>
      <c r="AW39" s="1039">
        <v>0</v>
      </c>
      <c r="AX39" s="1040">
        <f t="shared" si="84"/>
        <v>0</v>
      </c>
      <c r="AY39" s="1038">
        <v>0</v>
      </c>
      <c r="AZ39" s="1040">
        <f t="shared" si="85"/>
        <v>0</v>
      </c>
      <c r="BA39" s="1038">
        <v>0</v>
      </c>
      <c r="BB39" s="1039">
        <v>0</v>
      </c>
      <c r="BC39" s="1040">
        <f t="shared" si="86"/>
        <v>0</v>
      </c>
      <c r="BD39" s="1042">
        <f t="shared" si="87"/>
        <v>0</v>
      </c>
      <c r="BE39" s="1052"/>
      <c r="BF39" s="1053"/>
      <c r="BG39" s="1048">
        <f t="shared" si="8"/>
        <v>0</v>
      </c>
      <c r="BH39" s="1052"/>
      <c r="BI39" s="1053"/>
      <c r="BJ39" s="1053"/>
      <c r="BK39" s="1053"/>
      <c r="BL39" s="1048">
        <f t="shared" si="88"/>
        <v>0</v>
      </c>
      <c r="BM39" s="1052"/>
      <c r="BN39" s="1053"/>
      <c r="BO39" s="1048">
        <f t="shared" si="89"/>
        <v>0</v>
      </c>
      <c r="BP39" s="1049"/>
      <c r="BQ39" s="1050"/>
      <c r="BR39" s="1050"/>
      <c r="BS39" s="1050"/>
      <c r="BT39" s="1053"/>
      <c r="BU39" s="1048">
        <f t="shared" si="90"/>
        <v>0</v>
      </c>
      <c r="BV39" s="1049"/>
      <c r="BW39" s="1050"/>
      <c r="BX39" s="1050"/>
      <c r="BY39" s="1050"/>
      <c r="BZ39" s="1050"/>
      <c r="CA39" s="1050"/>
      <c r="CB39" s="1053"/>
      <c r="CC39" s="1048">
        <f t="shared" si="91"/>
        <v>0</v>
      </c>
      <c r="CD39" s="1052"/>
      <c r="CE39" s="1053"/>
      <c r="CF39" s="1053"/>
      <c r="CG39" s="1053"/>
      <c r="CH39" s="1048">
        <f t="shared" si="92"/>
        <v>0</v>
      </c>
      <c r="CI39" s="1049"/>
      <c r="CJ39" s="1050"/>
      <c r="CK39" s="1050"/>
      <c r="CL39" s="1050"/>
      <c r="CM39" s="1050"/>
      <c r="CN39" s="1050"/>
      <c r="CO39" s="1051">
        <f t="shared" si="93"/>
        <v>0</v>
      </c>
      <c r="CP39" s="1052"/>
      <c r="CQ39" s="1053"/>
      <c r="CR39" s="1048">
        <f t="shared" si="94"/>
        <v>0</v>
      </c>
      <c r="CS39" s="1052"/>
      <c r="CT39" s="1053"/>
      <c r="CU39" s="1053"/>
      <c r="CV39" s="1053"/>
      <c r="CW39" s="1048">
        <f t="shared" si="95"/>
        <v>0</v>
      </c>
      <c r="CX39" s="1052"/>
      <c r="CY39" s="1048">
        <f t="shared" si="96"/>
        <v>0</v>
      </c>
      <c r="CZ39" s="1103">
        <f t="shared" si="97"/>
        <v>0</v>
      </c>
      <c r="DA39" s="1104">
        <f t="shared" si="98"/>
        <v>0</v>
      </c>
      <c r="DI39" s="1042">
        <f t="shared" si="99"/>
        <v>0</v>
      </c>
    </row>
    <row r="40" spans="1:113" s="1055" customFormat="1" ht="30">
      <c r="A40" s="955" t="s">
        <v>94</v>
      </c>
      <c r="B40" s="1102" t="s">
        <v>1367</v>
      </c>
      <c r="C40" s="1030" t="s">
        <v>81</v>
      </c>
      <c r="D40" s="1035"/>
      <c r="E40" s="1032">
        <f t="shared" si="3"/>
        <v>0</v>
      </c>
      <c r="F40" s="1035">
        <v>38</v>
      </c>
      <c r="G40" s="1036">
        <v>263</v>
      </c>
      <c r="H40" s="1032">
        <f t="shared" si="70"/>
        <v>301</v>
      </c>
      <c r="I40" s="1035">
        <v>373</v>
      </c>
      <c r="J40" s="1032">
        <f t="shared" si="71"/>
        <v>373</v>
      </c>
      <c r="K40" s="1035">
        <v>0</v>
      </c>
      <c r="L40" s="1074">
        <v>14</v>
      </c>
      <c r="M40" s="1032">
        <f t="shared" si="72"/>
        <v>14</v>
      </c>
      <c r="N40" s="1035">
        <v>129.80000000000001</v>
      </c>
      <c r="O40" s="1036">
        <v>38.700000000000003</v>
      </c>
      <c r="P40" s="1032">
        <f t="shared" si="73"/>
        <v>168.5</v>
      </c>
      <c r="Q40" s="1035">
        <v>174</v>
      </c>
      <c r="R40" s="1036">
        <v>100.5</v>
      </c>
      <c r="S40" s="1032">
        <f t="shared" si="74"/>
        <v>274.5</v>
      </c>
      <c r="T40" s="1035">
        <v>27</v>
      </c>
      <c r="U40" s="1036">
        <v>51</v>
      </c>
      <c r="V40" s="1032">
        <f t="shared" si="75"/>
        <v>78</v>
      </c>
      <c r="W40" s="1037">
        <f t="shared" si="76"/>
        <v>1209</v>
      </c>
      <c r="X40" s="1038">
        <v>0</v>
      </c>
      <c r="Y40" s="1039">
        <v>41.9</v>
      </c>
      <c r="Z40" s="1408">
        <v>0</v>
      </c>
      <c r="AA40" s="1040">
        <f t="shared" si="100"/>
        <v>0</v>
      </c>
      <c r="AB40" s="1038">
        <v>11.9</v>
      </c>
      <c r="AC40" s="1039">
        <v>0</v>
      </c>
      <c r="AD40" s="1040">
        <f t="shared" si="78"/>
        <v>11.9</v>
      </c>
      <c r="AE40" s="1038">
        <v>246.9</v>
      </c>
      <c r="AF40" s="1040">
        <f t="shared" si="79"/>
        <v>246.9</v>
      </c>
      <c r="AG40" s="1038">
        <v>297.2</v>
      </c>
      <c r="AH40" s="1040">
        <f t="shared" si="80"/>
        <v>297.2</v>
      </c>
      <c r="AI40" s="1038">
        <v>127.30000000000001</v>
      </c>
      <c r="AJ40" s="1039">
        <v>15.95</v>
      </c>
      <c r="AK40" s="1039">
        <v>87.25</v>
      </c>
      <c r="AL40" s="1039">
        <v>231.24999999999997</v>
      </c>
      <c r="AM40" s="1041">
        <v>0</v>
      </c>
      <c r="AN40" s="1041">
        <v>0</v>
      </c>
      <c r="AO40" s="1040">
        <f>AI40+AM40+AN40</f>
        <v>127.30000000000001</v>
      </c>
      <c r="AP40" s="1038">
        <v>130.19999999999999</v>
      </c>
      <c r="AQ40" s="1040">
        <f t="shared" si="82"/>
        <v>130.19999999999999</v>
      </c>
      <c r="AR40" s="1038">
        <v>547.55000000000007</v>
      </c>
      <c r="AS40" s="1039">
        <v>104.25</v>
      </c>
      <c r="AT40" s="1408">
        <v>0</v>
      </c>
      <c r="AU40" s="1040">
        <f t="shared" si="101"/>
        <v>0</v>
      </c>
      <c r="AV40" s="1038">
        <v>0</v>
      </c>
      <c r="AW40" s="1039">
        <v>202.05000000000007</v>
      </c>
      <c r="AX40" s="1040">
        <f t="shared" si="84"/>
        <v>202.05000000000007</v>
      </c>
      <c r="AY40" s="1038">
        <v>0</v>
      </c>
      <c r="AZ40" s="1040">
        <f t="shared" si="85"/>
        <v>0</v>
      </c>
      <c r="BA40" s="1038">
        <v>2.5</v>
      </c>
      <c r="BB40" s="1039">
        <v>0</v>
      </c>
      <c r="BC40" s="1040">
        <f t="shared" si="86"/>
        <v>2.5</v>
      </c>
      <c r="BD40" s="1042">
        <f t="shared" si="87"/>
        <v>1018.05</v>
      </c>
      <c r="BE40" s="1052"/>
      <c r="BF40" s="1053"/>
      <c r="BG40" s="1048">
        <f t="shared" si="8"/>
        <v>0</v>
      </c>
      <c r="BH40" s="1052"/>
      <c r="BI40" s="1053"/>
      <c r="BJ40" s="1053"/>
      <c r="BK40" s="1053"/>
      <c r="BL40" s="1048">
        <f t="shared" si="88"/>
        <v>0</v>
      </c>
      <c r="BM40" s="1052"/>
      <c r="BN40" s="1053"/>
      <c r="BO40" s="1048">
        <f t="shared" si="89"/>
        <v>0</v>
      </c>
      <c r="BP40" s="1049"/>
      <c r="BQ40" s="1050"/>
      <c r="BR40" s="1050"/>
      <c r="BS40" s="1050"/>
      <c r="BT40" s="1053"/>
      <c r="BU40" s="1048">
        <f t="shared" si="90"/>
        <v>0</v>
      </c>
      <c r="BV40" s="1049"/>
      <c r="BW40" s="1050"/>
      <c r="BX40" s="1050"/>
      <c r="BY40" s="1050"/>
      <c r="BZ40" s="1050"/>
      <c r="CA40" s="1050"/>
      <c r="CB40" s="1053"/>
      <c r="CC40" s="1048">
        <f t="shared" si="91"/>
        <v>0</v>
      </c>
      <c r="CD40" s="1052"/>
      <c r="CE40" s="1053"/>
      <c r="CF40" s="1053"/>
      <c r="CG40" s="1053"/>
      <c r="CH40" s="1048">
        <f t="shared" si="92"/>
        <v>0</v>
      </c>
      <c r="CI40" s="1052"/>
      <c r="CJ40" s="1053"/>
      <c r="CK40" s="1053"/>
      <c r="CL40" s="1053"/>
      <c r="CM40" s="1053"/>
      <c r="CN40" s="1053">
        <v>52.28</v>
      </c>
      <c r="CO40" s="1051">
        <f t="shared" si="93"/>
        <v>52.28</v>
      </c>
      <c r="CP40" s="1052"/>
      <c r="CQ40" s="1053"/>
      <c r="CR40" s="1048">
        <f t="shared" si="94"/>
        <v>0</v>
      </c>
      <c r="CS40" s="1052">
        <v>54</v>
      </c>
      <c r="CT40" s="1053">
        <v>67</v>
      </c>
      <c r="CU40" s="1053">
        <v>16</v>
      </c>
      <c r="CV40" s="1053">
        <v>38</v>
      </c>
      <c r="CW40" s="1048">
        <f t="shared" si="95"/>
        <v>175</v>
      </c>
      <c r="CX40" s="1052"/>
      <c r="CY40" s="1048">
        <f t="shared" si="96"/>
        <v>0</v>
      </c>
      <c r="CZ40" s="1103">
        <f t="shared" si="97"/>
        <v>227.28</v>
      </c>
      <c r="DA40" s="1104">
        <f t="shared" si="98"/>
        <v>2454.33</v>
      </c>
      <c r="DI40" s="1042">
        <f t="shared" si="99"/>
        <v>0</v>
      </c>
    </row>
    <row r="41" spans="1:113" s="1055" customFormat="1" ht="30">
      <c r="A41" s="955" t="s">
        <v>868</v>
      </c>
      <c r="B41" s="1102" t="s">
        <v>869</v>
      </c>
      <c r="C41" s="1030" t="s">
        <v>11</v>
      </c>
      <c r="D41" s="1035"/>
      <c r="E41" s="1032">
        <f t="shared" si="3"/>
        <v>0</v>
      </c>
      <c r="F41" s="1035">
        <v>0</v>
      </c>
      <c r="G41" s="1036">
        <v>0</v>
      </c>
      <c r="H41" s="1032">
        <f t="shared" si="70"/>
        <v>0</v>
      </c>
      <c r="I41" s="1035">
        <v>0</v>
      </c>
      <c r="J41" s="1032">
        <f t="shared" si="71"/>
        <v>0</v>
      </c>
      <c r="K41" s="1035">
        <v>0</v>
      </c>
      <c r="L41" s="1074">
        <v>0</v>
      </c>
      <c r="M41" s="1032">
        <f t="shared" si="72"/>
        <v>0</v>
      </c>
      <c r="N41" s="1035">
        <v>0</v>
      </c>
      <c r="O41" s="1036">
        <v>0</v>
      </c>
      <c r="P41" s="1032">
        <f t="shared" si="73"/>
        <v>0</v>
      </c>
      <c r="Q41" s="1035">
        <v>0</v>
      </c>
      <c r="R41" s="1036">
        <v>0</v>
      </c>
      <c r="S41" s="1032">
        <f t="shared" si="74"/>
        <v>0</v>
      </c>
      <c r="T41" s="1035">
        <v>0</v>
      </c>
      <c r="U41" s="1036">
        <v>0</v>
      </c>
      <c r="V41" s="1032">
        <f t="shared" si="75"/>
        <v>0</v>
      </c>
      <c r="W41" s="1037">
        <f t="shared" si="76"/>
        <v>0</v>
      </c>
      <c r="X41" s="1038">
        <v>0</v>
      </c>
      <c r="Y41" s="1039">
        <v>0</v>
      </c>
      <c r="Z41" s="1408">
        <v>0</v>
      </c>
      <c r="AA41" s="1040">
        <f t="shared" si="100"/>
        <v>0</v>
      </c>
      <c r="AB41" s="1038">
        <v>0</v>
      </c>
      <c r="AC41" s="1039">
        <v>0</v>
      </c>
      <c r="AD41" s="1040">
        <f t="shared" si="78"/>
        <v>0</v>
      </c>
      <c r="AE41" s="1038">
        <v>0</v>
      </c>
      <c r="AF41" s="1040">
        <f t="shared" si="79"/>
        <v>0</v>
      </c>
      <c r="AG41" s="1038">
        <v>0</v>
      </c>
      <c r="AH41" s="1040">
        <f t="shared" si="80"/>
        <v>0</v>
      </c>
      <c r="AI41" s="1038">
        <v>0</v>
      </c>
      <c r="AJ41" s="1039">
        <v>0</v>
      </c>
      <c r="AK41" s="1039">
        <v>0</v>
      </c>
      <c r="AL41" s="1039">
        <v>0</v>
      </c>
      <c r="AM41" s="1041">
        <v>0</v>
      </c>
      <c r="AN41" s="1041">
        <v>0</v>
      </c>
      <c r="AO41" s="1040">
        <f t="shared" si="81"/>
        <v>0</v>
      </c>
      <c r="AP41" s="1038">
        <v>16.399999999999999</v>
      </c>
      <c r="AQ41" s="1040">
        <f t="shared" si="82"/>
        <v>16.399999999999999</v>
      </c>
      <c r="AR41" s="1038">
        <v>0</v>
      </c>
      <c r="AS41" s="1039">
        <v>0</v>
      </c>
      <c r="AT41" s="1408">
        <v>0</v>
      </c>
      <c r="AU41" s="1040">
        <f t="shared" si="101"/>
        <v>0</v>
      </c>
      <c r="AV41" s="1038">
        <v>0</v>
      </c>
      <c r="AW41" s="1039">
        <v>0</v>
      </c>
      <c r="AX41" s="1040">
        <f t="shared" si="84"/>
        <v>0</v>
      </c>
      <c r="AY41" s="1038">
        <v>0</v>
      </c>
      <c r="AZ41" s="1040">
        <f t="shared" si="85"/>
        <v>0</v>
      </c>
      <c r="BA41" s="1038">
        <v>0</v>
      </c>
      <c r="BB41" s="1039">
        <v>0</v>
      </c>
      <c r="BC41" s="1040">
        <f t="shared" si="86"/>
        <v>0</v>
      </c>
      <c r="BD41" s="1042">
        <f t="shared" si="87"/>
        <v>16.399999999999999</v>
      </c>
      <c r="BE41" s="1052"/>
      <c r="BF41" s="1053"/>
      <c r="BG41" s="1048">
        <f t="shared" si="8"/>
        <v>0</v>
      </c>
      <c r="BH41" s="1052"/>
      <c r="BI41" s="1053"/>
      <c r="BJ41" s="1053"/>
      <c r="BK41" s="1053"/>
      <c r="BL41" s="1048">
        <f t="shared" si="88"/>
        <v>0</v>
      </c>
      <c r="BM41" s="1052"/>
      <c r="BN41" s="1053"/>
      <c r="BO41" s="1048">
        <f t="shared" si="89"/>
        <v>0</v>
      </c>
      <c r="BP41" s="1049"/>
      <c r="BQ41" s="1050"/>
      <c r="BR41" s="1050"/>
      <c r="BS41" s="1050"/>
      <c r="BT41" s="1053"/>
      <c r="BU41" s="1048">
        <f t="shared" si="90"/>
        <v>0</v>
      </c>
      <c r="BV41" s="1049"/>
      <c r="BW41" s="1050"/>
      <c r="BX41" s="1050"/>
      <c r="BY41" s="1050"/>
      <c r="BZ41" s="1050"/>
      <c r="CA41" s="1050"/>
      <c r="CB41" s="1053"/>
      <c r="CC41" s="1048">
        <f t="shared" si="91"/>
        <v>0</v>
      </c>
      <c r="CD41" s="1052"/>
      <c r="CE41" s="1053"/>
      <c r="CF41" s="1053"/>
      <c r="CG41" s="1053"/>
      <c r="CH41" s="1048">
        <f t="shared" si="92"/>
        <v>0</v>
      </c>
      <c r="CI41" s="1052">
        <v>20.350000000000001</v>
      </c>
      <c r="CJ41" s="1053"/>
      <c r="CK41" s="1053"/>
      <c r="CL41" s="1053"/>
      <c r="CM41" s="1053">
        <v>18</v>
      </c>
      <c r="CN41" s="1053">
        <v>18</v>
      </c>
      <c r="CO41" s="1051">
        <f t="shared" si="93"/>
        <v>56.35</v>
      </c>
      <c r="CP41" s="1052">
        <v>18.350000000000001</v>
      </c>
      <c r="CQ41" s="1053"/>
      <c r="CR41" s="1048">
        <f t="shared" si="94"/>
        <v>18.350000000000001</v>
      </c>
      <c r="CS41" s="1052">
        <v>35</v>
      </c>
      <c r="CT41" s="1053"/>
      <c r="CU41" s="1053"/>
      <c r="CV41" s="1053"/>
      <c r="CW41" s="1048">
        <f t="shared" si="95"/>
        <v>35</v>
      </c>
      <c r="CX41" s="1052"/>
      <c r="CY41" s="1048">
        <f t="shared" si="96"/>
        <v>0</v>
      </c>
      <c r="CZ41" s="1103">
        <f t="shared" si="97"/>
        <v>109.7</v>
      </c>
      <c r="DA41" s="1104">
        <f t="shared" si="98"/>
        <v>126.1</v>
      </c>
      <c r="DI41" s="1042">
        <f t="shared" si="99"/>
        <v>0</v>
      </c>
    </row>
    <row r="42" spans="1:113" s="1055" customFormat="1" ht="30">
      <c r="A42" s="955" t="s">
        <v>870</v>
      </c>
      <c r="B42" s="1102" t="s">
        <v>871</v>
      </c>
      <c r="C42" s="1030" t="s">
        <v>11</v>
      </c>
      <c r="D42" s="1035"/>
      <c r="E42" s="1032">
        <f t="shared" si="3"/>
        <v>0</v>
      </c>
      <c r="F42" s="1035">
        <v>0</v>
      </c>
      <c r="G42" s="1036">
        <v>0</v>
      </c>
      <c r="H42" s="1032">
        <f t="shared" si="70"/>
        <v>0</v>
      </c>
      <c r="I42" s="1035">
        <v>0</v>
      </c>
      <c r="J42" s="1032">
        <f t="shared" si="71"/>
        <v>0</v>
      </c>
      <c r="K42" s="1035">
        <v>0</v>
      </c>
      <c r="L42" s="1074">
        <v>0</v>
      </c>
      <c r="M42" s="1032">
        <f t="shared" si="72"/>
        <v>0</v>
      </c>
      <c r="N42" s="1035">
        <v>0</v>
      </c>
      <c r="O42" s="1036">
        <v>0</v>
      </c>
      <c r="P42" s="1032">
        <f t="shared" si="73"/>
        <v>0</v>
      </c>
      <c r="Q42" s="1035">
        <v>0</v>
      </c>
      <c r="R42" s="1036">
        <v>0</v>
      </c>
      <c r="S42" s="1032">
        <f t="shared" si="74"/>
        <v>0</v>
      </c>
      <c r="T42" s="1035">
        <v>0</v>
      </c>
      <c r="U42" s="1036">
        <v>0</v>
      </c>
      <c r="V42" s="1032">
        <f t="shared" si="75"/>
        <v>0</v>
      </c>
      <c r="W42" s="1037">
        <f t="shared" si="76"/>
        <v>0</v>
      </c>
      <c r="X42" s="1038">
        <v>0</v>
      </c>
      <c r="Y42" s="1039">
        <v>0</v>
      </c>
      <c r="Z42" s="1408">
        <v>0</v>
      </c>
      <c r="AA42" s="1040">
        <f t="shared" si="100"/>
        <v>0</v>
      </c>
      <c r="AB42" s="1038">
        <v>0</v>
      </c>
      <c r="AC42" s="1039">
        <v>0</v>
      </c>
      <c r="AD42" s="1040">
        <f t="shared" si="78"/>
        <v>0</v>
      </c>
      <c r="AE42" s="1038">
        <v>0</v>
      </c>
      <c r="AF42" s="1040">
        <f t="shared" si="79"/>
        <v>0</v>
      </c>
      <c r="AG42" s="1038">
        <v>0</v>
      </c>
      <c r="AH42" s="1040">
        <f t="shared" si="80"/>
        <v>0</v>
      </c>
      <c r="AI42" s="1038">
        <v>0</v>
      </c>
      <c r="AJ42" s="1039">
        <v>0</v>
      </c>
      <c r="AK42" s="1039">
        <v>0</v>
      </c>
      <c r="AL42" s="1039">
        <v>0</v>
      </c>
      <c r="AM42" s="1041">
        <v>0</v>
      </c>
      <c r="AN42" s="1041">
        <v>0</v>
      </c>
      <c r="AO42" s="1040">
        <f t="shared" si="81"/>
        <v>0</v>
      </c>
      <c r="AP42" s="1038">
        <v>0</v>
      </c>
      <c r="AQ42" s="1040">
        <f t="shared" si="82"/>
        <v>0</v>
      </c>
      <c r="AR42" s="1038">
        <v>0</v>
      </c>
      <c r="AS42" s="1039">
        <v>0</v>
      </c>
      <c r="AT42" s="1408">
        <v>0</v>
      </c>
      <c r="AU42" s="1040">
        <f t="shared" si="101"/>
        <v>0</v>
      </c>
      <c r="AV42" s="1038">
        <v>0</v>
      </c>
      <c r="AW42" s="1039">
        <v>0</v>
      </c>
      <c r="AX42" s="1040">
        <f t="shared" si="84"/>
        <v>0</v>
      </c>
      <c r="AY42" s="1038">
        <v>0</v>
      </c>
      <c r="AZ42" s="1040">
        <f t="shared" si="85"/>
        <v>0</v>
      </c>
      <c r="BA42" s="1038">
        <v>0</v>
      </c>
      <c r="BB42" s="1039">
        <v>0</v>
      </c>
      <c r="BC42" s="1040">
        <f t="shared" si="86"/>
        <v>0</v>
      </c>
      <c r="BD42" s="1042">
        <f t="shared" si="87"/>
        <v>0</v>
      </c>
      <c r="BE42" s="1052"/>
      <c r="BF42" s="1053"/>
      <c r="BG42" s="1048">
        <f t="shared" si="8"/>
        <v>0</v>
      </c>
      <c r="BH42" s="1052"/>
      <c r="BI42" s="1053"/>
      <c r="BJ42" s="1053"/>
      <c r="BK42" s="1053"/>
      <c r="BL42" s="1048">
        <f t="shared" si="88"/>
        <v>0</v>
      </c>
      <c r="BM42" s="1052"/>
      <c r="BN42" s="1053"/>
      <c r="BO42" s="1048">
        <f t="shared" si="89"/>
        <v>0</v>
      </c>
      <c r="BP42" s="1049"/>
      <c r="BQ42" s="1050"/>
      <c r="BR42" s="1050"/>
      <c r="BS42" s="1050"/>
      <c r="BT42" s="1053"/>
      <c r="BU42" s="1048">
        <f t="shared" si="90"/>
        <v>0</v>
      </c>
      <c r="BV42" s="1049"/>
      <c r="BW42" s="1050"/>
      <c r="BX42" s="1050"/>
      <c r="BY42" s="1050"/>
      <c r="BZ42" s="1050"/>
      <c r="CA42" s="1050"/>
      <c r="CB42" s="1053"/>
      <c r="CC42" s="1048">
        <f t="shared" si="91"/>
        <v>0</v>
      </c>
      <c r="CD42" s="1052"/>
      <c r="CE42" s="1053"/>
      <c r="CF42" s="1053"/>
      <c r="CG42" s="1053"/>
      <c r="CH42" s="1048">
        <f t="shared" si="92"/>
        <v>0</v>
      </c>
      <c r="CI42" s="1052"/>
      <c r="CJ42" s="1053"/>
      <c r="CK42" s="1053"/>
      <c r="CL42" s="1053"/>
      <c r="CM42" s="1053"/>
      <c r="CN42" s="1053"/>
      <c r="CO42" s="1051">
        <f t="shared" si="93"/>
        <v>0</v>
      </c>
      <c r="CP42" s="1052"/>
      <c r="CQ42" s="1053"/>
      <c r="CR42" s="1048">
        <f t="shared" si="94"/>
        <v>0</v>
      </c>
      <c r="CS42" s="1052"/>
      <c r="CT42" s="1053"/>
      <c r="CU42" s="1053"/>
      <c r="CV42" s="1053"/>
      <c r="CW42" s="1048">
        <f t="shared" si="95"/>
        <v>0</v>
      </c>
      <c r="CX42" s="1052"/>
      <c r="CY42" s="1048">
        <f t="shared" si="96"/>
        <v>0</v>
      </c>
      <c r="CZ42" s="1103">
        <f t="shared" si="97"/>
        <v>0</v>
      </c>
      <c r="DA42" s="1104">
        <f t="shared" si="98"/>
        <v>0</v>
      </c>
      <c r="DI42" s="1042">
        <f t="shared" si="99"/>
        <v>0</v>
      </c>
    </row>
    <row r="43" spans="1:113" s="1055" customFormat="1" ht="30">
      <c r="A43" s="955" t="s">
        <v>872</v>
      </c>
      <c r="B43" s="1102" t="s">
        <v>873</v>
      </c>
      <c r="C43" s="1030" t="s">
        <v>11</v>
      </c>
      <c r="D43" s="1035"/>
      <c r="E43" s="1032">
        <f t="shared" si="3"/>
        <v>0</v>
      </c>
      <c r="F43" s="1035">
        <v>0</v>
      </c>
      <c r="G43" s="1036">
        <v>0</v>
      </c>
      <c r="H43" s="1032">
        <f t="shared" si="70"/>
        <v>0</v>
      </c>
      <c r="I43" s="1035">
        <v>15</v>
      </c>
      <c r="J43" s="1032">
        <f t="shared" si="71"/>
        <v>15</v>
      </c>
      <c r="K43" s="1035">
        <v>20</v>
      </c>
      <c r="L43" s="1074">
        <v>24.6</v>
      </c>
      <c r="M43" s="1032">
        <f t="shared" si="72"/>
        <v>44.6</v>
      </c>
      <c r="N43" s="1035">
        <v>48.3</v>
      </c>
      <c r="O43" s="1036">
        <v>50</v>
      </c>
      <c r="P43" s="1032">
        <f t="shared" si="73"/>
        <v>98.3</v>
      </c>
      <c r="Q43" s="1035">
        <v>0</v>
      </c>
      <c r="R43" s="1036">
        <v>114</v>
      </c>
      <c r="S43" s="1032">
        <f t="shared" si="74"/>
        <v>114</v>
      </c>
      <c r="T43" s="1035">
        <v>0</v>
      </c>
      <c r="U43" s="1036">
        <v>20</v>
      </c>
      <c r="V43" s="1032">
        <f t="shared" si="75"/>
        <v>20</v>
      </c>
      <c r="W43" s="1037">
        <f t="shared" si="76"/>
        <v>291.89999999999998</v>
      </c>
      <c r="X43" s="1038">
        <v>0</v>
      </c>
      <c r="Y43" s="1039">
        <v>0</v>
      </c>
      <c r="Z43" s="1408">
        <v>0</v>
      </c>
      <c r="AA43" s="1040">
        <f t="shared" si="100"/>
        <v>0</v>
      </c>
      <c r="AB43" s="1038">
        <v>0</v>
      </c>
      <c r="AC43" s="1039">
        <v>0</v>
      </c>
      <c r="AD43" s="1040">
        <f t="shared" si="78"/>
        <v>0</v>
      </c>
      <c r="AE43" s="1038">
        <v>0</v>
      </c>
      <c r="AF43" s="1040">
        <f t="shared" si="79"/>
        <v>0</v>
      </c>
      <c r="AG43" s="1038">
        <v>0</v>
      </c>
      <c r="AH43" s="1040">
        <f t="shared" si="80"/>
        <v>0</v>
      </c>
      <c r="AI43" s="1038">
        <v>0</v>
      </c>
      <c r="AJ43" s="1039">
        <v>0</v>
      </c>
      <c r="AK43" s="1039">
        <v>0</v>
      </c>
      <c r="AL43" s="1039">
        <v>0</v>
      </c>
      <c r="AM43" s="1041">
        <v>0</v>
      </c>
      <c r="AN43" s="1041">
        <v>0</v>
      </c>
      <c r="AO43" s="1040">
        <f t="shared" si="81"/>
        <v>0</v>
      </c>
      <c r="AP43" s="1038">
        <v>0</v>
      </c>
      <c r="AQ43" s="1040">
        <f t="shared" si="82"/>
        <v>0</v>
      </c>
      <c r="AR43" s="1038">
        <v>0</v>
      </c>
      <c r="AS43" s="1039">
        <v>0</v>
      </c>
      <c r="AT43" s="1408">
        <v>0</v>
      </c>
      <c r="AU43" s="1040">
        <f t="shared" si="101"/>
        <v>0</v>
      </c>
      <c r="AV43" s="1038">
        <v>0</v>
      </c>
      <c r="AW43" s="1039">
        <v>0</v>
      </c>
      <c r="AX43" s="1040">
        <f t="shared" si="84"/>
        <v>0</v>
      </c>
      <c r="AY43" s="1038">
        <v>0</v>
      </c>
      <c r="AZ43" s="1040">
        <f t="shared" si="85"/>
        <v>0</v>
      </c>
      <c r="BA43" s="1038">
        <v>0</v>
      </c>
      <c r="BB43" s="1039">
        <v>0</v>
      </c>
      <c r="BC43" s="1040">
        <f t="shared" si="86"/>
        <v>0</v>
      </c>
      <c r="BD43" s="1042">
        <f t="shared" si="87"/>
        <v>0</v>
      </c>
      <c r="BE43" s="1052"/>
      <c r="BF43" s="1053"/>
      <c r="BG43" s="1048">
        <f t="shared" si="8"/>
        <v>0</v>
      </c>
      <c r="BH43" s="1052"/>
      <c r="BI43" s="1053"/>
      <c r="BJ43" s="1053"/>
      <c r="BK43" s="1053"/>
      <c r="BL43" s="1048">
        <f t="shared" si="88"/>
        <v>0</v>
      </c>
      <c r="BM43" s="1052"/>
      <c r="BN43" s="1053"/>
      <c r="BO43" s="1048">
        <f t="shared" si="89"/>
        <v>0</v>
      </c>
      <c r="BP43" s="1049"/>
      <c r="BQ43" s="1050"/>
      <c r="BR43" s="1050"/>
      <c r="BS43" s="1050"/>
      <c r="BT43" s="1053"/>
      <c r="BU43" s="1048">
        <f t="shared" si="90"/>
        <v>0</v>
      </c>
      <c r="BV43" s="1049"/>
      <c r="BW43" s="1050"/>
      <c r="BX43" s="1050"/>
      <c r="BY43" s="1050"/>
      <c r="BZ43" s="1050"/>
      <c r="CA43" s="1050"/>
      <c r="CB43" s="1053"/>
      <c r="CC43" s="1048">
        <f t="shared" si="91"/>
        <v>0</v>
      </c>
      <c r="CD43" s="1052"/>
      <c r="CE43" s="1053"/>
      <c r="CF43" s="1053"/>
      <c r="CG43" s="1053"/>
      <c r="CH43" s="1048">
        <f t="shared" si="92"/>
        <v>0</v>
      </c>
      <c r="CI43" s="1052"/>
      <c r="CJ43" s="1053"/>
      <c r="CK43" s="1053"/>
      <c r="CL43" s="1053"/>
      <c r="CM43" s="1053"/>
      <c r="CN43" s="1053"/>
      <c r="CO43" s="1051">
        <f t="shared" si="93"/>
        <v>0</v>
      </c>
      <c r="CP43" s="1052"/>
      <c r="CQ43" s="1053"/>
      <c r="CR43" s="1048">
        <f t="shared" si="94"/>
        <v>0</v>
      </c>
      <c r="CS43" s="1052"/>
      <c r="CT43" s="1053"/>
      <c r="CU43" s="1053"/>
      <c r="CV43" s="1053"/>
      <c r="CW43" s="1048">
        <f t="shared" si="95"/>
        <v>0</v>
      </c>
      <c r="CX43" s="1052"/>
      <c r="CY43" s="1048">
        <f t="shared" si="96"/>
        <v>0</v>
      </c>
      <c r="CZ43" s="1103">
        <f t="shared" si="97"/>
        <v>0</v>
      </c>
      <c r="DA43" s="1104">
        <f t="shared" si="98"/>
        <v>291.89999999999998</v>
      </c>
      <c r="DI43" s="1042">
        <f t="shared" si="99"/>
        <v>0</v>
      </c>
    </row>
    <row r="44" spans="1:113" s="1055" customFormat="1" ht="30">
      <c r="A44" s="955" t="s">
        <v>874</v>
      </c>
      <c r="B44" s="1102" t="s">
        <v>875</v>
      </c>
      <c r="C44" s="1030" t="s">
        <v>11</v>
      </c>
      <c r="D44" s="1035"/>
      <c r="E44" s="1032">
        <f t="shared" si="3"/>
        <v>0</v>
      </c>
      <c r="F44" s="1035">
        <v>0</v>
      </c>
      <c r="G44" s="1036">
        <v>0</v>
      </c>
      <c r="H44" s="1032">
        <f t="shared" si="70"/>
        <v>0</v>
      </c>
      <c r="I44" s="1035">
        <v>0</v>
      </c>
      <c r="J44" s="1032">
        <f t="shared" si="71"/>
        <v>0</v>
      </c>
      <c r="K44" s="1035">
        <v>0</v>
      </c>
      <c r="L44" s="1074">
        <v>0</v>
      </c>
      <c r="M44" s="1032">
        <f t="shared" si="72"/>
        <v>0</v>
      </c>
      <c r="N44" s="1035">
        <v>0</v>
      </c>
      <c r="O44" s="1036">
        <v>0</v>
      </c>
      <c r="P44" s="1032">
        <f t="shared" si="73"/>
        <v>0</v>
      </c>
      <c r="Q44" s="1035">
        <v>0</v>
      </c>
      <c r="R44" s="1036">
        <v>0</v>
      </c>
      <c r="S44" s="1032">
        <f t="shared" si="74"/>
        <v>0</v>
      </c>
      <c r="T44" s="1035">
        <v>0</v>
      </c>
      <c r="U44" s="1036">
        <v>0</v>
      </c>
      <c r="V44" s="1032">
        <f t="shared" si="75"/>
        <v>0</v>
      </c>
      <c r="W44" s="1037">
        <f t="shared" si="76"/>
        <v>0</v>
      </c>
      <c r="X44" s="1038">
        <v>0</v>
      </c>
      <c r="Y44" s="1039">
        <v>0</v>
      </c>
      <c r="Z44" s="1408">
        <v>0</v>
      </c>
      <c r="AA44" s="1040">
        <f t="shared" si="100"/>
        <v>0</v>
      </c>
      <c r="AB44" s="1038">
        <v>0</v>
      </c>
      <c r="AC44" s="1039">
        <v>0</v>
      </c>
      <c r="AD44" s="1040">
        <f t="shared" si="78"/>
        <v>0</v>
      </c>
      <c r="AE44" s="1038">
        <v>0</v>
      </c>
      <c r="AF44" s="1040">
        <f t="shared" si="79"/>
        <v>0</v>
      </c>
      <c r="AG44" s="1038">
        <v>0</v>
      </c>
      <c r="AH44" s="1040">
        <f t="shared" si="80"/>
        <v>0</v>
      </c>
      <c r="AI44" s="1038">
        <v>0</v>
      </c>
      <c r="AJ44" s="1039">
        <v>0</v>
      </c>
      <c r="AK44" s="1039">
        <v>0</v>
      </c>
      <c r="AL44" s="1039">
        <v>0</v>
      </c>
      <c r="AM44" s="1041">
        <v>0</v>
      </c>
      <c r="AN44" s="1041">
        <v>0</v>
      </c>
      <c r="AO44" s="1040">
        <f t="shared" si="81"/>
        <v>0</v>
      </c>
      <c r="AP44" s="1038">
        <v>0</v>
      </c>
      <c r="AQ44" s="1040">
        <f t="shared" si="82"/>
        <v>0</v>
      </c>
      <c r="AR44" s="1038">
        <v>0</v>
      </c>
      <c r="AS44" s="1039">
        <v>0</v>
      </c>
      <c r="AT44" s="1408">
        <v>0</v>
      </c>
      <c r="AU44" s="1040">
        <f t="shared" si="101"/>
        <v>0</v>
      </c>
      <c r="AV44" s="1038">
        <v>0</v>
      </c>
      <c r="AW44" s="1039">
        <v>0</v>
      </c>
      <c r="AX44" s="1040">
        <f t="shared" si="84"/>
        <v>0</v>
      </c>
      <c r="AY44" s="1038">
        <v>0</v>
      </c>
      <c r="AZ44" s="1040">
        <f t="shared" si="85"/>
        <v>0</v>
      </c>
      <c r="BA44" s="1038">
        <v>0</v>
      </c>
      <c r="BB44" s="1039">
        <v>0</v>
      </c>
      <c r="BC44" s="1040">
        <f t="shared" si="86"/>
        <v>0</v>
      </c>
      <c r="BD44" s="1042">
        <f t="shared" si="87"/>
        <v>0</v>
      </c>
      <c r="BE44" s="1052"/>
      <c r="BF44" s="1053"/>
      <c r="BG44" s="1048">
        <f t="shared" si="8"/>
        <v>0</v>
      </c>
      <c r="BH44" s="1052"/>
      <c r="BI44" s="1053"/>
      <c r="BJ44" s="1053"/>
      <c r="BK44" s="1053"/>
      <c r="BL44" s="1048">
        <f t="shared" si="88"/>
        <v>0</v>
      </c>
      <c r="BM44" s="1052"/>
      <c r="BN44" s="1053"/>
      <c r="BO44" s="1048">
        <f t="shared" si="89"/>
        <v>0</v>
      </c>
      <c r="BP44" s="1049"/>
      <c r="BQ44" s="1050"/>
      <c r="BR44" s="1050"/>
      <c r="BS44" s="1050"/>
      <c r="BT44" s="1053"/>
      <c r="BU44" s="1048">
        <f t="shared" si="90"/>
        <v>0</v>
      </c>
      <c r="BV44" s="1049"/>
      <c r="BW44" s="1050"/>
      <c r="BX44" s="1050"/>
      <c r="BY44" s="1050"/>
      <c r="BZ44" s="1050"/>
      <c r="CA44" s="1050"/>
      <c r="CB44" s="1053"/>
      <c r="CC44" s="1048">
        <f t="shared" si="91"/>
        <v>0</v>
      </c>
      <c r="CD44" s="1052"/>
      <c r="CE44" s="1053"/>
      <c r="CF44" s="1053"/>
      <c r="CG44" s="1053"/>
      <c r="CH44" s="1048">
        <f t="shared" si="92"/>
        <v>0</v>
      </c>
      <c r="CI44" s="1052"/>
      <c r="CJ44" s="1053"/>
      <c r="CK44" s="1053"/>
      <c r="CL44" s="1053"/>
      <c r="CM44" s="1053"/>
      <c r="CN44" s="1053"/>
      <c r="CO44" s="1051">
        <f t="shared" si="93"/>
        <v>0</v>
      </c>
      <c r="CP44" s="1052"/>
      <c r="CQ44" s="1053"/>
      <c r="CR44" s="1048">
        <f t="shared" si="94"/>
        <v>0</v>
      </c>
      <c r="CS44" s="1052"/>
      <c r="CT44" s="1053"/>
      <c r="CU44" s="1053"/>
      <c r="CV44" s="1053"/>
      <c r="CW44" s="1048">
        <f t="shared" si="95"/>
        <v>0</v>
      </c>
      <c r="CX44" s="1052"/>
      <c r="CY44" s="1048">
        <f t="shared" si="96"/>
        <v>0</v>
      </c>
      <c r="CZ44" s="1103">
        <f t="shared" si="97"/>
        <v>0</v>
      </c>
      <c r="DA44" s="1104">
        <f t="shared" si="98"/>
        <v>0</v>
      </c>
      <c r="DI44" s="1042">
        <f t="shared" si="99"/>
        <v>0</v>
      </c>
    </row>
    <row r="45" spans="1:113" s="1055" customFormat="1" ht="30">
      <c r="A45" s="955" t="s">
        <v>876</v>
      </c>
      <c r="B45" s="1102" t="s">
        <v>877</v>
      </c>
      <c r="C45" s="1030" t="s">
        <v>11</v>
      </c>
      <c r="D45" s="1035"/>
      <c r="E45" s="1032">
        <f t="shared" si="3"/>
        <v>0</v>
      </c>
      <c r="F45" s="1035">
        <v>0</v>
      </c>
      <c r="G45" s="1036">
        <v>0</v>
      </c>
      <c r="H45" s="1032">
        <f t="shared" si="70"/>
        <v>0</v>
      </c>
      <c r="I45" s="1035">
        <v>41</v>
      </c>
      <c r="J45" s="1032">
        <f t="shared" si="71"/>
        <v>41</v>
      </c>
      <c r="K45" s="1035">
        <v>0</v>
      </c>
      <c r="L45" s="1074">
        <v>0</v>
      </c>
      <c r="M45" s="1032">
        <f t="shared" si="72"/>
        <v>0</v>
      </c>
      <c r="N45" s="1035">
        <v>0</v>
      </c>
      <c r="O45" s="1036">
        <v>0</v>
      </c>
      <c r="P45" s="1032">
        <f t="shared" si="73"/>
        <v>0</v>
      </c>
      <c r="Q45" s="1035">
        <v>0</v>
      </c>
      <c r="R45" s="1036">
        <v>0</v>
      </c>
      <c r="S45" s="1032">
        <f t="shared" si="74"/>
        <v>0</v>
      </c>
      <c r="T45" s="1035">
        <v>0</v>
      </c>
      <c r="U45" s="1036">
        <v>0</v>
      </c>
      <c r="V45" s="1032">
        <f t="shared" si="75"/>
        <v>0</v>
      </c>
      <c r="W45" s="1037">
        <f t="shared" si="76"/>
        <v>41</v>
      </c>
      <c r="X45" s="1038">
        <v>0</v>
      </c>
      <c r="Y45" s="1039">
        <v>0</v>
      </c>
      <c r="Z45" s="1408">
        <v>0</v>
      </c>
      <c r="AA45" s="1040">
        <f t="shared" si="100"/>
        <v>0</v>
      </c>
      <c r="AB45" s="1038">
        <v>0</v>
      </c>
      <c r="AC45" s="1039">
        <v>0</v>
      </c>
      <c r="AD45" s="1040">
        <f t="shared" si="78"/>
        <v>0</v>
      </c>
      <c r="AE45" s="1038">
        <v>0</v>
      </c>
      <c r="AF45" s="1040">
        <f t="shared" si="79"/>
        <v>0</v>
      </c>
      <c r="AG45" s="1038">
        <v>0</v>
      </c>
      <c r="AH45" s="1040">
        <f t="shared" si="80"/>
        <v>0</v>
      </c>
      <c r="AI45" s="1038">
        <v>0</v>
      </c>
      <c r="AJ45" s="1039">
        <v>0</v>
      </c>
      <c r="AK45" s="1039">
        <v>0</v>
      </c>
      <c r="AL45" s="1039">
        <v>0</v>
      </c>
      <c r="AM45" s="1041">
        <v>0</v>
      </c>
      <c r="AN45" s="1041">
        <v>0</v>
      </c>
      <c r="AO45" s="1040">
        <f t="shared" si="81"/>
        <v>0</v>
      </c>
      <c r="AP45" s="1038">
        <v>0</v>
      </c>
      <c r="AQ45" s="1040">
        <f t="shared" si="82"/>
        <v>0</v>
      </c>
      <c r="AR45" s="1038">
        <v>0</v>
      </c>
      <c r="AS45" s="1039">
        <v>0</v>
      </c>
      <c r="AT45" s="1408">
        <v>0</v>
      </c>
      <c r="AU45" s="1040">
        <f t="shared" si="101"/>
        <v>0</v>
      </c>
      <c r="AV45" s="1038">
        <v>0</v>
      </c>
      <c r="AW45" s="1039">
        <v>0</v>
      </c>
      <c r="AX45" s="1040">
        <f t="shared" si="84"/>
        <v>0</v>
      </c>
      <c r="AY45" s="1038">
        <v>0</v>
      </c>
      <c r="AZ45" s="1040">
        <f t="shared" si="85"/>
        <v>0</v>
      </c>
      <c r="BA45" s="1038">
        <v>0</v>
      </c>
      <c r="BB45" s="1039">
        <v>0</v>
      </c>
      <c r="BC45" s="1040">
        <f t="shared" si="86"/>
        <v>0</v>
      </c>
      <c r="BD45" s="1042">
        <f t="shared" si="87"/>
        <v>0</v>
      </c>
      <c r="BE45" s="1052"/>
      <c r="BF45" s="1053"/>
      <c r="BG45" s="1048">
        <f t="shared" si="8"/>
        <v>0</v>
      </c>
      <c r="BH45" s="1052"/>
      <c r="BI45" s="1053"/>
      <c r="BJ45" s="1053"/>
      <c r="BK45" s="1053"/>
      <c r="BL45" s="1048">
        <f t="shared" si="88"/>
        <v>0</v>
      </c>
      <c r="BM45" s="1052"/>
      <c r="BN45" s="1053"/>
      <c r="BO45" s="1048">
        <f t="shared" si="89"/>
        <v>0</v>
      </c>
      <c r="BP45" s="1049"/>
      <c r="BQ45" s="1050"/>
      <c r="BR45" s="1050"/>
      <c r="BS45" s="1050"/>
      <c r="BT45" s="1053"/>
      <c r="BU45" s="1048">
        <f t="shared" si="90"/>
        <v>0</v>
      </c>
      <c r="BV45" s="1049"/>
      <c r="BW45" s="1050"/>
      <c r="BX45" s="1050"/>
      <c r="BY45" s="1050"/>
      <c r="BZ45" s="1050"/>
      <c r="CA45" s="1050"/>
      <c r="CB45" s="1053"/>
      <c r="CC45" s="1048">
        <f t="shared" si="91"/>
        <v>0</v>
      </c>
      <c r="CD45" s="1052"/>
      <c r="CE45" s="1053"/>
      <c r="CF45" s="1053"/>
      <c r="CG45" s="1053"/>
      <c r="CH45" s="1048">
        <f t="shared" si="92"/>
        <v>0</v>
      </c>
      <c r="CI45" s="1052"/>
      <c r="CJ45" s="1053"/>
      <c r="CK45" s="1053"/>
      <c r="CL45" s="1053"/>
      <c r="CM45" s="1053"/>
      <c r="CN45" s="1053"/>
      <c r="CO45" s="1051">
        <f t="shared" si="93"/>
        <v>0</v>
      </c>
      <c r="CP45" s="1052"/>
      <c r="CQ45" s="1053"/>
      <c r="CR45" s="1048">
        <f t="shared" si="94"/>
        <v>0</v>
      </c>
      <c r="CS45" s="1052"/>
      <c r="CT45" s="1053"/>
      <c r="CU45" s="1053"/>
      <c r="CV45" s="1053"/>
      <c r="CW45" s="1048">
        <f t="shared" si="95"/>
        <v>0</v>
      </c>
      <c r="CX45" s="1052"/>
      <c r="CY45" s="1048">
        <f t="shared" si="96"/>
        <v>0</v>
      </c>
      <c r="CZ45" s="1103">
        <f t="shared" si="97"/>
        <v>0</v>
      </c>
      <c r="DA45" s="1104">
        <f t="shared" si="98"/>
        <v>41</v>
      </c>
      <c r="DI45" s="1042">
        <f t="shared" si="99"/>
        <v>0</v>
      </c>
    </row>
    <row r="46" spans="1:113" s="1055" customFormat="1" ht="30">
      <c r="A46" s="955" t="s">
        <v>878</v>
      </c>
      <c r="B46" s="1102" t="s">
        <v>879</v>
      </c>
      <c r="C46" s="1030" t="s">
        <v>11</v>
      </c>
      <c r="D46" s="1035"/>
      <c r="E46" s="1032">
        <f t="shared" si="3"/>
        <v>0</v>
      </c>
      <c r="F46" s="1035">
        <v>0</v>
      </c>
      <c r="G46" s="1036">
        <v>0</v>
      </c>
      <c r="H46" s="1032">
        <f t="shared" si="70"/>
        <v>0</v>
      </c>
      <c r="I46" s="1035">
        <v>17</v>
      </c>
      <c r="J46" s="1032">
        <f t="shared" si="71"/>
        <v>17</v>
      </c>
      <c r="K46" s="1035">
        <v>0</v>
      </c>
      <c r="L46" s="1074">
        <v>0</v>
      </c>
      <c r="M46" s="1032">
        <f t="shared" si="72"/>
        <v>0</v>
      </c>
      <c r="N46" s="1035">
        <v>0</v>
      </c>
      <c r="O46" s="1036">
        <v>0</v>
      </c>
      <c r="P46" s="1032">
        <f t="shared" si="73"/>
        <v>0</v>
      </c>
      <c r="Q46" s="1035">
        <v>0</v>
      </c>
      <c r="R46" s="1036">
        <v>0</v>
      </c>
      <c r="S46" s="1032">
        <f t="shared" si="74"/>
        <v>0</v>
      </c>
      <c r="T46" s="1035">
        <v>0</v>
      </c>
      <c r="U46" s="1036">
        <v>0</v>
      </c>
      <c r="V46" s="1032">
        <f t="shared" si="75"/>
        <v>0</v>
      </c>
      <c r="W46" s="1037">
        <f t="shared" si="76"/>
        <v>17</v>
      </c>
      <c r="X46" s="1038">
        <v>0</v>
      </c>
      <c r="Y46" s="1039">
        <v>0</v>
      </c>
      <c r="Z46" s="1408">
        <v>0</v>
      </c>
      <c r="AA46" s="1040">
        <f t="shared" si="100"/>
        <v>0</v>
      </c>
      <c r="AB46" s="1038">
        <v>0</v>
      </c>
      <c r="AC46" s="1039">
        <v>0</v>
      </c>
      <c r="AD46" s="1040">
        <f t="shared" si="78"/>
        <v>0</v>
      </c>
      <c r="AE46" s="1038">
        <v>0</v>
      </c>
      <c r="AF46" s="1040">
        <f t="shared" si="79"/>
        <v>0</v>
      </c>
      <c r="AG46" s="1038">
        <v>0</v>
      </c>
      <c r="AH46" s="1040">
        <f t="shared" si="80"/>
        <v>0</v>
      </c>
      <c r="AI46" s="1038">
        <v>0</v>
      </c>
      <c r="AJ46" s="1039">
        <v>0</v>
      </c>
      <c r="AK46" s="1039">
        <v>0</v>
      </c>
      <c r="AL46" s="1039">
        <v>0</v>
      </c>
      <c r="AM46" s="1041">
        <v>0</v>
      </c>
      <c r="AN46" s="1041">
        <v>0</v>
      </c>
      <c r="AO46" s="1040">
        <f t="shared" si="81"/>
        <v>0</v>
      </c>
      <c r="AP46" s="1038">
        <v>0</v>
      </c>
      <c r="AQ46" s="1040">
        <f t="shared" si="82"/>
        <v>0</v>
      </c>
      <c r="AR46" s="1038">
        <v>0</v>
      </c>
      <c r="AS46" s="1039">
        <v>0</v>
      </c>
      <c r="AT46" s="1408">
        <v>0</v>
      </c>
      <c r="AU46" s="1040">
        <f t="shared" si="101"/>
        <v>0</v>
      </c>
      <c r="AV46" s="1038">
        <v>0</v>
      </c>
      <c r="AW46" s="1039">
        <v>0</v>
      </c>
      <c r="AX46" s="1040">
        <f t="shared" si="84"/>
        <v>0</v>
      </c>
      <c r="AY46" s="1038">
        <v>0</v>
      </c>
      <c r="AZ46" s="1040">
        <f t="shared" si="85"/>
        <v>0</v>
      </c>
      <c r="BA46" s="1038">
        <v>0</v>
      </c>
      <c r="BB46" s="1039">
        <v>0</v>
      </c>
      <c r="BC46" s="1040">
        <f t="shared" si="86"/>
        <v>0</v>
      </c>
      <c r="BD46" s="1042">
        <f t="shared" si="87"/>
        <v>0</v>
      </c>
      <c r="BE46" s="1052"/>
      <c r="BF46" s="1053"/>
      <c r="BG46" s="1048">
        <f t="shared" si="8"/>
        <v>0</v>
      </c>
      <c r="BH46" s="1052"/>
      <c r="BI46" s="1053"/>
      <c r="BJ46" s="1053"/>
      <c r="BK46" s="1053"/>
      <c r="BL46" s="1048">
        <f t="shared" si="88"/>
        <v>0</v>
      </c>
      <c r="BM46" s="1052"/>
      <c r="BN46" s="1053"/>
      <c r="BO46" s="1048">
        <f t="shared" si="89"/>
        <v>0</v>
      </c>
      <c r="BP46" s="1049"/>
      <c r="BQ46" s="1050"/>
      <c r="BR46" s="1050"/>
      <c r="BS46" s="1050"/>
      <c r="BT46" s="1053"/>
      <c r="BU46" s="1048">
        <f t="shared" si="90"/>
        <v>0</v>
      </c>
      <c r="BV46" s="1049"/>
      <c r="BW46" s="1050"/>
      <c r="BX46" s="1050"/>
      <c r="BY46" s="1050"/>
      <c r="BZ46" s="1050"/>
      <c r="CA46" s="1050"/>
      <c r="CB46" s="1053"/>
      <c r="CC46" s="1048">
        <f t="shared" si="91"/>
        <v>0</v>
      </c>
      <c r="CD46" s="1052"/>
      <c r="CE46" s="1053"/>
      <c r="CF46" s="1053"/>
      <c r="CG46" s="1053"/>
      <c r="CH46" s="1048">
        <f t="shared" si="92"/>
        <v>0</v>
      </c>
      <c r="CI46" s="1052"/>
      <c r="CJ46" s="1053"/>
      <c r="CK46" s="1053"/>
      <c r="CL46" s="1053"/>
      <c r="CM46" s="1053"/>
      <c r="CN46" s="1053"/>
      <c r="CO46" s="1051">
        <f t="shared" si="93"/>
        <v>0</v>
      </c>
      <c r="CP46" s="1052"/>
      <c r="CQ46" s="1053"/>
      <c r="CR46" s="1048">
        <f t="shared" si="94"/>
        <v>0</v>
      </c>
      <c r="CS46" s="1052"/>
      <c r="CT46" s="1053"/>
      <c r="CU46" s="1053"/>
      <c r="CV46" s="1053"/>
      <c r="CW46" s="1048">
        <f t="shared" si="95"/>
        <v>0</v>
      </c>
      <c r="CX46" s="1052"/>
      <c r="CY46" s="1048">
        <f t="shared" si="96"/>
        <v>0</v>
      </c>
      <c r="CZ46" s="1103">
        <f t="shared" si="97"/>
        <v>0</v>
      </c>
      <c r="DA46" s="1104">
        <f t="shared" si="98"/>
        <v>17</v>
      </c>
      <c r="DI46" s="1042">
        <f t="shared" si="99"/>
        <v>0</v>
      </c>
    </row>
    <row r="47" spans="1:113" s="1055" customFormat="1" ht="30">
      <c r="A47" s="955" t="s">
        <v>880</v>
      </c>
      <c r="B47" s="1102" t="s">
        <v>881</v>
      </c>
      <c r="C47" s="1030" t="s">
        <v>11</v>
      </c>
      <c r="D47" s="1035"/>
      <c r="E47" s="1032">
        <f t="shared" si="3"/>
        <v>0</v>
      </c>
      <c r="F47" s="1035">
        <v>0</v>
      </c>
      <c r="G47" s="1036">
        <v>0</v>
      </c>
      <c r="H47" s="1032">
        <f t="shared" si="70"/>
        <v>0</v>
      </c>
      <c r="I47" s="1035">
        <v>0</v>
      </c>
      <c r="J47" s="1032">
        <f t="shared" si="71"/>
        <v>0</v>
      </c>
      <c r="K47" s="1035">
        <v>0</v>
      </c>
      <c r="L47" s="1074">
        <v>0</v>
      </c>
      <c r="M47" s="1032">
        <f t="shared" si="72"/>
        <v>0</v>
      </c>
      <c r="N47" s="1035">
        <v>0</v>
      </c>
      <c r="O47" s="1036">
        <v>0</v>
      </c>
      <c r="P47" s="1032">
        <f t="shared" si="73"/>
        <v>0</v>
      </c>
      <c r="Q47" s="1035">
        <v>0</v>
      </c>
      <c r="R47" s="1036">
        <v>0</v>
      </c>
      <c r="S47" s="1032">
        <f t="shared" si="74"/>
        <v>0</v>
      </c>
      <c r="T47" s="1035">
        <v>0</v>
      </c>
      <c r="U47" s="1036">
        <v>0</v>
      </c>
      <c r="V47" s="1032">
        <f t="shared" si="75"/>
        <v>0</v>
      </c>
      <c r="W47" s="1037">
        <f t="shared" si="76"/>
        <v>0</v>
      </c>
      <c r="X47" s="1038">
        <v>0</v>
      </c>
      <c r="Y47" s="1039">
        <v>0</v>
      </c>
      <c r="Z47" s="1408">
        <v>0</v>
      </c>
      <c r="AA47" s="1040">
        <f t="shared" si="100"/>
        <v>0</v>
      </c>
      <c r="AB47" s="1038">
        <v>0</v>
      </c>
      <c r="AC47" s="1039">
        <v>0</v>
      </c>
      <c r="AD47" s="1040">
        <f t="shared" si="78"/>
        <v>0</v>
      </c>
      <c r="AE47" s="1038">
        <v>0</v>
      </c>
      <c r="AF47" s="1040">
        <f t="shared" si="79"/>
        <v>0</v>
      </c>
      <c r="AG47" s="1038">
        <v>0</v>
      </c>
      <c r="AH47" s="1040">
        <f t="shared" si="80"/>
        <v>0</v>
      </c>
      <c r="AI47" s="1038">
        <v>0</v>
      </c>
      <c r="AJ47" s="1039">
        <v>0</v>
      </c>
      <c r="AK47" s="1039">
        <v>0</v>
      </c>
      <c r="AL47" s="1039">
        <v>0</v>
      </c>
      <c r="AM47" s="1041">
        <v>0</v>
      </c>
      <c r="AN47" s="1041">
        <v>0</v>
      </c>
      <c r="AO47" s="1040">
        <f t="shared" si="81"/>
        <v>0</v>
      </c>
      <c r="AP47" s="1038">
        <v>0</v>
      </c>
      <c r="AQ47" s="1040">
        <f t="shared" si="82"/>
        <v>0</v>
      </c>
      <c r="AR47" s="1038">
        <v>0</v>
      </c>
      <c r="AS47" s="1039">
        <v>0</v>
      </c>
      <c r="AT47" s="1408">
        <v>0</v>
      </c>
      <c r="AU47" s="1040">
        <f t="shared" si="101"/>
        <v>0</v>
      </c>
      <c r="AV47" s="1038">
        <v>0</v>
      </c>
      <c r="AW47" s="1039">
        <v>0</v>
      </c>
      <c r="AX47" s="1040">
        <f t="shared" si="84"/>
        <v>0</v>
      </c>
      <c r="AY47" s="1038">
        <v>0</v>
      </c>
      <c r="AZ47" s="1040">
        <f t="shared" si="85"/>
        <v>0</v>
      </c>
      <c r="BA47" s="1038">
        <v>0</v>
      </c>
      <c r="BB47" s="1039">
        <v>0</v>
      </c>
      <c r="BC47" s="1040">
        <f t="shared" si="86"/>
        <v>0</v>
      </c>
      <c r="BD47" s="1042">
        <f t="shared" si="87"/>
        <v>0</v>
      </c>
      <c r="BE47" s="1052"/>
      <c r="BF47" s="1053"/>
      <c r="BG47" s="1048">
        <f t="shared" si="8"/>
        <v>0</v>
      </c>
      <c r="BH47" s="1052"/>
      <c r="BI47" s="1053"/>
      <c r="BJ47" s="1053"/>
      <c r="BK47" s="1053"/>
      <c r="BL47" s="1048">
        <f t="shared" si="88"/>
        <v>0</v>
      </c>
      <c r="BM47" s="1052"/>
      <c r="BN47" s="1053"/>
      <c r="BO47" s="1048">
        <f t="shared" si="89"/>
        <v>0</v>
      </c>
      <c r="BP47" s="1049"/>
      <c r="BQ47" s="1050"/>
      <c r="BR47" s="1050"/>
      <c r="BS47" s="1050"/>
      <c r="BT47" s="1053"/>
      <c r="BU47" s="1048">
        <f t="shared" si="90"/>
        <v>0</v>
      </c>
      <c r="BV47" s="1049"/>
      <c r="BW47" s="1050"/>
      <c r="BX47" s="1050"/>
      <c r="BY47" s="1050"/>
      <c r="BZ47" s="1050"/>
      <c r="CA47" s="1050"/>
      <c r="CB47" s="1053"/>
      <c r="CC47" s="1048">
        <f t="shared" si="91"/>
        <v>0</v>
      </c>
      <c r="CD47" s="1052"/>
      <c r="CE47" s="1053"/>
      <c r="CF47" s="1053"/>
      <c r="CG47" s="1053"/>
      <c r="CH47" s="1048">
        <f t="shared" si="92"/>
        <v>0</v>
      </c>
      <c r="CI47" s="1052"/>
      <c r="CJ47" s="1053"/>
      <c r="CK47" s="1053"/>
      <c r="CL47" s="1053"/>
      <c r="CM47" s="1053"/>
      <c r="CN47" s="1053"/>
      <c r="CO47" s="1051">
        <f t="shared" si="93"/>
        <v>0</v>
      </c>
      <c r="CP47" s="1052"/>
      <c r="CQ47" s="1053"/>
      <c r="CR47" s="1048">
        <f t="shared" si="94"/>
        <v>0</v>
      </c>
      <c r="CS47" s="1052"/>
      <c r="CT47" s="1053"/>
      <c r="CU47" s="1053"/>
      <c r="CV47" s="1053"/>
      <c r="CW47" s="1048">
        <f t="shared" si="95"/>
        <v>0</v>
      </c>
      <c r="CX47" s="1052"/>
      <c r="CY47" s="1048">
        <f t="shared" si="96"/>
        <v>0</v>
      </c>
      <c r="CZ47" s="1103">
        <f t="shared" si="97"/>
        <v>0</v>
      </c>
      <c r="DA47" s="1104">
        <f t="shared" si="98"/>
        <v>0</v>
      </c>
      <c r="DI47" s="1042">
        <f t="shared" si="99"/>
        <v>0</v>
      </c>
    </row>
    <row r="48" spans="1:113" s="1055" customFormat="1">
      <c r="A48" s="955" t="s">
        <v>558</v>
      </c>
      <c r="B48" s="1102" t="s">
        <v>1368</v>
      </c>
      <c r="C48" s="1030" t="s">
        <v>81</v>
      </c>
      <c r="D48" s="1035"/>
      <c r="E48" s="1032">
        <f t="shared" si="3"/>
        <v>0</v>
      </c>
      <c r="F48" s="1035">
        <v>0</v>
      </c>
      <c r="G48" s="1036">
        <v>17</v>
      </c>
      <c r="H48" s="1032">
        <f t="shared" si="70"/>
        <v>17</v>
      </c>
      <c r="I48" s="1035">
        <v>0</v>
      </c>
      <c r="J48" s="1032">
        <f t="shared" si="71"/>
        <v>0</v>
      </c>
      <c r="K48" s="1035">
        <v>0</v>
      </c>
      <c r="L48" s="1074">
        <v>0</v>
      </c>
      <c r="M48" s="1032">
        <f t="shared" si="72"/>
        <v>0</v>
      </c>
      <c r="N48" s="1035">
        <v>0</v>
      </c>
      <c r="O48" s="1036">
        <v>38.700000000000003</v>
      </c>
      <c r="P48" s="1032">
        <f t="shared" si="73"/>
        <v>38.700000000000003</v>
      </c>
      <c r="Q48" s="1035">
        <v>0</v>
      </c>
      <c r="R48" s="1036">
        <v>0</v>
      </c>
      <c r="S48" s="1032">
        <f t="shared" si="74"/>
        <v>0</v>
      </c>
      <c r="T48" s="1035">
        <v>0</v>
      </c>
      <c r="U48" s="1036">
        <v>0</v>
      </c>
      <c r="V48" s="1032">
        <f t="shared" si="75"/>
        <v>0</v>
      </c>
      <c r="W48" s="1037">
        <f t="shared" si="76"/>
        <v>55.7</v>
      </c>
      <c r="X48" s="1038">
        <v>0</v>
      </c>
      <c r="Y48" s="1039">
        <v>0</v>
      </c>
      <c r="Z48" s="1408">
        <v>0</v>
      </c>
      <c r="AA48" s="1040">
        <f t="shared" si="100"/>
        <v>0</v>
      </c>
      <c r="AB48" s="1038">
        <v>0</v>
      </c>
      <c r="AC48" s="1039">
        <v>0</v>
      </c>
      <c r="AD48" s="1040">
        <f t="shared" si="78"/>
        <v>0</v>
      </c>
      <c r="AE48" s="1038">
        <v>0</v>
      </c>
      <c r="AF48" s="1040">
        <f t="shared" si="79"/>
        <v>0</v>
      </c>
      <c r="AG48" s="1038">
        <v>0</v>
      </c>
      <c r="AH48" s="1040">
        <f t="shared" si="80"/>
        <v>0</v>
      </c>
      <c r="AI48" s="1038">
        <v>0</v>
      </c>
      <c r="AJ48" s="1039">
        <v>0</v>
      </c>
      <c r="AK48" s="1039">
        <v>0</v>
      </c>
      <c r="AL48" s="1039">
        <v>0</v>
      </c>
      <c r="AM48" s="1041">
        <v>0</v>
      </c>
      <c r="AN48" s="1041">
        <v>0</v>
      </c>
      <c r="AO48" s="1040">
        <f t="shared" si="81"/>
        <v>0</v>
      </c>
      <c r="AP48" s="1038">
        <v>0</v>
      </c>
      <c r="AQ48" s="1040">
        <f t="shared" si="82"/>
        <v>0</v>
      </c>
      <c r="AR48" s="1038">
        <v>0</v>
      </c>
      <c r="AS48" s="1039">
        <v>0</v>
      </c>
      <c r="AT48" s="1408">
        <v>0</v>
      </c>
      <c r="AU48" s="1040">
        <f t="shared" si="101"/>
        <v>0</v>
      </c>
      <c r="AV48" s="1038">
        <v>0</v>
      </c>
      <c r="AW48" s="1039">
        <v>0</v>
      </c>
      <c r="AX48" s="1040">
        <f t="shared" si="84"/>
        <v>0</v>
      </c>
      <c r="AY48" s="1038">
        <v>0</v>
      </c>
      <c r="AZ48" s="1040">
        <f t="shared" si="85"/>
        <v>0</v>
      </c>
      <c r="BA48" s="1038">
        <v>0</v>
      </c>
      <c r="BB48" s="1039">
        <v>0</v>
      </c>
      <c r="BC48" s="1040">
        <f t="shared" si="86"/>
        <v>0</v>
      </c>
      <c r="BD48" s="1042">
        <f t="shared" si="87"/>
        <v>0</v>
      </c>
      <c r="BE48" s="1052"/>
      <c r="BF48" s="1053"/>
      <c r="BG48" s="1048">
        <f t="shared" si="8"/>
        <v>0</v>
      </c>
      <c r="BH48" s="1052"/>
      <c r="BI48" s="1053"/>
      <c r="BJ48" s="1053"/>
      <c r="BK48" s="1053"/>
      <c r="BL48" s="1048">
        <f t="shared" si="88"/>
        <v>0</v>
      </c>
      <c r="BM48" s="1052"/>
      <c r="BN48" s="1053"/>
      <c r="BO48" s="1048">
        <f t="shared" si="89"/>
        <v>0</v>
      </c>
      <c r="BP48" s="1049"/>
      <c r="BQ48" s="1050"/>
      <c r="BR48" s="1050"/>
      <c r="BS48" s="1050"/>
      <c r="BT48" s="1053"/>
      <c r="BU48" s="1048">
        <f t="shared" si="90"/>
        <v>0</v>
      </c>
      <c r="BV48" s="1049"/>
      <c r="BW48" s="1050"/>
      <c r="BX48" s="1050"/>
      <c r="BY48" s="1050"/>
      <c r="BZ48" s="1050"/>
      <c r="CA48" s="1050"/>
      <c r="CB48" s="1053"/>
      <c r="CC48" s="1048">
        <f t="shared" si="91"/>
        <v>0</v>
      </c>
      <c r="CD48" s="1052"/>
      <c r="CE48" s="1053"/>
      <c r="CF48" s="1053"/>
      <c r="CG48" s="1053"/>
      <c r="CH48" s="1048">
        <f t="shared" si="92"/>
        <v>0</v>
      </c>
      <c r="CI48" s="1052"/>
      <c r="CJ48" s="1053"/>
      <c r="CK48" s="1053"/>
      <c r="CL48" s="1053"/>
      <c r="CM48" s="1053"/>
      <c r="CN48" s="1053"/>
      <c r="CO48" s="1051">
        <f t="shared" si="93"/>
        <v>0</v>
      </c>
      <c r="CP48" s="1052"/>
      <c r="CQ48" s="1053"/>
      <c r="CR48" s="1048">
        <f t="shared" si="94"/>
        <v>0</v>
      </c>
      <c r="CS48" s="1052"/>
      <c r="CT48" s="1053"/>
      <c r="CU48" s="1053"/>
      <c r="CV48" s="1053"/>
      <c r="CW48" s="1048">
        <f t="shared" si="95"/>
        <v>0</v>
      </c>
      <c r="CX48" s="1052"/>
      <c r="CY48" s="1048">
        <f t="shared" si="96"/>
        <v>0</v>
      </c>
      <c r="CZ48" s="1103">
        <f t="shared" si="97"/>
        <v>0</v>
      </c>
      <c r="DA48" s="1104">
        <f t="shared" si="98"/>
        <v>55.7</v>
      </c>
      <c r="DI48" s="1042">
        <f t="shared" si="99"/>
        <v>0</v>
      </c>
    </row>
    <row r="49" spans="1:113" s="1055" customFormat="1">
      <c r="A49" s="955" t="s">
        <v>558</v>
      </c>
      <c r="B49" s="1102" t="s">
        <v>1368</v>
      </c>
      <c r="C49" s="1030" t="s">
        <v>81</v>
      </c>
      <c r="D49" s="1035"/>
      <c r="E49" s="1032">
        <f t="shared" si="3"/>
        <v>0</v>
      </c>
      <c r="F49" s="1035">
        <v>0</v>
      </c>
      <c r="G49" s="1036">
        <v>0</v>
      </c>
      <c r="H49" s="1032">
        <f t="shared" si="70"/>
        <v>0</v>
      </c>
      <c r="I49" s="1035">
        <v>0</v>
      </c>
      <c r="J49" s="1032">
        <f t="shared" si="71"/>
        <v>0</v>
      </c>
      <c r="K49" s="1035">
        <v>0</v>
      </c>
      <c r="L49" s="1074">
        <v>0</v>
      </c>
      <c r="M49" s="1032">
        <f t="shared" si="72"/>
        <v>0</v>
      </c>
      <c r="N49" s="1035">
        <v>0</v>
      </c>
      <c r="O49" s="1036">
        <v>0</v>
      </c>
      <c r="P49" s="1032">
        <f t="shared" si="73"/>
        <v>0</v>
      </c>
      <c r="Q49" s="1035">
        <v>0</v>
      </c>
      <c r="R49" s="1036">
        <v>0</v>
      </c>
      <c r="S49" s="1032">
        <f t="shared" si="74"/>
        <v>0</v>
      </c>
      <c r="T49" s="1035">
        <v>0</v>
      </c>
      <c r="U49" s="1036">
        <v>0</v>
      </c>
      <c r="V49" s="1032">
        <f t="shared" si="75"/>
        <v>0</v>
      </c>
      <c r="W49" s="1037">
        <f t="shared" si="76"/>
        <v>0</v>
      </c>
      <c r="X49" s="1038">
        <v>0</v>
      </c>
      <c r="Y49" s="1039">
        <v>0</v>
      </c>
      <c r="Z49" s="1408">
        <v>0</v>
      </c>
      <c r="AA49" s="1040">
        <f t="shared" si="100"/>
        <v>0</v>
      </c>
      <c r="AB49" s="1038">
        <v>0</v>
      </c>
      <c r="AC49" s="1039">
        <v>0</v>
      </c>
      <c r="AD49" s="1040">
        <f t="shared" si="78"/>
        <v>0</v>
      </c>
      <c r="AE49" s="1038">
        <v>0</v>
      </c>
      <c r="AF49" s="1040">
        <f t="shared" si="79"/>
        <v>0</v>
      </c>
      <c r="AG49" s="1038">
        <v>0</v>
      </c>
      <c r="AH49" s="1040">
        <f t="shared" si="80"/>
        <v>0</v>
      </c>
      <c r="AI49" s="1038">
        <v>0</v>
      </c>
      <c r="AJ49" s="1039">
        <v>0</v>
      </c>
      <c r="AK49" s="1039">
        <v>0</v>
      </c>
      <c r="AL49" s="1039">
        <v>0</v>
      </c>
      <c r="AM49" s="1041">
        <v>0</v>
      </c>
      <c r="AN49" s="1041">
        <v>0</v>
      </c>
      <c r="AO49" s="1040">
        <f t="shared" si="81"/>
        <v>0</v>
      </c>
      <c r="AP49" s="1038">
        <v>0</v>
      </c>
      <c r="AQ49" s="1040">
        <f t="shared" si="82"/>
        <v>0</v>
      </c>
      <c r="AR49" s="1038">
        <v>0</v>
      </c>
      <c r="AS49" s="1039">
        <v>0</v>
      </c>
      <c r="AT49" s="1408">
        <v>0</v>
      </c>
      <c r="AU49" s="1040">
        <f t="shared" si="101"/>
        <v>0</v>
      </c>
      <c r="AV49" s="1038">
        <v>0</v>
      </c>
      <c r="AW49" s="1039">
        <v>0</v>
      </c>
      <c r="AX49" s="1040">
        <f t="shared" si="84"/>
        <v>0</v>
      </c>
      <c r="AY49" s="1038">
        <v>0</v>
      </c>
      <c r="AZ49" s="1040">
        <f t="shared" si="85"/>
        <v>0</v>
      </c>
      <c r="BA49" s="1038">
        <v>0</v>
      </c>
      <c r="BB49" s="1039">
        <v>0</v>
      </c>
      <c r="BC49" s="1040">
        <f t="shared" si="86"/>
        <v>0</v>
      </c>
      <c r="BD49" s="1042">
        <f t="shared" si="87"/>
        <v>0</v>
      </c>
      <c r="BE49" s="1052"/>
      <c r="BF49" s="1053"/>
      <c r="BG49" s="1048">
        <f t="shared" si="8"/>
        <v>0</v>
      </c>
      <c r="BH49" s="1052"/>
      <c r="BI49" s="1053"/>
      <c r="BJ49" s="1053"/>
      <c r="BK49" s="1053"/>
      <c r="BL49" s="1048">
        <f t="shared" si="88"/>
        <v>0</v>
      </c>
      <c r="BM49" s="1052"/>
      <c r="BN49" s="1053"/>
      <c r="BO49" s="1048">
        <f t="shared" si="89"/>
        <v>0</v>
      </c>
      <c r="BP49" s="1049"/>
      <c r="BQ49" s="1050"/>
      <c r="BR49" s="1050"/>
      <c r="BS49" s="1050"/>
      <c r="BT49" s="1053"/>
      <c r="BU49" s="1048">
        <f t="shared" si="90"/>
        <v>0</v>
      </c>
      <c r="BV49" s="1049"/>
      <c r="BW49" s="1050"/>
      <c r="BX49" s="1050"/>
      <c r="BY49" s="1050"/>
      <c r="BZ49" s="1050"/>
      <c r="CA49" s="1050"/>
      <c r="CB49" s="1053"/>
      <c r="CC49" s="1048">
        <f t="shared" si="91"/>
        <v>0</v>
      </c>
      <c r="CD49" s="1052"/>
      <c r="CE49" s="1053"/>
      <c r="CF49" s="1053"/>
      <c r="CG49" s="1053"/>
      <c r="CH49" s="1048">
        <f t="shared" si="92"/>
        <v>0</v>
      </c>
      <c r="CI49" s="1052"/>
      <c r="CJ49" s="1053"/>
      <c r="CK49" s="1053"/>
      <c r="CL49" s="1053"/>
      <c r="CM49" s="1053"/>
      <c r="CN49" s="1053"/>
      <c r="CO49" s="1051">
        <f t="shared" si="93"/>
        <v>0</v>
      </c>
      <c r="CP49" s="1052"/>
      <c r="CQ49" s="1053"/>
      <c r="CR49" s="1048">
        <f t="shared" si="94"/>
        <v>0</v>
      </c>
      <c r="CS49" s="1052"/>
      <c r="CT49" s="1053"/>
      <c r="CU49" s="1053"/>
      <c r="CV49" s="1053"/>
      <c r="CW49" s="1048">
        <f t="shared" si="95"/>
        <v>0</v>
      </c>
      <c r="CX49" s="1052"/>
      <c r="CY49" s="1048">
        <f t="shared" si="96"/>
        <v>0</v>
      </c>
      <c r="CZ49" s="1103">
        <f t="shared" si="97"/>
        <v>0</v>
      </c>
      <c r="DA49" s="1104">
        <f t="shared" si="98"/>
        <v>0</v>
      </c>
      <c r="DI49" s="1042">
        <f t="shared" si="99"/>
        <v>0</v>
      </c>
    </row>
    <row r="50" spans="1:113" s="1055" customFormat="1">
      <c r="A50" s="955" t="s">
        <v>16</v>
      </c>
      <c r="B50" s="1102" t="s">
        <v>1369</v>
      </c>
      <c r="C50" s="1030" t="s">
        <v>111</v>
      </c>
      <c r="D50" s="1035"/>
      <c r="E50" s="1032">
        <f t="shared" si="3"/>
        <v>0</v>
      </c>
      <c r="F50" s="1035">
        <v>2.92</v>
      </c>
      <c r="G50" s="1036">
        <v>37.204495566315579</v>
      </c>
      <c r="H50" s="1032">
        <f t="shared" si="70"/>
        <v>40.124495566315581</v>
      </c>
      <c r="I50" s="1035">
        <v>74.21086427394799</v>
      </c>
      <c r="J50" s="1032">
        <f t="shared" si="71"/>
        <v>74.21086427394799</v>
      </c>
      <c r="K50" s="1035">
        <v>17.733555053588841</v>
      </c>
      <c r="L50" s="1074">
        <v>5.2213924974174448</v>
      </c>
      <c r="M50" s="1032">
        <f t="shared" si="72"/>
        <v>22.954947551006285</v>
      </c>
      <c r="N50" s="1035">
        <v>46.851291609747477</v>
      </c>
      <c r="O50" s="1036">
        <v>5.2750524974174446</v>
      </c>
      <c r="P50" s="1032">
        <f t="shared" si="73"/>
        <v>52.126344107164925</v>
      </c>
      <c r="Q50" s="1035">
        <v>27.807857566009616</v>
      </c>
      <c r="R50" s="1036">
        <v>67.952931891381937</v>
      </c>
      <c r="S50" s="1032">
        <f t="shared" si="74"/>
        <v>95.760789457391553</v>
      </c>
      <c r="T50" s="1035">
        <v>1.2404647787281471</v>
      </c>
      <c r="U50" s="1036">
        <v>8.6495393361844428</v>
      </c>
      <c r="V50" s="1032">
        <f t="shared" si="75"/>
        <v>9.890004114912589</v>
      </c>
      <c r="W50" s="1037">
        <f t="shared" si="76"/>
        <v>295.06744507073893</v>
      </c>
      <c r="X50" s="1038">
        <v>0</v>
      </c>
      <c r="Y50" s="1039">
        <v>5.5384529959055362</v>
      </c>
      <c r="Z50" s="1408">
        <v>0</v>
      </c>
      <c r="AA50" s="1040">
        <f t="shared" si="100"/>
        <v>0</v>
      </c>
      <c r="AB50" s="1038">
        <v>10.942928866530035</v>
      </c>
      <c r="AC50" s="1039">
        <v>0</v>
      </c>
      <c r="AD50" s="1040">
        <f t="shared" si="78"/>
        <v>10.942928866530035</v>
      </c>
      <c r="AE50" s="1038">
        <v>122.85783189725495</v>
      </c>
      <c r="AF50" s="1040">
        <f t="shared" si="79"/>
        <v>122.85783189725495</v>
      </c>
      <c r="AG50" s="1038">
        <v>89.310945017413388</v>
      </c>
      <c r="AH50" s="1040">
        <f t="shared" si="80"/>
        <v>89.310945017413388</v>
      </c>
      <c r="AI50" s="1038">
        <v>43.234759988830668</v>
      </c>
      <c r="AJ50" s="1039">
        <v>5.4044994995761479</v>
      </c>
      <c r="AK50" s="1039">
        <v>25.792005613246314</v>
      </c>
      <c r="AL50" s="1039">
        <v>64.652841941353586</v>
      </c>
      <c r="AM50" s="1041">
        <v>0</v>
      </c>
      <c r="AN50" s="1041">
        <v>0</v>
      </c>
      <c r="AO50" s="1040">
        <f>AI50+AM50+AN50</f>
        <v>43.234759988830668</v>
      </c>
      <c r="AP50" s="1038">
        <v>109.58607433317776</v>
      </c>
      <c r="AQ50" s="1040">
        <f t="shared" si="82"/>
        <v>109.58607433317776</v>
      </c>
      <c r="AR50" s="1038">
        <v>123.97141146473764</v>
      </c>
      <c r="AS50" s="1039">
        <v>38.476954768843605</v>
      </c>
      <c r="AT50" s="1408">
        <v>0</v>
      </c>
      <c r="AU50" s="1040">
        <f t="shared" si="101"/>
        <v>0</v>
      </c>
      <c r="AV50" s="1038">
        <v>0</v>
      </c>
      <c r="AW50" s="1039">
        <v>135.09238523589556</v>
      </c>
      <c r="AX50" s="1040">
        <f t="shared" si="84"/>
        <v>135.09238523589556</v>
      </c>
      <c r="AY50" s="1038">
        <v>0</v>
      </c>
      <c r="AZ50" s="1040">
        <f t="shared" si="85"/>
        <v>0</v>
      </c>
      <c r="BA50" s="1038">
        <v>3.5992497497880742</v>
      </c>
      <c r="BB50" s="1039">
        <v>0</v>
      </c>
      <c r="BC50" s="1040">
        <f t="shared" si="86"/>
        <v>3.5992497497880742</v>
      </c>
      <c r="BD50" s="1042">
        <f t="shared" si="87"/>
        <v>514.62417508889041</v>
      </c>
      <c r="BE50" s="1052"/>
      <c r="BF50" s="1053"/>
      <c r="BG50" s="1048">
        <f t="shared" si="8"/>
        <v>0</v>
      </c>
      <c r="BH50" s="1052"/>
      <c r="BI50" s="1053"/>
      <c r="BJ50" s="1053"/>
      <c r="BK50" s="1053"/>
      <c r="BL50" s="1048">
        <f t="shared" si="88"/>
        <v>0</v>
      </c>
      <c r="BM50" s="1052"/>
      <c r="BN50" s="1053"/>
      <c r="BO50" s="1048">
        <f t="shared" si="89"/>
        <v>0</v>
      </c>
      <c r="BP50" s="1049"/>
      <c r="BQ50" s="1050"/>
      <c r="BR50" s="1050"/>
      <c r="BS50" s="1050"/>
      <c r="BT50" s="1053"/>
      <c r="BU50" s="1048">
        <f t="shared" si="90"/>
        <v>0</v>
      </c>
      <c r="BV50" s="1049"/>
      <c r="BW50" s="1050"/>
      <c r="BX50" s="1050"/>
      <c r="BY50" s="1050"/>
      <c r="BZ50" s="1050"/>
      <c r="CA50" s="1050"/>
      <c r="CB50" s="1053">
        <v>0.03</v>
      </c>
      <c r="CC50" s="1048">
        <f t="shared" si="91"/>
        <v>0.03</v>
      </c>
      <c r="CD50" s="1052"/>
      <c r="CE50" s="1053">
        <v>85.46</v>
      </c>
      <c r="CF50" s="1053"/>
      <c r="CG50" s="1053"/>
      <c r="CH50" s="1048">
        <f t="shared" si="92"/>
        <v>85.46</v>
      </c>
      <c r="CI50" s="1052">
        <v>3.67</v>
      </c>
      <c r="CJ50" s="1053"/>
      <c r="CK50" s="1053"/>
      <c r="CL50" s="1053"/>
      <c r="CM50" s="1053">
        <v>3.67</v>
      </c>
      <c r="CN50" s="1053">
        <v>20.28</v>
      </c>
      <c r="CO50" s="1051">
        <f t="shared" si="93"/>
        <v>27.62</v>
      </c>
      <c r="CP50" s="1052">
        <v>7.34</v>
      </c>
      <c r="CQ50" s="1053"/>
      <c r="CR50" s="1048">
        <f t="shared" si="94"/>
        <v>7.34</v>
      </c>
      <c r="CS50" s="1052">
        <v>37.26</v>
      </c>
      <c r="CT50" s="1053">
        <v>28.09</v>
      </c>
      <c r="CU50" s="1053">
        <v>5.18</v>
      </c>
      <c r="CV50" s="1053">
        <v>10.36</v>
      </c>
      <c r="CW50" s="1048">
        <f t="shared" si="95"/>
        <v>80.89</v>
      </c>
      <c r="CX50" s="1052"/>
      <c r="CY50" s="1048">
        <f t="shared" si="96"/>
        <v>0</v>
      </c>
      <c r="CZ50" s="1103">
        <f t="shared" si="97"/>
        <v>201.34</v>
      </c>
      <c r="DA50" s="1104">
        <f t="shared" si="98"/>
        <v>1011.0316201596294</v>
      </c>
      <c r="DI50" s="1042">
        <f t="shared" si="99"/>
        <v>0</v>
      </c>
    </row>
    <row r="51" spans="1:113" s="1055" customFormat="1">
      <c r="A51" s="955" t="s">
        <v>110</v>
      </c>
      <c r="B51" s="1102" t="s">
        <v>1370</v>
      </c>
      <c r="C51" s="1030" t="s">
        <v>79</v>
      </c>
      <c r="D51" s="1035"/>
      <c r="E51" s="1032">
        <f t="shared" si="3"/>
        <v>0</v>
      </c>
      <c r="F51" s="1035">
        <v>136.5</v>
      </c>
      <c r="G51" s="1036">
        <v>1733.8342711113851</v>
      </c>
      <c r="H51" s="1032">
        <f t="shared" si="70"/>
        <v>1870.3342711113851</v>
      </c>
      <c r="I51" s="1035">
        <v>4716.7656897755096</v>
      </c>
      <c r="J51" s="1032">
        <f t="shared" si="71"/>
        <v>4716.7656897755096</v>
      </c>
      <c r="K51" s="1035">
        <v>3192.0399096459914</v>
      </c>
      <c r="L51" s="1074">
        <v>939.85064953514006</v>
      </c>
      <c r="M51" s="1032">
        <f t="shared" si="72"/>
        <v>4131.8905591811317</v>
      </c>
      <c r="N51" s="1035">
        <v>11394.176484944815</v>
      </c>
      <c r="O51" s="1036">
        <v>949.50944953513999</v>
      </c>
      <c r="P51" s="1032">
        <f t="shared" si="73"/>
        <v>12343.685934479956</v>
      </c>
      <c r="Q51" s="1035">
        <v>5005.4143618817297</v>
      </c>
      <c r="R51" s="1036">
        <v>12231.52774044875</v>
      </c>
      <c r="S51" s="1032">
        <f t="shared" si="74"/>
        <v>17236.942102330479</v>
      </c>
      <c r="T51" s="1035">
        <v>223.28366017106649</v>
      </c>
      <c r="U51" s="1036">
        <v>1556.9170805131994</v>
      </c>
      <c r="V51" s="1032">
        <f t="shared" si="75"/>
        <v>1780.2007406842658</v>
      </c>
      <c r="W51" s="1037">
        <f t="shared" si="76"/>
        <v>42079.819297562724</v>
      </c>
      <c r="X51" s="1038">
        <v>0</v>
      </c>
      <c r="Y51" s="1039">
        <v>320</v>
      </c>
      <c r="Z51" s="1408">
        <v>0</v>
      </c>
      <c r="AA51" s="1040">
        <f t="shared" si="100"/>
        <v>0</v>
      </c>
      <c r="AB51" s="1038">
        <v>692</v>
      </c>
      <c r="AC51" s="1039">
        <v>0</v>
      </c>
      <c r="AD51" s="1040">
        <f t="shared" si="78"/>
        <v>692</v>
      </c>
      <c r="AE51" s="1038">
        <v>7545.4100000000008</v>
      </c>
      <c r="AF51" s="1040">
        <f t="shared" si="79"/>
        <v>7545.4100000000008</v>
      </c>
      <c r="AG51" s="1038">
        <v>5584.0524215455262</v>
      </c>
      <c r="AH51" s="1040">
        <f t="shared" si="80"/>
        <v>5584.0524215455262</v>
      </c>
      <c r="AI51" s="1038">
        <v>2976</v>
      </c>
      <c r="AJ51" s="1039">
        <v>372</v>
      </c>
      <c r="AK51" s="1039">
        <v>1522.0296666666666</v>
      </c>
      <c r="AL51" s="1039">
        <v>4312.9066666666668</v>
      </c>
      <c r="AM51" s="1041">
        <v>0</v>
      </c>
      <c r="AN51" s="1041">
        <v>0</v>
      </c>
      <c r="AO51" s="1040">
        <f>AI51+AM51+AN51</f>
        <v>2976</v>
      </c>
      <c r="AP51" s="1038">
        <v>6611.5133333333297</v>
      </c>
      <c r="AQ51" s="1040">
        <f t="shared" si="82"/>
        <v>6611.5133333333297</v>
      </c>
      <c r="AR51" s="1038">
        <v>7949.3266666666668</v>
      </c>
      <c r="AS51" s="1039">
        <v>2544.864</v>
      </c>
      <c r="AT51" s="1408">
        <v>0</v>
      </c>
      <c r="AU51" s="1040">
        <f t="shared" si="101"/>
        <v>0</v>
      </c>
      <c r="AV51" s="1038">
        <v>0</v>
      </c>
      <c r="AW51" s="1039">
        <v>7480.7533333333304</v>
      </c>
      <c r="AX51" s="1040">
        <f t="shared" si="84"/>
        <v>7480.7533333333304</v>
      </c>
      <c r="AY51" s="1038">
        <v>0</v>
      </c>
      <c r="AZ51" s="1040">
        <f t="shared" si="85"/>
        <v>0</v>
      </c>
      <c r="BA51" s="1038">
        <v>229.9</v>
      </c>
      <c r="BB51" s="1039">
        <v>0</v>
      </c>
      <c r="BC51" s="1040">
        <f t="shared" si="86"/>
        <v>229.9</v>
      </c>
      <c r="BD51" s="1042">
        <f t="shared" si="87"/>
        <v>31119.629088212187</v>
      </c>
      <c r="BE51" s="1052"/>
      <c r="BF51" s="1053"/>
      <c r="BG51" s="1048">
        <f t="shared" si="8"/>
        <v>0</v>
      </c>
      <c r="BH51" s="1052"/>
      <c r="BI51" s="1053"/>
      <c r="BJ51" s="1053"/>
      <c r="BK51" s="1053"/>
      <c r="BL51" s="1048">
        <f t="shared" si="88"/>
        <v>0</v>
      </c>
      <c r="BM51" s="1052"/>
      <c r="BN51" s="1053"/>
      <c r="BO51" s="1048">
        <f t="shared" si="89"/>
        <v>0</v>
      </c>
      <c r="BP51" s="1049"/>
      <c r="BQ51" s="1050"/>
      <c r="BR51" s="1050"/>
      <c r="BS51" s="1050"/>
      <c r="BT51" s="1053"/>
      <c r="BU51" s="1048">
        <f t="shared" si="90"/>
        <v>0</v>
      </c>
      <c r="BV51" s="1049"/>
      <c r="BW51" s="1050"/>
      <c r="BX51" s="1050"/>
      <c r="BY51" s="1050"/>
      <c r="BZ51" s="1050"/>
      <c r="CA51" s="1050"/>
      <c r="CB51" s="1053"/>
      <c r="CC51" s="1048">
        <f t="shared" si="91"/>
        <v>0</v>
      </c>
      <c r="CD51" s="1052"/>
      <c r="CE51" s="1053">
        <v>8310</v>
      </c>
      <c r="CF51" s="1053"/>
      <c r="CG51" s="1053"/>
      <c r="CH51" s="1048">
        <f t="shared" si="92"/>
        <v>8310</v>
      </c>
      <c r="CI51" s="1052">
        <v>194.25</v>
      </c>
      <c r="CJ51" s="1053"/>
      <c r="CK51" s="1053"/>
      <c r="CL51" s="1053"/>
      <c r="CM51" s="1053">
        <v>200.7</v>
      </c>
      <c r="CN51" s="1053">
        <v>1339.72</v>
      </c>
      <c r="CO51" s="1051">
        <f t="shared" si="93"/>
        <v>1734.67</v>
      </c>
      <c r="CP51" s="1052">
        <v>194.25</v>
      </c>
      <c r="CQ51" s="1053"/>
      <c r="CR51" s="1048">
        <f t="shared" si="94"/>
        <v>194.25</v>
      </c>
      <c r="CS51" s="1052">
        <v>2498.8200000000002</v>
      </c>
      <c r="CT51" s="1053">
        <v>2464.5700000000002</v>
      </c>
      <c r="CU51" s="1053">
        <v>544.76</v>
      </c>
      <c r="CV51" s="1053">
        <v>1089.52</v>
      </c>
      <c r="CW51" s="1048">
        <f t="shared" si="95"/>
        <v>6597.67</v>
      </c>
      <c r="CX51" s="1052"/>
      <c r="CY51" s="1048">
        <f t="shared" si="96"/>
        <v>0</v>
      </c>
      <c r="CZ51" s="1103">
        <f t="shared" si="97"/>
        <v>16836.59</v>
      </c>
      <c r="DA51" s="1104">
        <f t="shared" si="98"/>
        <v>90036.038385774911</v>
      </c>
      <c r="DI51" s="1042">
        <f t="shared" si="99"/>
        <v>0</v>
      </c>
    </row>
    <row r="52" spans="1:113" s="1055" customFormat="1" ht="30">
      <c r="A52" s="955" t="s">
        <v>698</v>
      </c>
      <c r="B52" s="1102" t="s">
        <v>885</v>
      </c>
      <c r="C52" s="1030" t="s">
        <v>829</v>
      </c>
      <c r="D52" s="1035"/>
      <c r="E52" s="1032">
        <f t="shared" si="3"/>
        <v>0</v>
      </c>
      <c r="F52" s="1035">
        <v>0</v>
      </c>
      <c r="G52" s="1036">
        <v>85.308625000000006</v>
      </c>
      <c r="H52" s="1032">
        <f t="shared" si="70"/>
        <v>85.308625000000006</v>
      </c>
      <c r="I52" s="1035">
        <v>135.76060000000001</v>
      </c>
      <c r="J52" s="1032">
        <f t="shared" si="71"/>
        <v>135.76060000000001</v>
      </c>
      <c r="K52" s="1035">
        <v>0</v>
      </c>
      <c r="L52" s="1074">
        <v>0</v>
      </c>
      <c r="M52" s="1032">
        <f t="shared" si="72"/>
        <v>0</v>
      </c>
      <c r="N52" s="1035">
        <v>0</v>
      </c>
      <c r="O52" s="1036">
        <v>0</v>
      </c>
      <c r="P52" s="1032">
        <f t="shared" si="73"/>
        <v>0</v>
      </c>
      <c r="Q52" s="1035">
        <v>2.0500000000000003</v>
      </c>
      <c r="R52" s="1036">
        <v>14.265000000000001</v>
      </c>
      <c r="S52" s="1032">
        <f t="shared" si="74"/>
        <v>16.315000000000001</v>
      </c>
      <c r="T52" s="1035">
        <v>10.185000000000002</v>
      </c>
      <c r="U52" s="1036">
        <v>4.6080000000000005</v>
      </c>
      <c r="V52" s="1032">
        <f t="shared" si="75"/>
        <v>14.793000000000003</v>
      </c>
      <c r="W52" s="1037">
        <f t="shared" si="76"/>
        <v>252.17722500000002</v>
      </c>
      <c r="X52" s="1038">
        <v>0</v>
      </c>
      <c r="Y52" s="1039">
        <v>0</v>
      </c>
      <c r="Z52" s="1408">
        <v>0</v>
      </c>
      <c r="AA52" s="1040">
        <f t="shared" si="100"/>
        <v>0</v>
      </c>
      <c r="AB52" s="1038">
        <v>0</v>
      </c>
      <c r="AC52" s="1039">
        <v>0</v>
      </c>
      <c r="AD52" s="1040">
        <f t="shared" si="78"/>
        <v>0</v>
      </c>
      <c r="AE52" s="1038">
        <v>0</v>
      </c>
      <c r="AF52" s="1040">
        <f t="shared" si="79"/>
        <v>0</v>
      </c>
      <c r="AG52" s="1038">
        <v>0</v>
      </c>
      <c r="AH52" s="1040">
        <f t="shared" si="80"/>
        <v>0</v>
      </c>
      <c r="AI52" s="1038">
        <v>0</v>
      </c>
      <c r="AJ52" s="1039">
        <v>0</v>
      </c>
      <c r="AK52" s="1039">
        <v>0</v>
      </c>
      <c r="AL52" s="1039">
        <v>0</v>
      </c>
      <c r="AM52" s="1041">
        <v>0</v>
      </c>
      <c r="AN52" s="1041">
        <v>0</v>
      </c>
      <c r="AO52" s="1040">
        <f t="shared" si="81"/>
        <v>0</v>
      </c>
      <c r="AP52" s="1038">
        <v>0</v>
      </c>
      <c r="AQ52" s="1040">
        <f t="shared" si="82"/>
        <v>0</v>
      </c>
      <c r="AR52" s="1038">
        <v>0</v>
      </c>
      <c r="AS52" s="1039">
        <v>0</v>
      </c>
      <c r="AT52" s="1408">
        <v>0</v>
      </c>
      <c r="AU52" s="1040">
        <f t="shared" si="101"/>
        <v>0</v>
      </c>
      <c r="AV52" s="1038">
        <v>0</v>
      </c>
      <c r="AW52" s="1039">
        <v>0</v>
      </c>
      <c r="AX52" s="1040">
        <f t="shared" si="84"/>
        <v>0</v>
      </c>
      <c r="AY52" s="1038">
        <v>0</v>
      </c>
      <c r="AZ52" s="1040">
        <f t="shared" si="85"/>
        <v>0</v>
      </c>
      <c r="BA52" s="1038">
        <v>0</v>
      </c>
      <c r="BB52" s="1039">
        <v>0</v>
      </c>
      <c r="BC52" s="1040">
        <f t="shared" si="86"/>
        <v>0</v>
      </c>
      <c r="BD52" s="1042">
        <f t="shared" si="87"/>
        <v>0</v>
      </c>
      <c r="BE52" s="1052"/>
      <c r="BF52" s="1053"/>
      <c r="BG52" s="1048">
        <f t="shared" si="8"/>
        <v>0</v>
      </c>
      <c r="BH52" s="1052"/>
      <c r="BI52" s="1053"/>
      <c r="BJ52" s="1053"/>
      <c r="BK52" s="1053"/>
      <c r="BL52" s="1048">
        <f t="shared" si="88"/>
        <v>0</v>
      </c>
      <c r="BM52" s="1052"/>
      <c r="BN52" s="1053"/>
      <c r="BO52" s="1048">
        <f t="shared" si="89"/>
        <v>0</v>
      </c>
      <c r="BP52" s="1049"/>
      <c r="BQ52" s="1050"/>
      <c r="BR52" s="1050"/>
      <c r="BS52" s="1050"/>
      <c r="BT52" s="1053"/>
      <c r="BU52" s="1048">
        <f t="shared" si="90"/>
        <v>0</v>
      </c>
      <c r="BV52" s="1049"/>
      <c r="BW52" s="1050"/>
      <c r="BX52" s="1050"/>
      <c r="BY52" s="1050"/>
      <c r="BZ52" s="1050"/>
      <c r="CA52" s="1050"/>
      <c r="CB52" s="1053"/>
      <c r="CC52" s="1048">
        <f t="shared" si="91"/>
        <v>0</v>
      </c>
      <c r="CD52" s="1052"/>
      <c r="CE52" s="1053"/>
      <c r="CF52" s="1053"/>
      <c r="CG52" s="1053"/>
      <c r="CH52" s="1048">
        <f t="shared" si="92"/>
        <v>0</v>
      </c>
      <c r="CI52" s="1049"/>
      <c r="CJ52" s="1050"/>
      <c r="CK52" s="1050"/>
      <c r="CL52" s="1050"/>
      <c r="CM52" s="1050"/>
      <c r="CN52" s="1050"/>
      <c r="CO52" s="1051">
        <f t="shared" si="93"/>
        <v>0</v>
      </c>
      <c r="CP52" s="1052"/>
      <c r="CQ52" s="1053"/>
      <c r="CR52" s="1048">
        <f t="shared" si="94"/>
        <v>0</v>
      </c>
      <c r="CS52" s="1052"/>
      <c r="CT52" s="1053"/>
      <c r="CU52" s="1053"/>
      <c r="CV52" s="1053"/>
      <c r="CW52" s="1048">
        <f t="shared" si="95"/>
        <v>0</v>
      </c>
      <c r="CX52" s="1052"/>
      <c r="CY52" s="1048">
        <f t="shared" si="96"/>
        <v>0</v>
      </c>
      <c r="CZ52" s="1103">
        <f t="shared" si="97"/>
        <v>0</v>
      </c>
      <c r="DA52" s="1104">
        <f t="shared" si="98"/>
        <v>252.17722500000002</v>
      </c>
      <c r="DI52" s="1042">
        <f t="shared" si="99"/>
        <v>0</v>
      </c>
    </row>
    <row r="53" spans="1:113" s="1134" customFormat="1">
      <c r="A53" s="1114"/>
      <c r="B53" s="1115" t="s">
        <v>886</v>
      </c>
      <c r="C53" s="1116"/>
      <c r="D53" s="1117"/>
      <c r="E53" s="1118"/>
      <c r="F53" s="1117" t="s">
        <v>816</v>
      </c>
      <c r="G53" s="1119" t="s">
        <v>816</v>
      </c>
      <c r="H53" s="1118"/>
      <c r="I53" s="1117" t="s">
        <v>816</v>
      </c>
      <c r="J53" s="1118"/>
      <c r="K53" s="1117" t="s">
        <v>816</v>
      </c>
      <c r="L53" s="1120" t="s">
        <v>816</v>
      </c>
      <c r="M53" s="1118"/>
      <c r="N53" s="1117" t="s">
        <v>816</v>
      </c>
      <c r="O53" s="1119" t="s">
        <v>816</v>
      </c>
      <c r="P53" s="1118"/>
      <c r="Q53" s="1117" t="s">
        <v>816</v>
      </c>
      <c r="R53" s="1119" t="s">
        <v>816</v>
      </c>
      <c r="S53" s="1118"/>
      <c r="T53" s="1117" t="s">
        <v>816</v>
      </c>
      <c r="U53" s="1119" t="s">
        <v>816</v>
      </c>
      <c r="V53" s="1118"/>
      <c r="W53" s="1121"/>
      <c r="X53" s="1122"/>
      <c r="Y53" s="1123"/>
      <c r="Z53" s="1407"/>
      <c r="AA53" s="1040">
        <f t="shared" si="100"/>
        <v>0</v>
      </c>
      <c r="AB53" s="1122"/>
      <c r="AC53" s="1123"/>
      <c r="AD53" s="1124"/>
      <c r="AE53" s="1122"/>
      <c r="AF53" s="1124"/>
      <c r="AG53" s="1122"/>
      <c r="AH53" s="1124"/>
      <c r="AI53" s="1122"/>
      <c r="AJ53" s="1123"/>
      <c r="AK53" s="1123"/>
      <c r="AL53" s="1123"/>
      <c r="AM53" s="1125"/>
      <c r="AN53" s="1125"/>
      <c r="AO53" s="1124"/>
      <c r="AP53" s="1122"/>
      <c r="AQ53" s="1124"/>
      <c r="AR53" s="1122"/>
      <c r="AS53" s="1123"/>
      <c r="AT53" s="1407"/>
      <c r="AU53" s="1124"/>
      <c r="AV53" s="1122"/>
      <c r="AW53" s="1123"/>
      <c r="AX53" s="1124"/>
      <c r="AY53" s="1122"/>
      <c r="AZ53" s="1124"/>
      <c r="BA53" s="1122"/>
      <c r="BB53" s="1123"/>
      <c r="BC53" s="1124"/>
      <c r="BD53" s="1126"/>
      <c r="BE53" s="1127"/>
      <c r="BF53" s="1128"/>
      <c r="BG53" s="1129"/>
      <c r="BH53" s="1127"/>
      <c r="BI53" s="1128"/>
      <c r="BJ53" s="1128"/>
      <c r="BK53" s="1128"/>
      <c r="BL53" s="1129"/>
      <c r="BM53" s="1127"/>
      <c r="BN53" s="1128"/>
      <c r="BO53" s="1129"/>
      <c r="BP53" s="1130"/>
      <c r="BQ53" s="1131"/>
      <c r="BR53" s="1131"/>
      <c r="BS53" s="1131"/>
      <c r="BT53" s="1128"/>
      <c r="BU53" s="1129"/>
      <c r="BV53" s="1130"/>
      <c r="BW53" s="1131"/>
      <c r="BX53" s="1131"/>
      <c r="BY53" s="1131"/>
      <c r="BZ53" s="1131"/>
      <c r="CA53" s="1131"/>
      <c r="CB53" s="1128"/>
      <c r="CC53" s="1129"/>
      <c r="CD53" s="1127"/>
      <c r="CE53" s="1128"/>
      <c r="CF53" s="1128"/>
      <c r="CG53" s="1128"/>
      <c r="CH53" s="1129"/>
      <c r="CI53" s="1130"/>
      <c r="CJ53" s="1131"/>
      <c r="CK53" s="1131"/>
      <c r="CL53" s="1131"/>
      <c r="CM53" s="1131"/>
      <c r="CN53" s="1131"/>
      <c r="CO53" s="1132"/>
      <c r="CP53" s="1127"/>
      <c r="CQ53" s="1128"/>
      <c r="CR53" s="1129"/>
      <c r="CS53" s="1127"/>
      <c r="CT53" s="1128"/>
      <c r="CU53" s="1128"/>
      <c r="CV53" s="1128"/>
      <c r="CW53" s="1129"/>
      <c r="CX53" s="1127"/>
      <c r="CY53" s="1129"/>
      <c r="CZ53" s="1129"/>
      <c r="DA53" s="1133"/>
      <c r="DI53" s="1126"/>
    </row>
    <row r="54" spans="1:113" s="1055" customFormat="1">
      <c r="A54" s="955" t="s">
        <v>415</v>
      </c>
      <c r="B54" s="1102" t="s">
        <v>858</v>
      </c>
      <c r="C54" s="1030" t="s">
        <v>111</v>
      </c>
      <c r="D54" s="1035"/>
      <c r="E54" s="1032">
        <f t="shared" si="3"/>
        <v>0</v>
      </c>
      <c r="F54" s="1035">
        <v>0</v>
      </c>
      <c r="G54" s="1036">
        <v>79.11999999999999</v>
      </c>
      <c r="H54" s="1032">
        <f t="shared" ref="H54:H60" si="102">+IF(C54="", 0,SUM(F54:G54))</f>
        <v>79.11999999999999</v>
      </c>
      <c r="I54" s="1035">
        <v>2305.2599999999998</v>
      </c>
      <c r="J54" s="1032">
        <f t="shared" ref="J54:J60" si="103">+IF(C54="", 0,I54)</f>
        <v>2305.2599999999998</v>
      </c>
      <c r="K54" s="1035">
        <v>0</v>
      </c>
      <c r="L54" s="1074">
        <v>487.62</v>
      </c>
      <c r="M54" s="1032">
        <f t="shared" ref="M54:M60" si="104">+IF(C54="",0,K54+L54)</f>
        <v>487.62</v>
      </c>
      <c r="N54" s="1035">
        <v>0</v>
      </c>
      <c r="O54" s="1036">
        <v>0</v>
      </c>
      <c r="P54" s="1032">
        <f t="shared" ref="P54:P60" si="105">+IF(C54="", 0,SUM(N54:O54))</f>
        <v>0</v>
      </c>
      <c r="Q54" s="1035">
        <v>0</v>
      </c>
      <c r="R54" s="1036">
        <v>3400.5499999999997</v>
      </c>
      <c r="S54" s="1032">
        <f t="shared" ref="S54:S60" si="106">+IF(C54="",0,SUM(Q54:R54))</f>
        <v>3400.5499999999997</v>
      </c>
      <c r="T54" s="1035">
        <v>0</v>
      </c>
      <c r="U54" s="1036">
        <v>423.15000000000003</v>
      </c>
      <c r="V54" s="1032">
        <f t="shared" ref="V54:V60" si="107">+IF(C54="",0,SUM(T54:U54))</f>
        <v>423.15000000000003</v>
      </c>
      <c r="W54" s="1037">
        <f t="shared" ref="W54:W60" si="108">+IF(C54="",0,E54+H54+J54+M54+P54+S54+V54)</f>
        <v>6695.6999999999989</v>
      </c>
      <c r="X54" s="1038">
        <v>0</v>
      </c>
      <c r="Y54" s="1039">
        <v>0</v>
      </c>
      <c r="Z54" s="1408">
        <v>0</v>
      </c>
      <c r="AA54" s="1040">
        <f t="shared" si="100"/>
        <v>0</v>
      </c>
      <c r="AB54" s="1038">
        <v>0</v>
      </c>
      <c r="AC54" s="1039">
        <v>0</v>
      </c>
      <c r="AD54" s="1040">
        <f t="shared" ref="AD54:AD60" si="109">SUM(AB54:AC54)</f>
        <v>0</v>
      </c>
      <c r="AE54" s="1038">
        <v>0</v>
      </c>
      <c r="AF54" s="1040">
        <f t="shared" ref="AF54:AF60" si="110">+AE54</f>
        <v>0</v>
      </c>
      <c r="AG54" s="1038">
        <v>0</v>
      </c>
      <c r="AH54" s="1040">
        <f t="shared" ref="AH54:AH60" si="111">+AG54</f>
        <v>0</v>
      </c>
      <c r="AI54" s="1038">
        <v>0</v>
      </c>
      <c r="AJ54" s="1039">
        <v>0</v>
      </c>
      <c r="AK54" s="1039">
        <v>0</v>
      </c>
      <c r="AL54" s="1039">
        <v>0</v>
      </c>
      <c r="AM54" s="1041">
        <v>0</v>
      </c>
      <c r="AN54" s="1041">
        <v>0</v>
      </c>
      <c r="AO54" s="1040">
        <f t="shared" ref="AO54:AO60" si="112">SUM(AI54:AN54)</f>
        <v>0</v>
      </c>
      <c r="AP54" s="1038">
        <v>0</v>
      </c>
      <c r="AQ54" s="1040">
        <f t="shared" ref="AQ54:AQ60" si="113">+AP54</f>
        <v>0</v>
      </c>
      <c r="AR54" s="1038">
        <v>0</v>
      </c>
      <c r="AS54" s="1039">
        <v>0</v>
      </c>
      <c r="AT54" s="1408">
        <v>0</v>
      </c>
      <c r="AU54" s="1040">
        <f t="shared" ref="AU54:AU55" si="114">SUM(AR54:AT54)</f>
        <v>0</v>
      </c>
      <c r="AV54" s="1038">
        <v>0</v>
      </c>
      <c r="AW54" s="1039">
        <v>0</v>
      </c>
      <c r="AX54" s="1040">
        <f t="shared" ref="AX54:AX60" si="115">SUM(AV54:AW54)</f>
        <v>0</v>
      </c>
      <c r="AY54" s="1038">
        <v>0</v>
      </c>
      <c r="AZ54" s="1040">
        <f t="shared" ref="AZ54:AZ60" si="116">+AY54</f>
        <v>0</v>
      </c>
      <c r="BA54" s="1038">
        <v>0</v>
      </c>
      <c r="BB54" s="1039">
        <v>0</v>
      </c>
      <c r="BC54" s="1040">
        <f t="shared" ref="BC54:BC60" si="117">SUM(BA54:BB54)</f>
        <v>0</v>
      </c>
      <c r="BD54" s="1042">
        <f t="shared" ref="BD54:BD60" si="118">+IF(C54="",0,BC54+AZ54+AX54+AU54+AQ54+AO54+AH54+AF54+AD54+AA54)</f>
        <v>0</v>
      </c>
      <c r="BE54" s="1052"/>
      <c r="BF54" s="1053"/>
      <c r="BG54" s="1048">
        <f t="shared" si="8"/>
        <v>0</v>
      </c>
      <c r="BH54" s="1052"/>
      <c r="BI54" s="1053"/>
      <c r="BJ54" s="1053"/>
      <c r="BK54" s="1053"/>
      <c r="BL54" s="1048">
        <f t="shared" ref="BL54:BL67" si="119">+BH54+BI54+BJ54+BK54</f>
        <v>0</v>
      </c>
      <c r="BM54" s="1052"/>
      <c r="BN54" s="1053"/>
      <c r="BO54" s="1048">
        <f t="shared" ref="BO54:BO60" si="120">+BM54+BN54</f>
        <v>0</v>
      </c>
      <c r="BP54" s="1049"/>
      <c r="BQ54" s="1050"/>
      <c r="BR54" s="1050"/>
      <c r="BS54" s="1050"/>
      <c r="BT54" s="1053"/>
      <c r="BU54" s="1048">
        <f t="shared" ref="BU54:BU60" si="121">+SUM(BP54:BT54)</f>
        <v>0</v>
      </c>
      <c r="BV54" s="1049"/>
      <c r="BW54" s="1050"/>
      <c r="BX54" s="1050"/>
      <c r="BY54" s="1050"/>
      <c r="BZ54" s="1050"/>
      <c r="CA54" s="1050"/>
      <c r="CB54" s="1053"/>
      <c r="CC54" s="1048">
        <f t="shared" ref="CC54:CC60" si="122">+SUM(BV54:CB54)</f>
        <v>0</v>
      </c>
      <c r="CD54" s="1052"/>
      <c r="CE54" s="1053"/>
      <c r="CF54" s="1053"/>
      <c r="CG54" s="1053"/>
      <c r="CH54" s="1048">
        <f t="shared" ref="CH54:CH60" si="123">+SUM(CD54:CG54)</f>
        <v>0</v>
      </c>
      <c r="CI54" s="1049"/>
      <c r="CJ54" s="1050"/>
      <c r="CK54" s="1050"/>
      <c r="CL54" s="1050"/>
      <c r="CM54" s="1050"/>
      <c r="CN54" s="1050"/>
      <c r="CO54" s="1051">
        <f t="shared" ref="CO54:CO60" si="124">+SUM(CI54:CN54)</f>
        <v>0</v>
      </c>
      <c r="CP54" s="1052"/>
      <c r="CQ54" s="1053"/>
      <c r="CR54" s="1048">
        <f t="shared" ref="CR54:CR60" si="125">+SUM(CP54:CQ54)</f>
        <v>0</v>
      </c>
      <c r="CS54" s="1052"/>
      <c r="CT54" s="1053"/>
      <c r="CU54" s="1053"/>
      <c r="CV54" s="1053"/>
      <c r="CW54" s="1048">
        <f t="shared" ref="CW54:CW60" si="126">+SUM(CS54:CV54)</f>
        <v>0</v>
      </c>
      <c r="CX54" s="1052"/>
      <c r="CY54" s="1048">
        <f t="shared" ref="CY54:CY60" si="127">+CX54</f>
        <v>0</v>
      </c>
      <c r="CZ54" s="1103">
        <f t="shared" ref="CZ54:CZ60" si="128">+IF(C54="",0,CY54+CR54+CH54+BU54+BO54+BL54+CO54+CW54+CC54+BG54)</f>
        <v>0</v>
      </c>
      <c r="DA54" s="1104">
        <f t="shared" ref="DA54:DA60" si="129">IF(C54="",0,CZ54+BD54+W54)</f>
        <v>6695.6999999999989</v>
      </c>
      <c r="DI54" s="1042">
        <f t="shared" ref="DI54:DI60" si="130">+IF(BH54="",0,DH54+DE54+DC54+CZ54+CV54+CT54+CM54+CK54+CI54+CF54)</f>
        <v>0</v>
      </c>
    </row>
    <row r="55" spans="1:113" s="1055" customFormat="1">
      <c r="A55" s="955" t="s">
        <v>416</v>
      </c>
      <c r="B55" s="1102" t="s">
        <v>1365</v>
      </c>
      <c r="C55" s="1030" t="s">
        <v>111</v>
      </c>
      <c r="D55" s="1035"/>
      <c r="E55" s="1032">
        <f t="shared" si="3"/>
        <v>0</v>
      </c>
      <c r="F55" s="1035">
        <v>0</v>
      </c>
      <c r="G55" s="1036">
        <v>0</v>
      </c>
      <c r="H55" s="1032">
        <f t="shared" si="102"/>
        <v>0</v>
      </c>
      <c r="I55" s="1035">
        <v>0</v>
      </c>
      <c r="J55" s="1032">
        <f t="shared" si="103"/>
        <v>0</v>
      </c>
      <c r="K55" s="1035">
        <v>0</v>
      </c>
      <c r="L55" s="1074">
        <v>0</v>
      </c>
      <c r="M55" s="1032">
        <f t="shared" si="104"/>
        <v>0</v>
      </c>
      <c r="N55" s="1035">
        <v>0</v>
      </c>
      <c r="O55" s="1036">
        <v>0</v>
      </c>
      <c r="P55" s="1032">
        <f t="shared" si="105"/>
        <v>0</v>
      </c>
      <c r="Q55" s="1035">
        <v>0</v>
      </c>
      <c r="R55" s="1036">
        <v>0</v>
      </c>
      <c r="S55" s="1032">
        <f t="shared" si="106"/>
        <v>0</v>
      </c>
      <c r="T55" s="1035">
        <v>0</v>
      </c>
      <c r="U55" s="1036">
        <v>0</v>
      </c>
      <c r="V55" s="1032">
        <f t="shared" si="107"/>
        <v>0</v>
      </c>
      <c r="W55" s="1037">
        <f t="shared" si="108"/>
        <v>0</v>
      </c>
      <c r="X55" s="1038">
        <v>0</v>
      </c>
      <c r="Y55" s="1039">
        <v>0</v>
      </c>
      <c r="Z55" s="1408">
        <v>0</v>
      </c>
      <c r="AA55" s="1040">
        <f t="shared" si="100"/>
        <v>0</v>
      </c>
      <c r="AB55" s="1038">
        <v>0</v>
      </c>
      <c r="AC55" s="1039">
        <v>0</v>
      </c>
      <c r="AD55" s="1040">
        <f t="shared" si="109"/>
        <v>0</v>
      </c>
      <c r="AE55" s="1038">
        <v>0</v>
      </c>
      <c r="AF55" s="1040">
        <f t="shared" si="110"/>
        <v>0</v>
      </c>
      <c r="AG55" s="1038">
        <v>0</v>
      </c>
      <c r="AH55" s="1040">
        <f t="shared" si="111"/>
        <v>0</v>
      </c>
      <c r="AI55" s="1038">
        <v>0</v>
      </c>
      <c r="AJ55" s="1039">
        <v>0</v>
      </c>
      <c r="AK55" s="1039">
        <v>0</v>
      </c>
      <c r="AL55" s="1039">
        <v>0</v>
      </c>
      <c r="AM55" s="1041">
        <v>0</v>
      </c>
      <c r="AN55" s="1041">
        <v>0</v>
      </c>
      <c r="AO55" s="1040">
        <f t="shared" si="112"/>
        <v>0</v>
      </c>
      <c r="AP55" s="1038">
        <v>0</v>
      </c>
      <c r="AQ55" s="1040">
        <f t="shared" si="113"/>
        <v>0</v>
      </c>
      <c r="AR55" s="1038">
        <v>0</v>
      </c>
      <c r="AS55" s="1039">
        <v>0</v>
      </c>
      <c r="AT55" s="1408">
        <v>0</v>
      </c>
      <c r="AU55" s="1040">
        <f t="shared" si="114"/>
        <v>0</v>
      </c>
      <c r="AV55" s="1038">
        <v>0</v>
      </c>
      <c r="AW55" s="1039">
        <v>0</v>
      </c>
      <c r="AX55" s="1040">
        <f t="shared" si="115"/>
        <v>0</v>
      </c>
      <c r="AY55" s="1038">
        <v>0</v>
      </c>
      <c r="AZ55" s="1040">
        <f t="shared" si="116"/>
        <v>0</v>
      </c>
      <c r="BA55" s="1038">
        <v>0</v>
      </c>
      <c r="BB55" s="1039">
        <v>0</v>
      </c>
      <c r="BC55" s="1040">
        <f t="shared" si="117"/>
        <v>0</v>
      </c>
      <c r="BD55" s="1042">
        <f t="shared" si="118"/>
        <v>0</v>
      </c>
      <c r="BE55" s="1052"/>
      <c r="BF55" s="1053"/>
      <c r="BG55" s="1048">
        <f t="shared" si="8"/>
        <v>0</v>
      </c>
      <c r="BH55" s="1052"/>
      <c r="BI55" s="1053"/>
      <c r="BJ55" s="1053"/>
      <c r="BK55" s="1053"/>
      <c r="BL55" s="1048">
        <f t="shared" si="119"/>
        <v>0</v>
      </c>
      <c r="BM55" s="1052"/>
      <c r="BN55" s="1053"/>
      <c r="BO55" s="1048">
        <f t="shared" si="120"/>
        <v>0</v>
      </c>
      <c r="BP55" s="1049"/>
      <c r="BQ55" s="1050"/>
      <c r="BR55" s="1050"/>
      <c r="BS55" s="1050"/>
      <c r="BT55" s="1053"/>
      <c r="BU55" s="1048">
        <f t="shared" si="121"/>
        <v>0</v>
      </c>
      <c r="BV55" s="1049"/>
      <c r="BW55" s="1050"/>
      <c r="BX55" s="1050"/>
      <c r="BY55" s="1050"/>
      <c r="BZ55" s="1050"/>
      <c r="CA55" s="1050"/>
      <c r="CB55" s="1053"/>
      <c r="CC55" s="1048">
        <f t="shared" si="122"/>
        <v>0</v>
      </c>
      <c r="CD55" s="1052"/>
      <c r="CE55" s="1053"/>
      <c r="CF55" s="1053"/>
      <c r="CG55" s="1053"/>
      <c r="CH55" s="1048">
        <f t="shared" si="123"/>
        <v>0</v>
      </c>
      <c r="CI55" s="1049"/>
      <c r="CJ55" s="1050"/>
      <c r="CK55" s="1050"/>
      <c r="CL55" s="1050"/>
      <c r="CM55" s="1050"/>
      <c r="CN55" s="1050"/>
      <c r="CO55" s="1051">
        <f t="shared" si="124"/>
        <v>0</v>
      </c>
      <c r="CP55" s="1052"/>
      <c r="CQ55" s="1053"/>
      <c r="CR55" s="1048">
        <f t="shared" si="125"/>
        <v>0</v>
      </c>
      <c r="CS55" s="1052"/>
      <c r="CT55" s="1053"/>
      <c r="CU55" s="1053"/>
      <c r="CV55" s="1053"/>
      <c r="CW55" s="1048">
        <f t="shared" si="126"/>
        <v>0</v>
      </c>
      <c r="CX55" s="1052"/>
      <c r="CY55" s="1048">
        <f t="shared" si="127"/>
        <v>0</v>
      </c>
      <c r="CZ55" s="1103">
        <f t="shared" si="128"/>
        <v>0</v>
      </c>
      <c r="DA55" s="1104">
        <f t="shared" si="129"/>
        <v>0</v>
      </c>
      <c r="DI55" s="1042">
        <f t="shared" si="130"/>
        <v>0</v>
      </c>
    </row>
    <row r="56" spans="1:113" s="1055" customFormat="1">
      <c r="A56" s="955" t="s">
        <v>417</v>
      </c>
      <c r="B56" s="1102" t="s">
        <v>862</v>
      </c>
      <c r="C56" s="1030" t="s">
        <v>111</v>
      </c>
      <c r="D56" s="1035"/>
      <c r="E56" s="1032">
        <f t="shared" si="3"/>
        <v>0</v>
      </c>
      <c r="F56" s="1035">
        <v>0</v>
      </c>
      <c r="G56" s="1036">
        <v>0</v>
      </c>
      <c r="H56" s="1032">
        <f t="shared" si="102"/>
        <v>0</v>
      </c>
      <c r="I56" s="1035">
        <v>0</v>
      </c>
      <c r="J56" s="1032">
        <f t="shared" si="103"/>
        <v>0</v>
      </c>
      <c r="K56" s="1035">
        <v>0</v>
      </c>
      <c r="L56" s="1074">
        <v>0</v>
      </c>
      <c r="M56" s="1032">
        <f t="shared" si="104"/>
        <v>0</v>
      </c>
      <c r="N56" s="1035">
        <v>1513.3469999999998</v>
      </c>
      <c r="O56" s="1036">
        <v>0</v>
      </c>
      <c r="P56" s="1032">
        <f t="shared" si="105"/>
        <v>1513.3469999999998</v>
      </c>
      <c r="Q56" s="1035">
        <v>0</v>
      </c>
      <c r="R56" s="1036">
        <v>0</v>
      </c>
      <c r="S56" s="1032">
        <f t="shared" si="106"/>
        <v>0</v>
      </c>
      <c r="T56" s="1035">
        <v>0</v>
      </c>
      <c r="U56" s="1036">
        <v>0</v>
      </c>
      <c r="V56" s="1032">
        <f t="shared" si="107"/>
        <v>0</v>
      </c>
      <c r="W56" s="1037">
        <f t="shared" si="108"/>
        <v>1513.3469999999998</v>
      </c>
      <c r="X56" s="1038">
        <v>0</v>
      </c>
      <c r="Y56" s="1039">
        <v>0</v>
      </c>
      <c r="Z56" s="1408">
        <v>144.97097578495928</v>
      </c>
      <c r="AA56" s="1040">
        <f t="shared" si="100"/>
        <v>144.97097578495928</v>
      </c>
      <c r="AB56" s="1038">
        <v>42.196182934312631</v>
      </c>
      <c r="AC56" s="1039">
        <v>155.19382633620563</v>
      </c>
      <c r="AD56" s="1040">
        <f t="shared" si="109"/>
        <v>197.39000927051825</v>
      </c>
      <c r="AE56" s="1038">
        <v>316.35125569626405</v>
      </c>
      <c r="AF56" s="1040">
        <f t="shared" si="110"/>
        <v>316.35125569626405</v>
      </c>
      <c r="AG56" s="1038">
        <v>765.44669796442167</v>
      </c>
      <c r="AH56" s="1040">
        <f t="shared" si="111"/>
        <v>765.44669796442167</v>
      </c>
      <c r="AI56" s="1038">
        <v>593.80617273917903</v>
      </c>
      <c r="AJ56" s="1039">
        <v>188.73987811495806</v>
      </c>
      <c r="AK56" s="1039">
        <v>159.827</v>
      </c>
      <c r="AL56" s="1039">
        <v>684.97031891144854</v>
      </c>
      <c r="AM56" s="1041">
        <v>0</v>
      </c>
      <c r="AN56" s="1041">
        <v>0</v>
      </c>
      <c r="AO56" s="1040">
        <f>AI56+AM56+AN56</f>
        <v>593.80617273917903</v>
      </c>
      <c r="AP56" s="1038">
        <v>517.30493455225655</v>
      </c>
      <c r="AQ56" s="1040">
        <f t="shared" si="113"/>
        <v>517.30493455225655</v>
      </c>
      <c r="AR56" s="1038">
        <v>565.38535838997518</v>
      </c>
      <c r="AS56" s="1039">
        <v>270.72249999999997</v>
      </c>
      <c r="AT56" s="1408">
        <v>194.11</v>
      </c>
      <c r="AU56" s="1040">
        <f t="shared" ref="AU56:AU80" si="131">SUM(AT56)</f>
        <v>194.11</v>
      </c>
      <c r="AV56" s="1038">
        <v>0</v>
      </c>
      <c r="AW56" s="1039">
        <v>1219.7675251222017</v>
      </c>
      <c r="AX56" s="1040">
        <f t="shared" si="115"/>
        <v>1219.7675251222017</v>
      </c>
      <c r="AY56" s="1038">
        <v>0</v>
      </c>
      <c r="AZ56" s="1040">
        <f t="shared" si="116"/>
        <v>0</v>
      </c>
      <c r="BA56" s="1038">
        <v>207.21950000000001</v>
      </c>
      <c r="BB56" s="1039">
        <v>241.94490099364853</v>
      </c>
      <c r="BC56" s="1040">
        <f t="shared" si="117"/>
        <v>449.16440099364854</v>
      </c>
      <c r="BD56" s="1042">
        <f t="shared" si="118"/>
        <v>4398.3119721234498</v>
      </c>
      <c r="BE56" s="1052"/>
      <c r="BF56" s="1053"/>
      <c r="BG56" s="1048">
        <f t="shared" si="8"/>
        <v>0</v>
      </c>
      <c r="BH56" s="1052"/>
      <c r="BI56" s="1053"/>
      <c r="BJ56" s="1053"/>
      <c r="BK56" s="1053"/>
      <c r="BL56" s="1048">
        <f t="shared" si="119"/>
        <v>0</v>
      </c>
      <c r="BM56" s="1052"/>
      <c r="BN56" s="1053"/>
      <c r="BO56" s="1048">
        <f t="shared" si="120"/>
        <v>0</v>
      </c>
      <c r="BP56" s="1049"/>
      <c r="BQ56" s="1050"/>
      <c r="BR56" s="1050"/>
      <c r="BS56" s="1050"/>
      <c r="BT56" s="1053"/>
      <c r="BU56" s="1048">
        <f t="shared" si="121"/>
        <v>0</v>
      </c>
      <c r="BV56" s="1049"/>
      <c r="BW56" s="1050"/>
      <c r="BX56" s="1050"/>
      <c r="BY56" s="1050"/>
      <c r="BZ56" s="1050"/>
      <c r="CA56" s="1050"/>
      <c r="CB56" s="1053"/>
      <c r="CC56" s="1048">
        <f t="shared" si="122"/>
        <v>0</v>
      </c>
      <c r="CD56" s="1052"/>
      <c r="CE56" s="1053"/>
      <c r="CF56" s="1053"/>
      <c r="CG56" s="1053"/>
      <c r="CH56" s="1048">
        <f t="shared" si="123"/>
        <v>0</v>
      </c>
      <c r="CI56" s="1049"/>
      <c r="CJ56" s="1050"/>
      <c r="CK56" s="1050"/>
      <c r="CL56" s="1050"/>
      <c r="CM56" s="1050"/>
      <c r="CN56" s="1050"/>
      <c r="CO56" s="1051">
        <f t="shared" si="124"/>
        <v>0</v>
      </c>
      <c r="CP56" s="1052"/>
      <c r="CQ56" s="1053"/>
      <c r="CR56" s="1048">
        <f t="shared" si="125"/>
        <v>0</v>
      </c>
      <c r="CS56" s="1052"/>
      <c r="CT56" s="1053"/>
      <c r="CU56" s="1053"/>
      <c r="CV56" s="1053"/>
      <c r="CW56" s="1048">
        <f t="shared" si="126"/>
        <v>0</v>
      </c>
      <c r="CX56" s="1052"/>
      <c r="CY56" s="1048">
        <f t="shared" si="127"/>
        <v>0</v>
      </c>
      <c r="CZ56" s="1103">
        <f t="shared" si="128"/>
        <v>0</v>
      </c>
      <c r="DA56" s="1104">
        <f t="shared" si="129"/>
        <v>5911.6589721234495</v>
      </c>
      <c r="DI56" s="1042">
        <f t="shared" si="130"/>
        <v>0</v>
      </c>
    </row>
    <row r="57" spans="1:113" s="1055" customFormat="1" ht="30">
      <c r="A57" s="955" t="s">
        <v>1366</v>
      </c>
      <c r="B57" s="1102" t="s">
        <v>863</v>
      </c>
      <c r="C57" s="1030" t="s">
        <v>111</v>
      </c>
      <c r="D57" s="1035"/>
      <c r="E57" s="1032">
        <f t="shared" si="3"/>
        <v>0</v>
      </c>
      <c r="F57" s="1035">
        <v>0</v>
      </c>
      <c r="G57" s="1036">
        <v>34.47999999999999</v>
      </c>
      <c r="H57" s="1032">
        <f t="shared" si="102"/>
        <v>34.47999999999999</v>
      </c>
      <c r="I57" s="1035">
        <v>1012.9399999999996</v>
      </c>
      <c r="J57" s="1032">
        <f t="shared" si="103"/>
        <v>1012.9399999999996</v>
      </c>
      <c r="K57" s="1035">
        <v>0</v>
      </c>
      <c r="L57" s="1074">
        <v>319.7</v>
      </c>
      <c r="M57" s="1032">
        <f t="shared" si="104"/>
        <v>319.7</v>
      </c>
      <c r="N57" s="1035">
        <v>1088.3819999999998</v>
      </c>
      <c r="O57" s="1036">
        <v>0</v>
      </c>
      <c r="P57" s="1032">
        <f t="shared" si="105"/>
        <v>1088.3819999999998</v>
      </c>
      <c r="Q57" s="1035">
        <v>0</v>
      </c>
      <c r="R57" s="1036">
        <v>2325.0749999999998</v>
      </c>
      <c r="S57" s="1032">
        <f t="shared" si="106"/>
        <v>2325.0749999999998</v>
      </c>
      <c r="T57" s="1035">
        <v>0</v>
      </c>
      <c r="U57" s="1036">
        <v>295.40000000000003</v>
      </c>
      <c r="V57" s="1032">
        <f t="shared" si="107"/>
        <v>295.40000000000003</v>
      </c>
      <c r="W57" s="1037">
        <f t="shared" si="108"/>
        <v>5075.976999999999</v>
      </c>
      <c r="X57" s="1038">
        <v>0</v>
      </c>
      <c r="Y57" s="1039">
        <v>0</v>
      </c>
      <c r="Z57" s="1408">
        <v>0</v>
      </c>
      <c r="AA57" s="1040">
        <f t="shared" si="100"/>
        <v>0</v>
      </c>
      <c r="AB57" s="1038">
        <v>0</v>
      </c>
      <c r="AC57" s="1039">
        <v>0</v>
      </c>
      <c r="AD57" s="1040">
        <f t="shared" si="109"/>
        <v>0</v>
      </c>
      <c r="AE57" s="1038">
        <v>0</v>
      </c>
      <c r="AF57" s="1040">
        <f t="shared" si="110"/>
        <v>0</v>
      </c>
      <c r="AG57" s="1038">
        <v>0</v>
      </c>
      <c r="AH57" s="1040">
        <f t="shared" si="111"/>
        <v>0</v>
      </c>
      <c r="AI57" s="1038">
        <v>0</v>
      </c>
      <c r="AJ57" s="1039">
        <v>0</v>
      </c>
      <c r="AK57" s="1039">
        <v>0</v>
      </c>
      <c r="AL57" s="1039">
        <v>0</v>
      </c>
      <c r="AM57" s="1041">
        <v>0</v>
      </c>
      <c r="AN57" s="1041">
        <v>0</v>
      </c>
      <c r="AO57" s="1040">
        <f t="shared" si="112"/>
        <v>0</v>
      </c>
      <c r="AP57" s="1038">
        <v>0</v>
      </c>
      <c r="AQ57" s="1040">
        <f t="shared" si="113"/>
        <v>0</v>
      </c>
      <c r="AR57" s="1038">
        <v>0</v>
      </c>
      <c r="AS57" s="1039">
        <v>0</v>
      </c>
      <c r="AT57" s="1408">
        <v>0</v>
      </c>
      <c r="AU57" s="1040">
        <f t="shared" si="131"/>
        <v>0</v>
      </c>
      <c r="AV57" s="1038">
        <v>0</v>
      </c>
      <c r="AW57" s="1039">
        <v>0</v>
      </c>
      <c r="AX57" s="1040">
        <f t="shared" si="115"/>
        <v>0</v>
      </c>
      <c r="AY57" s="1038">
        <v>0</v>
      </c>
      <c r="AZ57" s="1040">
        <f t="shared" si="116"/>
        <v>0</v>
      </c>
      <c r="BA57" s="1038">
        <v>0</v>
      </c>
      <c r="BB57" s="1039">
        <v>0</v>
      </c>
      <c r="BC57" s="1040">
        <f t="shared" si="117"/>
        <v>0</v>
      </c>
      <c r="BD57" s="1042">
        <f t="shared" si="118"/>
        <v>0</v>
      </c>
      <c r="BE57" s="1052"/>
      <c r="BF57" s="1053"/>
      <c r="BG57" s="1048">
        <f t="shared" si="8"/>
        <v>0</v>
      </c>
      <c r="BH57" s="1052"/>
      <c r="BI57" s="1053"/>
      <c r="BJ57" s="1053"/>
      <c r="BK57" s="1053"/>
      <c r="BL57" s="1048">
        <f t="shared" si="119"/>
        <v>0</v>
      </c>
      <c r="BM57" s="1052"/>
      <c r="BN57" s="1053"/>
      <c r="BO57" s="1048">
        <f t="shared" si="120"/>
        <v>0</v>
      </c>
      <c r="BP57" s="1049"/>
      <c r="BQ57" s="1050"/>
      <c r="BR57" s="1050"/>
      <c r="BS57" s="1050"/>
      <c r="BT57" s="1053"/>
      <c r="BU57" s="1048">
        <f t="shared" si="121"/>
        <v>0</v>
      </c>
      <c r="BV57" s="1049"/>
      <c r="BW57" s="1050"/>
      <c r="BX57" s="1050"/>
      <c r="BY57" s="1050"/>
      <c r="BZ57" s="1050"/>
      <c r="CA57" s="1050"/>
      <c r="CB57" s="1053"/>
      <c r="CC57" s="1048">
        <f t="shared" si="122"/>
        <v>0</v>
      </c>
      <c r="CD57" s="1052"/>
      <c r="CE57" s="1053"/>
      <c r="CF57" s="1053"/>
      <c r="CG57" s="1053"/>
      <c r="CH57" s="1048">
        <f t="shared" si="123"/>
        <v>0</v>
      </c>
      <c r="CI57" s="1049"/>
      <c r="CJ57" s="1050"/>
      <c r="CK57" s="1050"/>
      <c r="CL57" s="1050"/>
      <c r="CM57" s="1050"/>
      <c r="CN57" s="1050"/>
      <c r="CO57" s="1051">
        <f t="shared" si="124"/>
        <v>0</v>
      </c>
      <c r="CP57" s="1052"/>
      <c r="CQ57" s="1053"/>
      <c r="CR57" s="1048">
        <f t="shared" si="125"/>
        <v>0</v>
      </c>
      <c r="CS57" s="1052"/>
      <c r="CT57" s="1053"/>
      <c r="CU57" s="1053"/>
      <c r="CV57" s="1053"/>
      <c r="CW57" s="1048">
        <f t="shared" si="126"/>
        <v>0</v>
      </c>
      <c r="CX57" s="1052"/>
      <c r="CY57" s="1048">
        <f t="shared" si="127"/>
        <v>0</v>
      </c>
      <c r="CZ57" s="1103">
        <f t="shared" si="128"/>
        <v>0</v>
      </c>
      <c r="DA57" s="1104">
        <f t="shared" si="129"/>
        <v>5075.976999999999</v>
      </c>
      <c r="DI57" s="1042">
        <f t="shared" si="130"/>
        <v>0</v>
      </c>
    </row>
    <row r="58" spans="1:113" s="1055" customFormat="1">
      <c r="A58" s="955" t="s">
        <v>16</v>
      </c>
      <c r="B58" s="1102" t="s">
        <v>1369</v>
      </c>
      <c r="C58" s="1030" t="s">
        <v>111</v>
      </c>
      <c r="D58" s="1035"/>
      <c r="E58" s="1032">
        <f t="shared" si="3"/>
        <v>0</v>
      </c>
      <c r="F58" s="1035">
        <v>0</v>
      </c>
      <c r="G58" s="1036">
        <v>28.759999999999998</v>
      </c>
      <c r="H58" s="1032">
        <f t="shared" si="102"/>
        <v>28.759999999999998</v>
      </c>
      <c r="I58" s="1035">
        <v>491.4920294763777</v>
      </c>
      <c r="J58" s="1032">
        <f t="shared" si="103"/>
        <v>491.4920294763777</v>
      </c>
      <c r="K58" s="1035">
        <v>0</v>
      </c>
      <c r="L58" s="1074">
        <v>13.104994123147211</v>
      </c>
      <c r="M58" s="1032">
        <f t="shared" si="104"/>
        <v>13.104994123147211</v>
      </c>
      <c r="N58" s="1035">
        <v>166.21480000000003</v>
      </c>
      <c r="O58" s="1036">
        <v>23.835389557456296</v>
      </c>
      <c r="P58" s="1032">
        <f t="shared" si="105"/>
        <v>190.05018955745632</v>
      </c>
      <c r="Q58" s="1035">
        <v>0</v>
      </c>
      <c r="R58" s="1036">
        <v>381.37594000000007</v>
      </c>
      <c r="S58" s="1032">
        <f t="shared" si="106"/>
        <v>381.37594000000007</v>
      </c>
      <c r="T58" s="1035">
        <v>0</v>
      </c>
      <c r="U58" s="1036">
        <v>47.826849999999993</v>
      </c>
      <c r="V58" s="1032">
        <f t="shared" si="107"/>
        <v>47.826849999999993</v>
      </c>
      <c r="W58" s="1037">
        <f t="shared" si="108"/>
        <v>1152.6100031569813</v>
      </c>
      <c r="X58" s="1038">
        <v>0</v>
      </c>
      <c r="Y58" s="1039">
        <v>0</v>
      </c>
      <c r="Z58" s="1408">
        <v>86.106685065631837</v>
      </c>
      <c r="AA58" s="1040">
        <f t="shared" si="100"/>
        <v>86.106685065631837</v>
      </c>
      <c r="AB58" s="1038">
        <v>25.505924612812553</v>
      </c>
      <c r="AC58" s="1039">
        <v>92.45229566816451</v>
      </c>
      <c r="AD58" s="1040">
        <f t="shared" si="109"/>
        <v>117.95822028097706</v>
      </c>
      <c r="AE58" s="1038">
        <v>226.39162532559072</v>
      </c>
      <c r="AF58" s="1040">
        <f t="shared" si="110"/>
        <v>226.39162532559072</v>
      </c>
      <c r="AG58" s="1038">
        <v>554.42238613442021</v>
      </c>
      <c r="AH58" s="1040">
        <f t="shared" si="111"/>
        <v>554.42238613442021</v>
      </c>
      <c r="AI58" s="1038">
        <v>393.91810743431193</v>
      </c>
      <c r="AJ58" s="1039">
        <v>118.07967293359948</v>
      </c>
      <c r="AK58" s="1039">
        <v>159.61748736703811</v>
      </c>
      <c r="AL58" s="1039">
        <v>481.739803253959</v>
      </c>
      <c r="AM58" s="1041">
        <v>0</v>
      </c>
      <c r="AN58" s="1041">
        <v>0</v>
      </c>
      <c r="AO58" s="1040">
        <f>AI58+AM58+AN58</f>
        <v>393.91810743431193</v>
      </c>
      <c r="AP58" s="1038">
        <v>321.40981359804221</v>
      </c>
      <c r="AQ58" s="1040">
        <f t="shared" si="113"/>
        <v>321.40981359804221</v>
      </c>
      <c r="AR58" s="1038">
        <v>341.77806455049</v>
      </c>
      <c r="AS58" s="1039">
        <v>146.96549220103401</v>
      </c>
      <c r="AT58" s="1408">
        <v>120.60229172931348</v>
      </c>
      <c r="AU58" s="1040">
        <f t="shared" si="131"/>
        <v>120.60229172931348</v>
      </c>
      <c r="AV58" s="1038">
        <v>0</v>
      </c>
      <c r="AW58" s="1039">
        <v>839.17472018801072</v>
      </c>
      <c r="AX58" s="1040">
        <f t="shared" si="115"/>
        <v>839.17472018801072</v>
      </c>
      <c r="AY58" s="1038">
        <v>0</v>
      </c>
      <c r="AZ58" s="1040">
        <f t="shared" si="116"/>
        <v>0</v>
      </c>
      <c r="BA58" s="1038">
        <v>126.27479698893265</v>
      </c>
      <c r="BB58" s="1039">
        <v>153.35520482229933</v>
      </c>
      <c r="BC58" s="1040">
        <f t="shared" si="117"/>
        <v>279.63000181123198</v>
      </c>
      <c r="BD58" s="1042">
        <f t="shared" si="118"/>
        <v>2939.6138515675302</v>
      </c>
      <c r="BE58" s="1052"/>
      <c r="BF58" s="1053"/>
      <c r="BG58" s="1048">
        <f t="shared" si="8"/>
        <v>0</v>
      </c>
      <c r="BH58" s="1052">
        <v>12.15</v>
      </c>
      <c r="BI58" s="1053"/>
      <c r="BJ58" s="1053">
        <v>122.8</v>
      </c>
      <c r="BK58" s="1053"/>
      <c r="BL58" s="1048">
        <f t="shared" si="119"/>
        <v>134.94999999999999</v>
      </c>
      <c r="BM58" s="1052"/>
      <c r="BN58" s="1053"/>
      <c r="BO58" s="1048">
        <f t="shared" si="120"/>
        <v>0</v>
      </c>
      <c r="BP58" s="1049"/>
      <c r="BQ58" s="1050"/>
      <c r="BR58" s="1050"/>
      <c r="BS58" s="1050"/>
      <c r="BT58" s="1053"/>
      <c r="BU58" s="1048">
        <f t="shared" si="121"/>
        <v>0</v>
      </c>
      <c r="BV58" s="1052">
        <v>6.18</v>
      </c>
      <c r="BW58" s="1053">
        <v>133.44</v>
      </c>
      <c r="BX58" s="1053"/>
      <c r="BY58" s="1053">
        <v>6.96</v>
      </c>
      <c r="BZ58" s="1053">
        <v>23.55</v>
      </c>
      <c r="CA58" s="1053">
        <v>44</v>
      </c>
      <c r="CB58" s="1053">
        <v>14.59</v>
      </c>
      <c r="CC58" s="1048">
        <f t="shared" si="122"/>
        <v>228.72000000000003</v>
      </c>
      <c r="CD58" s="1052"/>
      <c r="CE58" s="1053"/>
      <c r="CF58" s="1053"/>
      <c r="CG58" s="1053"/>
      <c r="CH58" s="1048">
        <f t="shared" si="123"/>
        <v>0</v>
      </c>
      <c r="CI58" s="1049"/>
      <c r="CJ58" s="1053">
        <v>9.44</v>
      </c>
      <c r="CK58" s="1053">
        <v>61.03</v>
      </c>
      <c r="CL58" s="1053">
        <v>6.1</v>
      </c>
      <c r="CM58" s="1053">
        <v>184.93</v>
      </c>
      <c r="CN58" s="1053">
        <v>67.72</v>
      </c>
      <c r="CO58" s="1051">
        <f t="shared" si="124"/>
        <v>329.22</v>
      </c>
      <c r="CP58" s="1052"/>
      <c r="CQ58" s="1053"/>
      <c r="CR58" s="1048">
        <f t="shared" si="125"/>
        <v>0</v>
      </c>
      <c r="CS58" s="1052">
        <v>181.73</v>
      </c>
      <c r="CT58" s="1053">
        <v>114.12</v>
      </c>
      <c r="CU58" s="1053"/>
      <c r="CV58" s="1053">
        <v>123.74</v>
      </c>
      <c r="CW58" s="1048">
        <f t="shared" si="126"/>
        <v>419.59000000000003</v>
      </c>
      <c r="CX58" s="1052">
        <v>6.07</v>
      </c>
      <c r="CY58" s="1048">
        <f t="shared" si="127"/>
        <v>6.07</v>
      </c>
      <c r="CZ58" s="1103">
        <f t="shared" si="128"/>
        <v>1118.5500000000002</v>
      </c>
      <c r="DA58" s="1104">
        <f t="shared" si="129"/>
        <v>5210.7738547245117</v>
      </c>
      <c r="DI58" s="1042">
        <f t="shared" si="130"/>
        <v>1602.3700000000003</v>
      </c>
    </row>
    <row r="59" spans="1:113" s="1055" customFormat="1">
      <c r="A59" s="955" t="s">
        <v>110</v>
      </c>
      <c r="B59" s="1102" t="s">
        <v>1370</v>
      </c>
      <c r="C59" s="1030" t="s">
        <v>79</v>
      </c>
      <c r="D59" s="1035"/>
      <c r="E59" s="1032">
        <f t="shared" si="3"/>
        <v>0</v>
      </c>
      <c r="F59" s="1035">
        <v>0</v>
      </c>
      <c r="G59" s="1036">
        <v>2175.9</v>
      </c>
      <c r="H59" s="1032">
        <f t="shared" si="102"/>
        <v>2175.9</v>
      </c>
      <c r="I59" s="1035">
        <v>42578.813505257829</v>
      </c>
      <c r="J59" s="1032">
        <f t="shared" si="103"/>
        <v>42578.813505257829</v>
      </c>
      <c r="K59" s="1035">
        <v>0</v>
      </c>
      <c r="L59" s="1074">
        <v>26327.176942166498</v>
      </c>
      <c r="M59" s="1032">
        <f t="shared" si="104"/>
        <v>26327.176942166498</v>
      </c>
      <c r="N59" s="1035">
        <v>29918.664000000004</v>
      </c>
      <c r="O59" s="1036">
        <v>0</v>
      </c>
      <c r="P59" s="1032">
        <f t="shared" si="105"/>
        <v>29918.664000000004</v>
      </c>
      <c r="Q59" s="1035">
        <v>0</v>
      </c>
      <c r="R59" s="1036">
        <v>68647.669199999975</v>
      </c>
      <c r="S59" s="1032">
        <f t="shared" si="106"/>
        <v>68647.669199999975</v>
      </c>
      <c r="T59" s="1035">
        <v>0</v>
      </c>
      <c r="U59" s="1036">
        <v>8608.8329999999987</v>
      </c>
      <c r="V59" s="1032">
        <f t="shared" si="107"/>
        <v>8608.8329999999987</v>
      </c>
      <c r="W59" s="1037">
        <f t="shared" si="108"/>
        <v>178257.0566474243</v>
      </c>
      <c r="X59" s="1038">
        <v>0</v>
      </c>
      <c r="Y59" s="1039">
        <v>0</v>
      </c>
      <c r="Z59" s="1408">
        <v>10902.575000000001</v>
      </c>
      <c r="AA59" s="1040">
        <f t="shared" si="100"/>
        <v>10902.575000000001</v>
      </c>
      <c r="AB59" s="1038">
        <v>2658.8849999999993</v>
      </c>
      <c r="AC59" s="1039">
        <v>10981.875</v>
      </c>
      <c r="AD59" s="1040">
        <f t="shared" si="109"/>
        <v>13640.759999999998</v>
      </c>
      <c r="AE59" s="1038">
        <v>24469.352053217699</v>
      </c>
      <c r="AF59" s="1040">
        <f t="shared" si="110"/>
        <v>24469.352053217699</v>
      </c>
      <c r="AG59" s="1038">
        <v>52648.086183049309</v>
      </c>
      <c r="AH59" s="1040">
        <f t="shared" si="111"/>
        <v>52648.086183049309</v>
      </c>
      <c r="AI59" s="1038">
        <v>41889.481249999997</v>
      </c>
      <c r="AJ59" s="1039">
        <v>14009.088750000001</v>
      </c>
      <c r="AK59" s="1039">
        <v>14280.240726296592</v>
      </c>
      <c r="AL59" s="1039">
        <v>47740.454057823517</v>
      </c>
      <c r="AM59" s="1041">
        <v>0</v>
      </c>
      <c r="AN59" s="1041">
        <v>0</v>
      </c>
      <c r="AO59" s="1040">
        <f>AI59+AM59+AN59</f>
        <v>41889.481249999997</v>
      </c>
      <c r="AP59" s="1038">
        <v>35292.121577347076</v>
      </c>
      <c r="AQ59" s="1040">
        <f t="shared" si="113"/>
        <v>35292.121577347076</v>
      </c>
      <c r="AR59" s="1038">
        <v>39214.093374999997</v>
      </c>
      <c r="AS59" s="1039">
        <v>14775.029749999998</v>
      </c>
      <c r="AT59" s="1408">
        <v>14684.387500000001</v>
      </c>
      <c r="AU59" s="1040">
        <f t="shared" si="131"/>
        <v>14684.387500000001</v>
      </c>
      <c r="AV59" s="1038">
        <v>0</v>
      </c>
      <c r="AW59" s="1039">
        <v>78874.12462251031</v>
      </c>
      <c r="AX59" s="1040">
        <f t="shared" si="115"/>
        <v>78874.12462251031</v>
      </c>
      <c r="AY59" s="1038">
        <v>0</v>
      </c>
      <c r="AZ59" s="1040">
        <f t="shared" si="116"/>
        <v>0</v>
      </c>
      <c r="BA59" s="1038">
        <v>12728.3436764009</v>
      </c>
      <c r="BB59" s="1039">
        <v>16067.285125</v>
      </c>
      <c r="BC59" s="1040">
        <f t="shared" si="117"/>
        <v>28795.628801400901</v>
      </c>
      <c r="BD59" s="1042">
        <f t="shared" si="118"/>
        <v>301196.51698752533</v>
      </c>
      <c r="BE59" s="1052"/>
      <c r="BF59" s="1053"/>
      <c r="BG59" s="1048">
        <f t="shared" si="8"/>
        <v>0</v>
      </c>
      <c r="BH59" s="1052">
        <v>805.54</v>
      </c>
      <c r="BI59" s="1053"/>
      <c r="BJ59" s="1053">
        <v>12621.76</v>
      </c>
      <c r="BK59" s="1053"/>
      <c r="BL59" s="1048">
        <f t="shared" si="119"/>
        <v>13427.3</v>
      </c>
      <c r="BM59" s="1052"/>
      <c r="BN59" s="1053"/>
      <c r="BO59" s="1048">
        <f t="shared" si="120"/>
        <v>0</v>
      </c>
      <c r="BP59" s="1049"/>
      <c r="BQ59" s="1050"/>
      <c r="BR59" s="1050"/>
      <c r="BS59" s="1050"/>
      <c r="BT59" s="1053"/>
      <c r="BU59" s="1048">
        <f t="shared" si="121"/>
        <v>0</v>
      </c>
      <c r="BV59" s="1052">
        <v>572.99</v>
      </c>
      <c r="BW59" s="1053">
        <v>10644.25</v>
      </c>
      <c r="BX59" s="1053"/>
      <c r="BY59" s="1053">
        <v>541.17999999999995</v>
      </c>
      <c r="BZ59" s="1053">
        <v>1885.29</v>
      </c>
      <c r="CA59" s="1053">
        <v>3967.03</v>
      </c>
      <c r="CB59" s="1053">
        <v>837.97</v>
      </c>
      <c r="CC59" s="1048">
        <f t="shared" si="122"/>
        <v>18448.71</v>
      </c>
      <c r="CD59" s="1052"/>
      <c r="CE59" s="1053"/>
      <c r="CF59" s="1053"/>
      <c r="CG59" s="1053"/>
      <c r="CH59" s="1048">
        <f t="shared" si="123"/>
        <v>0</v>
      </c>
      <c r="CI59" s="1049"/>
      <c r="CJ59" s="1053">
        <v>499.27</v>
      </c>
      <c r="CK59" s="1053">
        <v>6429.92</v>
      </c>
      <c r="CL59" s="1053">
        <v>421.41</v>
      </c>
      <c r="CM59" s="1053">
        <v>25400.93</v>
      </c>
      <c r="CN59" s="1053">
        <v>5286</v>
      </c>
      <c r="CO59" s="1051">
        <f t="shared" si="124"/>
        <v>38037.53</v>
      </c>
      <c r="CP59" s="1052"/>
      <c r="CQ59" s="1053"/>
      <c r="CR59" s="1048">
        <f t="shared" si="125"/>
        <v>0</v>
      </c>
      <c r="CS59" s="1052">
        <v>17971</v>
      </c>
      <c r="CT59" s="1053">
        <v>8888.82</v>
      </c>
      <c r="CU59" s="1053"/>
      <c r="CV59" s="1053">
        <v>11985.83</v>
      </c>
      <c r="CW59" s="1048">
        <f t="shared" si="126"/>
        <v>38845.65</v>
      </c>
      <c r="CX59" s="1052">
        <v>737.43</v>
      </c>
      <c r="CY59" s="1048">
        <f t="shared" si="127"/>
        <v>737.43</v>
      </c>
      <c r="CZ59" s="1103">
        <f t="shared" si="128"/>
        <v>109496.62</v>
      </c>
      <c r="DA59" s="1104">
        <f t="shared" si="129"/>
        <v>588950.19363494962</v>
      </c>
      <c r="DI59" s="1042">
        <f t="shared" si="130"/>
        <v>162202.12</v>
      </c>
    </row>
    <row r="60" spans="1:113" s="1055" customFormat="1" ht="30">
      <c r="A60" s="955" t="s">
        <v>698</v>
      </c>
      <c r="B60" s="1102" t="s">
        <v>885</v>
      </c>
      <c r="C60" s="1030" t="s">
        <v>829</v>
      </c>
      <c r="D60" s="1035"/>
      <c r="E60" s="1032">
        <f t="shared" si="3"/>
        <v>0</v>
      </c>
      <c r="F60" s="1035">
        <v>0</v>
      </c>
      <c r="G60" s="1036">
        <v>9.9980000000000011</v>
      </c>
      <c r="H60" s="1032">
        <f t="shared" si="102"/>
        <v>9.9980000000000011</v>
      </c>
      <c r="I60" s="1035">
        <v>21.798000000000002</v>
      </c>
      <c r="J60" s="1032">
        <f t="shared" si="103"/>
        <v>21.798000000000002</v>
      </c>
      <c r="K60" s="1035">
        <v>0</v>
      </c>
      <c r="L60" s="1074">
        <v>0</v>
      </c>
      <c r="M60" s="1032">
        <f t="shared" si="104"/>
        <v>0</v>
      </c>
      <c r="N60" s="1035">
        <v>0</v>
      </c>
      <c r="O60" s="1036">
        <v>0</v>
      </c>
      <c r="P60" s="1032">
        <f t="shared" si="105"/>
        <v>0</v>
      </c>
      <c r="Q60" s="1035">
        <v>0</v>
      </c>
      <c r="R60" s="1036">
        <v>15.253</v>
      </c>
      <c r="S60" s="1032">
        <f t="shared" si="106"/>
        <v>15.253</v>
      </c>
      <c r="T60" s="1035">
        <v>0</v>
      </c>
      <c r="U60" s="1036">
        <v>6.1849999999999996</v>
      </c>
      <c r="V60" s="1032">
        <f t="shared" si="107"/>
        <v>6.1849999999999996</v>
      </c>
      <c r="W60" s="1037">
        <f t="shared" si="108"/>
        <v>53.234000000000009</v>
      </c>
      <c r="X60" s="1038">
        <v>0</v>
      </c>
      <c r="Y60" s="1039">
        <v>0</v>
      </c>
      <c r="Z60" s="1408">
        <v>0</v>
      </c>
      <c r="AA60" s="1040">
        <f t="shared" ref="AA60" si="132">SUM(X60:Z60)</f>
        <v>0</v>
      </c>
      <c r="AB60" s="1038">
        <v>0</v>
      </c>
      <c r="AC60" s="1039">
        <v>0</v>
      </c>
      <c r="AD60" s="1040">
        <f t="shared" si="109"/>
        <v>0</v>
      </c>
      <c r="AE60" s="1038">
        <v>0</v>
      </c>
      <c r="AF60" s="1040">
        <f t="shared" si="110"/>
        <v>0</v>
      </c>
      <c r="AG60" s="1038">
        <v>0</v>
      </c>
      <c r="AH60" s="1040">
        <f t="shared" si="111"/>
        <v>0</v>
      </c>
      <c r="AI60" s="1038">
        <v>0</v>
      </c>
      <c r="AJ60" s="1039">
        <v>0</v>
      </c>
      <c r="AK60" s="1039">
        <v>0</v>
      </c>
      <c r="AL60" s="1039">
        <v>0</v>
      </c>
      <c r="AM60" s="1041">
        <v>0</v>
      </c>
      <c r="AN60" s="1041">
        <v>0</v>
      </c>
      <c r="AO60" s="1040">
        <f t="shared" si="112"/>
        <v>0</v>
      </c>
      <c r="AP60" s="1038">
        <v>0</v>
      </c>
      <c r="AQ60" s="1040">
        <f t="shared" si="113"/>
        <v>0</v>
      </c>
      <c r="AR60" s="1038">
        <v>0</v>
      </c>
      <c r="AS60" s="1039">
        <v>0</v>
      </c>
      <c r="AT60" s="1408">
        <v>0</v>
      </c>
      <c r="AU60" s="1040">
        <f t="shared" si="131"/>
        <v>0</v>
      </c>
      <c r="AV60" s="1038">
        <v>0</v>
      </c>
      <c r="AW60" s="1039">
        <v>0</v>
      </c>
      <c r="AX60" s="1040">
        <f t="shared" si="115"/>
        <v>0</v>
      </c>
      <c r="AY60" s="1038">
        <v>0</v>
      </c>
      <c r="AZ60" s="1040">
        <f t="shared" si="116"/>
        <v>0</v>
      </c>
      <c r="BA60" s="1038">
        <v>0</v>
      </c>
      <c r="BB60" s="1039">
        <v>0</v>
      </c>
      <c r="BC60" s="1040">
        <f t="shared" si="117"/>
        <v>0</v>
      </c>
      <c r="BD60" s="1042">
        <f t="shared" si="118"/>
        <v>0</v>
      </c>
      <c r="BE60" s="1052"/>
      <c r="BF60" s="1053"/>
      <c r="BG60" s="1048">
        <f t="shared" si="8"/>
        <v>0</v>
      </c>
      <c r="BH60" s="1052"/>
      <c r="BI60" s="1053"/>
      <c r="BJ60" s="1053"/>
      <c r="BK60" s="1053"/>
      <c r="BL60" s="1048">
        <f t="shared" si="119"/>
        <v>0</v>
      </c>
      <c r="BM60" s="1052"/>
      <c r="BN60" s="1053"/>
      <c r="BO60" s="1048">
        <f t="shared" si="120"/>
        <v>0</v>
      </c>
      <c r="BP60" s="1049"/>
      <c r="BQ60" s="1050"/>
      <c r="BR60" s="1050"/>
      <c r="BS60" s="1050"/>
      <c r="BT60" s="1053"/>
      <c r="BU60" s="1048">
        <f t="shared" si="121"/>
        <v>0</v>
      </c>
      <c r="BV60" s="1052"/>
      <c r="BW60" s="1053"/>
      <c r="BX60" s="1053"/>
      <c r="BY60" s="1053"/>
      <c r="BZ60" s="1053"/>
      <c r="CA60" s="1053"/>
      <c r="CB60" s="1053"/>
      <c r="CC60" s="1048">
        <f t="shared" si="122"/>
        <v>0</v>
      </c>
      <c r="CD60" s="1052"/>
      <c r="CE60" s="1053"/>
      <c r="CF60" s="1053"/>
      <c r="CG60" s="1053"/>
      <c r="CH60" s="1048">
        <f t="shared" si="123"/>
        <v>0</v>
      </c>
      <c r="CI60" s="1049"/>
      <c r="CJ60" s="1050"/>
      <c r="CK60" s="1050"/>
      <c r="CL60" s="1050"/>
      <c r="CM60" s="1050"/>
      <c r="CN60" s="1050"/>
      <c r="CO60" s="1051">
        <f t="shared" si="124"/>
        <v>0</v>
      </c>
      <c r="CP60" s="1052"/>
      <c r="CQ60" s="1053"/>
      <c r="CR60" s="1048">
        <f t="shared" si="125"/>
        <v>0</v>
      </c>
      <c r="CS60" s="1052"/>
      <c r="CT60" s="1053"/>
      <c r="CU60" s="1053"/>
      <c r="CV60" s="1053"/>
      <c r="CW60" s="1048">
        <f t="shared" si="126"/>
        <v>0</v>
      </c>
      <c r="CX60" s="1052"/>
      <c r="CY60" s="1048">
        <f t="shared" si="127"/>
        <v>0</v>
      </c>
      <c r="CZ60" s="1103">
        <f t="shared" si="128"/>
        <v>0</v>
      </c>
      <c r="DA60" s="1104">
        <f t="shared" si="129"/>
        <v>53.234000000000009</v>
      </c>
      <c r="DI60" s="1042">
        <f t="shared" si="130"/>
        <v>0</v>
      </c>
    </row>
    <row r="61" spans="1:113" s="1134" customFormat="1">
      <c r="A61" s="1114"/>
      <c r="B61" s="1115" t="s">
        <v>887</v>
      </c>
      <c r="C61" s="1116"/>
      <c r="D61" s="1117"/>
      <c r="E61" s="1118"/>
      <c r="F61" s="1117" t="s">
        <v>816</v>
      </c>
      <c r="G61" s="1119" t="s">
        <v>816</v>
      </c>
      <c r="H61" s="1118"/>
      <c r="I61" s="1117" t="s">
        <v>816</v>
      </c>
      <c r="J61" s="1118"/>
      <c r="K61" s="1117" t="s">
        <v>816</v>
      </c>
      <c r="L61" s="1120" t="s">
        <v>816</v>
      </c>
      <c r="M61" s="1118"/>
      <c r="N61" s="1117" t="s">
        <v>816</v>
      </c>
      <c r="O61" s="1119" t="s">
        <v>816</v>
      </c>
      <c r="P61" s="1118"/>
      <c r="Q61" s="1117" t="s">
        <v>816</v>
      </c>
      <c r="R61" s="1119" t="s">
        <v>816</v>
      </c>
      <c r="S61" s="1118"/>
      <c r="T61" s="1117" t="s">
        <v>816</v>
      </c>
      <c r="U61" s="1119" t="s">
        <v>816</v>
      </c>
      <c r="V61" s="1118"/>
      <c r="W61" s="1121"/>
      <c r="X61" s="1122"/>
      <c r="Y61" s="1123"/>
      <c r="Z61" s="1407"/>
      <c r="AA61" s="1124"/>
      <c r="AB61" s="1122"/>
      <c r="AC61" s="1123"/>
      <c r="AD61" s="1124"/>
      <c r="AE61" s="1122"/>
      <c r="AF61" s="1124"/>
      <c r="AG61" s="1122"/>
      <c r="AH61" s="1124"/>
      <c r="AI61" s="1122"/>
      <c r="AJ61" s="1123"/>
      <c r="AK61" s="1123"/>
      <c r="AL61" s="1123"/>
      <c r="AM61" s="1125"/>
      <c r="AN61" s="1125"/>
      <c r="AO61" s="1124"/>
      <c r="AP61" s="1122"/>
      <c r="AQ61" s="1124"/>
      <c r="AR61" s="1122"/>
      <c r="AS61" s="1123"/>
      <c r="AT61" s="1407"/>
      <c r="AU61" s="1124"/>
      <c r="AV61" s="1122"/>
      <c r="AW61" s="1123"/>
      <c r="AX61" s="1124"/>
      <c r="AY61" s="1122"/>
      <c r="AZ61" s="1124"/>
      <c r="BA61" s="1122"/>
      <c r="BB61" s="1123"/>
      <c r="BC61" s="1124"/>
      <c r="BD61" s="1126"/>
      <c r="BE61" s="1127"/>
      <c r="BF61" s="1128"/>
      <c r="BG61" s="1129"/>
      <c r="BH61" s="1127"/>
      <c r="BI61" s="1128"/>
      <c r="BJ61" s="1128"/>
      <c r="BK61" s="1128"/>
      <c r="BL61" s="1129">
        <f t="shared" si="119"/>
        <v>0</v>
      </c>
      <c r="BM61" s="1127"/>
      <c r="BN61" s="1128"/>
      <c r="BO61" s="1129"/>
      <c r="BP61" s="1130"/>
      <c r="BQ61" s="1131"/>
      <c r="BR61" s="1131"/>
      <c r="BS61" s="1131"/>
      <c r="BT61" s="1128"/>
      <c r="BU61" s="1129"/>
      <c r="BV61" s="1127"/>
      <c r="BW61" s="1128"/>
      <c r="BX61" s="1128"/>
      <c r="BY61" s="1128"/>
      <c r="BZ61" s="1128"/>
      <c r="CA61" s="1128"/>
      <c r="CB61" s="1128"/>
      <c r="CC61" s="1129"/>
      <c r="CD61" s="1127"/>
      <c r="CE61" s="1128"/>
      <c r="CF61" s="1128"/>
      <c r="CG61" s="1128"/>
      <c r="CH61" s="1129"/>
      <c r="CI61" s="1130"/>
      <c r="CJ61" s="1131"/>
      <c r="CK61" s="1131"/>
      <c r="CL61" s="1131"/>
      <c r="CM61" s="1131"/>
      <c r="CN61" s="1131"/>
      <c r="CO61" s="1132"/>
      <c r="CP61" s="1127"/>
      <c r="CQ61" s="1128"/>
      <c r="CR61" s="1129"/>
      <c r="CS61" s="1127"/>
      <c r="CT61" s="1128"/>
      <c r="CU61" s="1128"/>
      <c r="CV61" s="1128"/>
      <c r="CW61" s="1129"/>
      <c r="CX61" s="1127"/>
      <c r="CY61" s="1129"/>
      <c r="CZ61" s="1129"/>
      <c r="DA61" s="1133"/>
      <c r="DI61" s="1126"/>
    </row>
    <row r="62" spans="1:113" s="1055" customFormat="1">
      <c r="A62" s="955" t="s">
        <v>415</v>
      </c>
      <c r="B62" s="1102" t="s">
        <v>858</v>
      </c>
      <c r="C62" s="1030" t="s">
        <v>111</v>
      </c>
      <c r="D62" s="1035"/>
      <c r="E62" s="1032">
        <f t="shared" si="3"/>
        <v>0</v>
      </c>
      <c r="F62" s="1035">
        <v>0</v>
      </c>
      <c r="G62" s="1036">
        <v>0</v>
      </c>
      <c r="H62" s="1032">
        <f t="shared" ref="H62:H67" si="133">+IF(C62="", 0,SUM(F62:G62))</f>
        <v>0</v>
      </c>
      <c r="I62" s="1035">
        <v>0</v>
      </c>
      <c r="J62" s="1032">
        <f t="shared" ref="J62:J67" si="134">+IF(C62="", 0,I62)</f>
        <v>0</v>
      </c>
      <c r="K62" s="1035">
        <v>0</v>
      </c>
      <c r="L62" s="1074">
        <v>0</v>
      </c>
      <c r="M62" s="1032">
        <f t="shared" ref="M62:M67" si="135">+IF(C62="",0,K62+L62)</f>
        <v>0</v>
      </c>
      <c r="N62" s="1035">
        <v>0</v>
      </c>
      <c r="O62" s="1036">
        <v>0</v>
      </c>
      <c r="P62" s="1032">
        <f t="shared" ref="P62:P67" si="136">+IF(C62="", 0,SUM(N62:O62))</f>
        <v>0</v>
      </c>
      <c r="Q62" s="1035">
        <v>0</v>
      </c>
      <c r="R62" s="1036">
        <v>0</v>
      </c>
      <c r="S62" s="1032">
        <f t="shared" ref="S62:S67" si="137">+IF(C62="",0,SUM(Q62:R62))</f>
        <v>0</v>
      </c>
      <c r="T62" s="1035">
        <v>0</v>
      </c>
      <c r="U62" s="1036">
        <v>0</v>
      </c>
      <c r="V62" s="1032">
        <f t="shared" ref="V62:V67" si="138">+IF(C62="",0,SUM(T62:U62))</f>
        <v>0</v>
      </c>
      <c r="W62" s="1037">
        <f t="shared" ref="W62:W67" si="139">+IF(C62="",0,E62+H62+J62+M62+P62+S62+V62)</f>
        <v>0</v>
      </c>
      <c r="X62" s="1038">
        <v>0</v>
      </c>
      <c r="Y62" s="1039">
        <v>0</v>
      </c>
      <c r="Z62" s="1408">
        <v>0</v>
      </c>
      <c r="AA62" s="1040">
        <f t="shared" ref="AA62:AA67" si="140">SUM(X62:Z62)</f>
        <v>0</v>
      </c>
      <c r="AB62" s="1038">
        <v>0</v>
      </c>
      <c r="AC62" s="1039">
        <v>0</v>
      </c>
      <c r="AD62" s="1040">
        <f t="shared" ref="AD62:AD67" si="141">SUM(AB62:AC62)</f>
        <v>0</v>
      </c>
      <c r="AE62" s="1038">
        <v>0</v>
      </c>
      <c r="AF62" s="1040">
        <f t="shared" ref="AF62:AF67" si="142">+AE62</f>
        <v>0</v>
      </c>
      <c r="AG62" s="1038">
        <v>0</v>
      </c>
      <c r="AH62" s="1040">
        <f t="shared" ref="AH62:AH67" si="143">+AG62</f>
        <v>0</v>
      </c>
      <c r="AI62" s="1038">
        <v>0</v>
      </c>
      <c r="AJ62" s="1039">
        <v>0</v>
      </c>
      <c r="AK62" s="1039">
        <v>0</v>
      </c>
      <c r="AL62" s="1039">
        <v>0</v>
      </c>
      <c r="AM62" s="1041">
        <v>0</v>
      </c>
      <c r="AN62" s="1041">
        <v>0</v>
      </c>
      <c r="AO62" s="1040">
        <f t="shared" ref="AO62:AO67" si="144">SUM(AI62:AN62)</f>
        <v>0</v>
      </c>
      <c r="AP62" s="1038">
        <v>0</v>
      </c>
      <c r="AQ62" s="1040">
        <f t="shared" ref="AQ62:AQ67" si="145">+AP62</f>
        <v>0</v>
      </c>
      <c r="AR62" s="1038">
        <v>0</v>
      </c>
      <c r="AS62" s="1039">
        <v>0</v>
      </c>
      <c r="AT62" s="1408">
        <v>0</v>
      </c>
      <c r="AU62" s="1040">
        <f t="shared" si="131"/>
        <v>0</v>
      </c>
      <c r="AV62" s="1038">
        <v>0</v>
      </c>
      <c r="AW62" s="1039">
        <v>0</v>
      </c>
      <c r="AX62" s="1040">
        <f t="shared" ref="AX62:AX67" si="146">SUM(AV62:AW62)</f>
        <v>0</v>
      </c>
      <c r="AY62" s="1038">
        <v>0</v>
      </c>
      <c r="AZ62" s="1040">
        <f t="shared" ref="AZ62:AZ67" si="147">+AY62</f>
        <v>0</v>
      </c>
      <c r="BA62" s="1038">
        <v>0</v>
      </c>
      <c r="BB62" s="1039">
        <v>0</v>
      </c>
      <c r="BC62" s="1040">
        <f t="shared" ref="BC62:BC67" si="148">SUM(BA62:BB62)</f>
        <v>0</v>
      </c>
      <c r="BD62" s="1042">
        <f t="shared" ref="BD62:BD67" si="149">+IF(C62="",0,BC62+AZ62+AX62+AU62+AQ62+AO62+AH62+AF62+AD62+AA62)</f>
        <v>0</v>
      </c>
      <c r="BE62" s="1052"/>
      <c r="BF62" s="1053"/>
      <c r="BG62" s="1048">
        <f t="shared" si="8"/>
        <v>0</v>
      </c>
      <c r="BH62" s="1052">
        <v>144.86000000000001</v>
      </c>
      <c r="BI62" s="1053"/>
      <c r="BJ62" s="1053"/>
      <c r="BK62" s="1053"/>
      <c r="BL62" s="1048">
        <f t="shared" si="119"/>
        <v>144.86000000000001</v>
      </c>
      <c r="BM62" s="1052"/>
      <c r="BN62" s="1053"/>
      <c r="BO62" s="1048">
        <f t="shared" ref="BO62:BO67" si="150">+BM62+BN62</f>
        <v>0</v>
      </c>
      <c r="BP62" s="1049"/>
      <c r="BQ62" s="1050"/>
      <c r="BR62" s="1050"/>
      <c r="BS62" s="1050"/>
      <c r="BT62" s="1053"/>
      <c r="BU62" s="1048">
        <f t="shared" ref="BU62:BU67" si="151">+SUM(BP62:BT62)</f>
        <v>0</v>
      </c>
      <c r="BV62" s="1052"/>
      <c r="BW62" s="1053"/>
      <c r="BX62" s="1053"/>
      <c r="BY62" s="1053"/>
      <c r="BZ62" s="1053"/>
      <c r="CA62" s="1053"/>
      <c r="CB62" s="1053"/>
      <c r="CC62" s="1048">
        <f t="shared" ref="CC62:CC66" si="152">+SUM(BV62:CB62)</f>
        <v>0</v>
      </c>
      <c r="CD62" s="1052">
        <v>7.8</v>
      </c>
      <c r="CE62" s="1053">
        <v>83.95</v>
      </c>
      <c r="CF62" s="1053">
        <v>45.7</v>
      </c>
      <c r="CG62" s="1053">
        <v>25.19</v>
      </c>
      <c r="CH62" s="1048">
        <f t="shared" ref="CH62:CH67" si="153">+SUM(CD62:CG62)</f>
        <v>162.63999999999999</v>
      </c>
      <c r="CI62" s="1049"/>
      <c r="CJ62" s="1050"/>
      <c r="CK62" s="1050"/>
      <c r="CL62" s="1050"/>
      <c r="CM62" s="1050"/>
      <c r="CN62" s="1050"/>
      <c r="CO62" s="1051">
        <f t="shared" ref="CO62:CO80" si="154">+SUM(CI62:CN62)</f>
        <v>0</v>
      </c>
      <c r="CP62" s="1052">
        <v>14</v>
      </c>
      <c r="CQ62" s="1053">
        <v>92.21</v>
      </c>
      <c r="CR62" s="1048">
        <f t="shared" ref="CR62:CR67" si="155">+SUM(CP62:CQ62)</f>
        <v>106.21</v>
      </c>
      <c r="CS62" s="1052">
        <v>306.75</v>
      </c>
      <c r="CT62" s="1053">
        <v>187</v>
      </c>
      <c r="CU62" s="1053">
        <v>31.5</v>
      </c>
      <c r="CV62" s="1053">
        <v>200.63</v>
      </c>
      <c r="CW62" s="1048">
        <f t="shared" ref="CW62:CW67" si="156">+SUM(CS62:CV62)</f>
        <v>725.88</v>
      </c>
      <c r="CX62" s="1052">
        <v>19.559999999999999</v>
      </c>
      <c r="CY62" s="1048">
        <f t="shared" ref="CY62:CY67" si="157">+CX62</f>
        <v>19.559999999999999</v>
      </c>
      <c r="CZ62" s="1103">
        <f t="shared" ref="CZ62:CZ67" si="158">+IF(C62="",0,CY62+CR62+CH62+BU62+BO62+BL62+CO62+CW62+CC62+BG62)</f>
        <v>1159.1500000000001</v>
      </c>
      <c r="DA62" s="1104">
        <f t="shared" ref="DA62:DA67" si="159">IF(C62="",0,CZ62+BD62+W62)</f>
        <v>1159.1500000000001</v>
      </c>
      <c r="DI62" s="1042">
        <f t="shared" ref="DI62:DI67" si="160">+IF(BH62="",0,DH62+DE62+DC62+CZ62+CV62+CT62+CM62+CK62+CI62+CF62)</f>
        <v>1592.4800000000002</v>
      </c>
    </row>
    <row r="63" spans="1:113" s="1055" customFormat="1">
      <c r="A63" s="955" t="s">
        <v>416</v>
      </c>
      <c r="B63" s="1102" t="s">
        <v>1365</v>
      </c>
      <c r="C63" s="1030" t="s">
        <v>111</v>
      </c>
      <c r="D63" s="1035"/>
      <c r="E63" s="1032">
        <f t="shared" si="3"/>
        <v>0</v>
      </c>
      <c r="F63" s="1035">
        <v>0</v>
      </c>
      <c r="G63" s="1036">
        <v>0</v>
      </c>
      <c r="H63" s="1032">
        <f t="shared" si="133"/>
        <v>0</v>
      </c>
      <c r="I63" s="1035">
        <v>0</v>
      </c>
      <c r="J63" s="1032">
        <f t="shared" si="134"/>
        <v>0</v>
      </c>
      <c r="K63" s="1035">
        <v>0</v>
      </c>
      <c r="L63" s="1074">
        <v>0</v>
      </c>
      <c r="M63" s="1032">
        <f t="shared" si="135"/>
        <v>0</v>
      </c>
      <c r="N63" s="1035">
        <v>0</v>
      </c>
      <c r="O63" s="1036">
        <v>0</v>
      </c>
      <c r="P63" s="1032">
        <f t="shared" si="136"/>
        <v>0</v>
      </c>
      <c r="Q63" s="1035">
        <v>0</v>
      </c>
      <c r="R63" s="1036">
        <v>0</v>
      </c>
      <c r="S63" s="1032">
        <f t="shared" si="137"/>
        <v>0</v>
      </c>
      <c r="T63" s="1035">
        <v>0</v>
      </c>
      <c r="U63" s="1036">
        <v>0</v>
      </c>
      <c r="V63" s="1032">
        <f t="shared" si="138"/>
        <v>0</v>
      </c>
      <c r="W63" s="1037">
        <f t="shared" si="139"/>
        <v>0</v>
      </c>
      <c r="X63" s="1038">
        <v>0</v>
      </c>
      <c r="Y63" s="1039">
        <v>0</v>
      </c>
      <c r="Z63" s="1408">
        <v>0</v>
      </c>
      <c r="AA63" s="1040">
        <f t="shared" si="140"/>
        <v>0</v>
      </c>
      <c r="AB63" s="1038">
        <v>0</v>
      </c>
      <c r="AC63" s="1039">
        <v>0</v>
      </c>
      <c r="AD63" s="1040">
        <f t="shared" si="141"/>
        <v>0</v>
      </c>
      <c r="AE63" s="1038">
        <v>0</v>
      </c>
      <c r="AF63" s="1040">
        <f t="shared" si="142"/>
        <v>0</v>
      </c>
      <c r="AG63" s="1038">
        <v>0</v>
      </c>
      <c r="AH63" s="1040">
        <f t="shared" si="143"/>
        <v>0</v>
      </c>
      <c r="AI63" s="1038">
        <v>0</v>
      </c>
      <c r="AJ63" s="1039">
        <v>0</v>
      </c>
      <c r="AK63" s="1039">
        <v>0</v>
      </c>
      <c r="AL63" s="1039">
        <v>0</v>
      </c>
      <c r="AM63" s="1041">
        <v>0</v>
      </c>
      <c r="AN63" s="1041">
        <v>0</v>
      </c>
      <c r="AO63" s="1040">
        <f t="shared" si="144"/>
        <v>0</v>
      </c>
      <c r="AP63" s="1038">
        <v>0</v>
      </c>
      <c r="AQ63" s="1040">
        <f t="shared" si="145"/>
        <v>0</v>
      </c>
      <c r="AR63" s="1038">
        <v>0</v>
      </c>
      <c r="AS63" s="1039">
        <v>0</v>
      </c>
      <c r="AT63" s="1408">
        <v>0</v>
      </c>
      <c r="AU63" s="1040">
        <f t="shared" si="131"/>
        <v>0</v>
      </c>
      <c r="AV63" s="1038">
        <v>0</v>
      </c>
      <c r="AW63" s="1039">
        <v>0</v>
      </c>
      <c r="AX63" s="1040">
        <f t="shared" si="146"/>
        <v>0</v>
      </c>
      <c r="AY63" s="1038">
        <v>0</v>
      </c>
      <c r="AZ63" s="1040">
        <f t="shared" si="147"/>
        <v>0</v>
      </c>
      <c r="BA63" s="1038">
        <v>0</v>
      </c>
      <c r="BB63" s="1039">
        <v>0</v>
      </c>
      <c r="BC63" s="1040">
        <f t="shared" si="148"/>
        <v>0</v>
      </c>
      <c r="BD63" s="1042">
        <f t="shared" si="149"/>
        <v>0</v>
      </c>
      <c r="BE63" s="1052"/>
      <c r="BF63" s="1053"/>
      <c r="BG63" s="1048">
        <f t="shared" si="8"/>
        <v>0</v>
      </c>
      <c r="BH63" s="1052"/>
      <c r="BI63" s="1053"/>
      <c r="BJ63" s="1053"/>
      <c r="BK63" s="1053"/>
      <c r="BL63" s="1048">
        <f t="shared" si="119"/>
        <v>0</v>
      </c>
      <c r="BM63" s="1052"/>
      <c r="BN63" s="1053"/>
      <c r="BO63" s="1048">
        <f t="shared" si="150"/>
        <v>0</v>
      </c>
      <c r="BP63" s="1049"/>
      <c r="BQ63" s="1050"/>
      <c r="BR63" s="1050"/>
      <c r="BS63" s="1050"/>
      <c r="BT63" s="1053"/>
      <c r="BU63" s="1048">
        <f t="shared" si="151"/>
        <v>0</v>
      </c>
      <c r="BV63" s="1052"/>
      <c r="BW63" s="1053"/>
      <c r="BX63" s="1053"/>
      <c r="BY63" s="1053"/>
      <c r="BZ63" s="1053"/>
      <c r="CA63" s="1053"/>
      <c r="CB63" s="1053"/>
      <c r="CC63" s="1048">
        <f t="shared" si="152"/>
        <v>0</v>
      </c>
      <c r="CD63" s="1052">
        <v>7.8</v>
      </c>
      <c r="CE63" s="1053">
        <v>83.95</v>
      </c>
      <c r="CF63" s="1053">
        <v>45.7</v>
      </c>
      <c r="CG63" s="1053">
        <v>25.19</v>
      </c>
      <c r="CH63" s="1048">
        <f t="shared" si="153"/>
        <v>162.63999999999999</v>
      </c>
      <c r="CI63" s="1049"/>
      <c r="CJ63" s="1050"/>
      <c r="CK63" s="1050"/>
      <c r="CL63" s="1050"/>
      <c r="CM63" s="1050"/>
      <c r="CN63" s="1050"/>
      <c r="CO63" s="1051">
        <f t="shared" si="154"/>
        <v>0</v>
      </c>
      <c r="CP63" s="1052"/>
      <c r="CQ63" s="1053"/>
      <c r="CR63" s="1048">
        <f t="shared" si="155"/>
        <v>0</v>
      </c>
      <c r="CS63" s="1052"/>
      <c r="CT63" s="1053"/>
      <c r="CU63" s="1053"/>
      <c r="CV63" s="1053"/>
      <c r="CW63" s="1048">
        <f t="shared" si="156"/>
        <v>0</v>
      </c>
      <c r="CX63" s="1052"/>
      <c r="CY63" s="1048">
        <f t="shared" si="157"/>
        <v>0</v>
      </c>
      <c r="CZ63" s="1103">
        <f t="shared" si="158"/>
        <v>162.63999999999999</v>
      </c>
      <c r="DA63" s="1104">
        <f t="shared" si="159"/>
        <v>162.63999999999999</v>
      </c>
      <c r="DI63" s="1042">
        <f t="shared" si="160"/>
        <v>0</v>
      </c>
    </row>
    <row r="64" spans="1:113" s="1055" customFormat="1">
      <c r="A64" s="955" t="s">
        <v>417</v>
      </c>
      <c r="B64" s="1102" t="s">
        <v>862</v>
      </c>
      <c r="C64" s="1030" t="s">
        <v>111</v>
      </c>
      <c r="D64" s="1035"/>
      <c r="E64" s="1032">
        <f t="shared" si="3"/>
        <v>0</v>
      </c>
      <c r="F64" s="1035">
        <v>0</v>
      </c>
      <c r="G64" s="1036">
        <v>0</v>
      </c>
      <c r="H64" s="1032">
        <f t="shared" si="133"/>
        <v>0</v>
      </c>
      <c r="I64" s="1035">
        <v>0</v>
      </c>
      <c r="J64" s="1032">
        <f t="shared" si="134"/>
        <v>0</v>
      </c>
      <c r="K64" s="1035">
        <v>0</v>
      </c>
      <c r="L64" s="1074">
        <v>0</v>
      </c>
      <c r="M64" s="1032">
        <f t="shared" si="135"/>
        <v>0</v>
      </c>
      <c r="N64" s="1035">
        <v>0</v>
      </c>
      <c r="O64" s="1036">
        <v>0</v>
      </c>
      <c r="P64" s="1032">
        <f t="shared" si="136"/>
        <v>0</v>
      </c>
      <c r="Q64" s="1035">
        <v>0</v>
      </c>
      <c r="R64" s="1036">
        <v>0</v>
      </c>
      <c r="S64" s="1032">
        <f t="shared" si="137"/>
        <v>0</v>
      </c>
      <c r="T64" s="1035">
        <v>0</v>
      </c>
      <c r="U64" s="1036">
        <v>0</v>
      </c>
      <c r="V64" s="1032">
        <f t="shared" si="138"/>
        <v>0</v>
      </c>
      <c r="W64" s="1037">
        <f t="shared" si="139"/>
        <v>0</v>
      </c>
      <c r="X64" s="1038">
        <v>194.3</v>
      </c>
      <c r="Y64" s="1039">
        <v>550.80000000000007</v>
      </c>
      <c r="Z64" s="1408">
        <v>292</v>
      </c>
      <c r="AA64" s="1040">
        <f t="shared" ref="AA64:AA65" si="161">SUM(Z64)</f>
        <v>292</v>
      </c>
      <c r="AB64" s="1038">
        <v>262.29000000000002</v>
      </c>
      <c r="AC64" s="1039">
        <v>380.1</v>
      </c>
      <c r="AD64" s="1040">
        <f t="shared" si="141"/>
        <v>642.3900000000001</v>
      </c>
      <c r="AE64" s="1038">
        <v>1672</v>
      </c>
      <c r="AF64" s="1040">
        <f t="shared" si="142"/>
        <v>1672</v>
      </c>
      <c r="AG64" s="1038">
        <v>3046.1</v>
      </c>
      <c r="AH64" s="1040">
        <f t="shared" si="143"/>
        <v>3046.1</v>
      </c>
      <c r="AI64" s="1038">
        <v>0</v>
      </c>
      <c r="AJ64" s="1039">
        <v>0</v>
      </c>
      <c r="AK64" s="1039">
        <v>0</v>
      </c>
      <c r="AL64" s="1039">
        <v>0</v>
      </c>
      <c r="AM64" s="1041">
        <v>0</v>
      </c>
      <c r="AN64" s="1041">
        <v>0</v>
      </c>
      <c r="AO64" s="1040">
        <f t="shared" si="144"/>
        <v>0</v>
      </c>
      <c r="AP64" s="1038">
        <v>4060.9</v>
      </c>
      <c r="AQ64" s="1040">
        <f t="shared" si="145"/>
        <v>4060.9</v>
      </c>
      <c r="AR64" s="1038">
        <v>240</v>
      </c>
      <c r="AS64" s="1039">
        <v>1267.4000000000001</v>
      </c>
      <c r="AT64" s="1408">
        <v>433.65000000000003</v>
      </c>
      <c r="AU64" s="1040">
        <f t="shared" si="131"/>
        <v>433.65000000000003</v>
      </c>
      <c r="AV64" s="1038">
        <v>24</v>
      </c>
      <c r="AW64" s="1039">
        <v>2194.4</v>
      </c>
      <c r="AX64" s="1040">
        <f t="shared" si="146"/>
        <v>2218.4</v>
      </c>
      <c r="AY64" s="1038">
        <v>646.80000000000007</v>
      </c>
      <c r="AZ64" s="1040">
        <f t="shared" si="147"/>
        <v>646.80000000000007</v>
      </c>
      <c r="BA64" s="1038">
        <v>1298.6999999999998</v>
      </c>
      <c r="BB64" s="1039">
        <v>749.2</v>
      </c>
      <c r="BC64" s="1040">
        <f t="shared" si="148"/>
        <v>2047.8999999999999</v>
      </c>
      <c r="BD64" s="1042">
        <f t="shared" si="149"/>
        <v>15060.14</v>
      </c>
      <c r="BE64" s="1052"/>
      <c r="BF64" s="1053"/>
      <c r="BG64" s="1048">
        <f t="shared" si="8"/>
        <v>0</v>
      </c>
      <c r="BH64" s="1052"/>
      <c r="BI64" s="1053"/>
      <c r="BJ64" s="1053"/>
      <c r="BK64" s="1053"/>
      <c r="BL64" s="1048">
        <f t="shared" si="119"/>
        <v>0</v>
      </c>
      <c r="BM64" s="1052"/>
      <c r="BN64" s="1053"/>
      <c r="BO64" s="1048">
        <f t="shared" si="150"/>
        <v>0</v>
      </c>
      <c r="BP64" s="1049"/>
      <c r="BQ64" s="1050"/>
      <c r="BR64" s="1050"/>
      <c r="BS64" s="1050"/>
      <c r="BT64" s="1053"/>
      <c r="BU64" s="1048">
        <f t="shared" si="151"/>
        <v>0</v>
      </c>
      <c r="BV64" s="1052"/>
      <c r="BW64" s="1053"/>
      <c r="BX64" s="1053"/>
      <c r="BY64" s="1053"/>
      <c r="BZ64" s="1053"/>
      <c r="CA64" s="1053"/>
      <c r="CB64" s="1053"/>
      <c r="CC64" s="1048">
        <f t="shared" si="152"/>
        <v>0</v>
      </c>
      <c r="CD64" s="1052">
        <v>7.8</v>
      </c>
      <c r="CE64" s="1053">
        <v>83.95</v>
      </c>
      <c r="CF64" s="1053">
        <v>45.7</v>
      </c>
      <c r="CG64" s="1053">
        <v>25.19</v>
      </c>
      <c r="CH64" s="1048">
        <f t="shared" si="153"/>
        <v>162.63999999999999</v>
      </c>
      <c r="CI64" s="1049"/>
      <c r="CJ64" s="1050"/>
      <c r="CK64" s="1050"/>
      <c r="CL64" s="1050"/>
      <c r="CM64" s="1050"/>
      <c r="CN64" s="1050"/>
      <c r="CO64" s="1051">
        <f t="shared" si="154"/>
        <v>0</v>
      </c>
      <c r="CP64" s="1052"/>
      <c r="CQ64" s="1053"/>
      <c r="CR64" s="1048">
        <f t="shared" si="155"/>
        <v>0</v>
      </c>
      <c r="CS64" s="1052"/>
      <c r="CT64" s="1053"/>
      <c r="CU64" s="1053"/>
      <c r="CV64" s="1053"/>
      <c r="CW64" s="1048">
        <f t="shared" si="156"/>
        <v>0</v>
      </c>
      <c r="CX64" s="1052"/>
      <c r="CY64" s="1048">
        <f t="shared" si="157"/>
        <v>0</v>
      </c>
      <c r="CZ64" s="1103">
        <f t="shared" si="158"/>
        <v>162.63999999999999</v>
      </c>
      <c r="DA64" s="1104">
        <f t="shared" si="159"/>
        <v>15222.779999999999</v>
      </c>
      <c r="DI64" s="1042">
        <f t="shared" si="160"/>
        <v>0</v>
      </c>
    </row>
    <row r="65" spans="1:113" s="1055" customFormat="1" ht="30">
      <c r="A65" s="955" t="s">
        <v>300</v>
      </c>
      <c r="B65" s="1102" t="s">
        <v>1371</v>
      </c>
      <c r="C65" s="1030" t="s">
        <v>111</v>
      </c>
      <c r="D65" s="1035"/>
      <c r="E65" s="1032">
        <f t="shared" si="3"/>
        <v>0</v>
      </c>
      <c r="F65" s="1035">
        <v>36.800000000000004</v>
      </c>
      <c r="G65" s="1036">
        <v>1698.7200000000003</v>
      </c>
      <c r="H65" s="1032">
        <f t="shared" si="133"/>
        <v>1735.5200000000002</v>
      </c>
      <c r="I65" s="1035">
        <v>0</v>
      </c>
      <c r="J65" s="1032">
        <f t="shared" si="134"/>
        <v>0</v>
      </c>
      <c r="K65" s="1035">
        <v>0</v>
      </c>
      <c r="L65" s="1074">
        <v>0</v>
      </c>
      <c r="M65" s="1032">
        <f t="shared" si="135"/>
        <v>0</v>
      </c>
      <c r="N65" s="1035">
        <v>670.4</v>
      </c>
      <c r="O65" s="1036">
        <v>496.8</v>
      </c>
      <c r="P65" s="1032">
        <f t="shared" si="136"/>
        <v>1167.2</v>
      </c>
      <c r="Q65" s="1035">
        <v>0</v>
      </c>
      <c r="R65" s="1036">
        <v>0</v>
      </c>
      <c r="S65" s="1032">
        <f t="shared" si="137"/>
        <v>0</v>
      </c>
      <c r="T65" s="1035">
        <v>190.4</v>
      </c>
      <c r="U65" s="1036">
        <v>480</v>
      </c>
      <c r="V65" s="1032">
        <f t="shared" si="138"/>
        <v>670.4</v>
      </c>
      <c r="W65" s="1037">
        <f t="shared" si="139"/>
        <v>3573.1200000000003</v>
      </c>
      <c r="X65" s="1038">
        <v>0</v>
      </c>
      <c r="Y65" s="1039">
        <v>19.200000000000003</v>
      </c>
      <c r="Z65" s="1408">
        <v>0</v>
      </c>
      <c r="AA65" s="1040">
        <f t="shared" si="161"/>
        <v>0</v>
      </c>
      <c r="AB65" s="1038">
        <v>199.84000000000003</v>
      </c>
      <c r="AC65" s="1039">
        <v>289.60000000000008</v>
      </c>
      <c r="AD65" s="1040">
        <f t="shared" si="141"/>
        <v>489.44000000000011</v>
      </c>
      <c r="AE65" s="1038">
        <v>0</v>
      </c>
      <c r="AF65" s="1040">
        <f t="shared" si="142"/>
        <v>0</v>
      </c>
      <c r="AG65" s="1038">
        <v>81.600000000000023</v>
      </c>
      <c r="AH65" s="1040">
        <f t="shared" si="143"/>
        <v>81.600000000000023</v>
      </c>
      <c r="AI65" s="1038">
        <v>0</v>
      </c>
      <c r="AJ65" s="1039">
        <v>32.000000000000007</v>
      </c>
      <c r="AK65" s="1039">
        <v>0</v>
      </c>
      <c r="AL65" s="1039">
        <v>0</v>
      </c>
      <c r="AM65" s="1041">
        <v>0</v>
      </c>
      <c r="AN65" s="1041">
        <v>0</v>
      </c>
      <c r="AO65" s="1040">
        <f>AI65+AM65+AN65</f>
        <v>0</v>
      </c>
      <c r="AP65" s="1038">
        <v>46.400000000000006</v>
      </c>
      <c r="AQ65" s="1040">
        <f t="shared" si="145"/>
        <v>46.400000000000006</v>
      </c>
      <c r="AR65" s="1038">
        <v>0</v>
      </c>
      <c r="AS65" s="1039">
        <v>0</v>
      </c>
      <c r="AT65" s="1408">
        <v>68.000000000000014</v>
      </c>
      <c r="AU65" s="1040">
        <f t="shared" si="131"/>
        <v>68.000000000000014</v>
      </c>
      <c r="AV65" s="1038">
        <v>0</v>
      </c>
      <c r="AW65" s="1039">
        <v>0</v>
      </c>
      <c r="AX65" s="1040">
        <f t="shared" si="146"/>
        <v>0</v>
      </c>
      <c r="AY65" s="1038">
        <v>492.80000000000013</v>
      </c>
      <c r="AZ65" s="1040">
        <f t="shared" si="147"/>
        <v>492.80000000000013</v>
      </c>
      <c r="BA65" s="1038">
        <v>120.00000000000001</v>
      </c>
      <c r="BB65" s="1039">
        <v>0</v>
      </c>
      <c r="BC65" s="1040">
        <f t="shared" si="148"/>
        <v>120.00000000000001</v>
      </c>
      <c r="BD65" s="1042">
        <f t="shared" si="149"/>
        <v>1298.2400000000002</v>
      </c>
      <c r="BE65" s="1052"/>
      <c r="BF65" s="1053"/>
      <c r="BG65" s="1048">
        <f t="shared" si="8"/>
        <v>0</v>
      </c>
      <c r="BH65" s="1052">
        <v>1.04</v>
      </c>
      <c r="BI65" s="1053"/>
      <c r="BJ65" s="1053">
        <v>6.3</v>
      </c>
      <c r="BK65" s="1053"/>
      <c r="BL65" s="1048">
        <f t="shared" si="119"/>
        <v>7.34</v>
      </c>
      <c r="BM65" s="1052">
        <v>1.57</v>
      </c>
      <c r="BN65" s="1053">
        <v>0.2</v>
      </c>
      <c r="BO65" s="1048">
        <f t="shared" si="150"/>
        <v>1.77</v>
      </c>
      <c r="BP65" s="1049"/>
      <c r="BQ65" s="1050"/>
      <c r="BR65" s="1050"/>
      <c r="BS65" s="1050"/>
      <c r="BT65" s="1053"/>
      <c r="BU65" s="1048">
        <f t="shared" si="151"/>
        <v>0</v>
      </c>
      <c r="BV65" s="1052">
        <v>0.22</v>
      </c>
      <c r="BW65" s="1053"/>
      <c r="BX65" s="1053"/>
      <c r="BY65" s="1053">
        <v>0.47</v>
      </c>
      <c r="BZ65" s="1053">
        <v>2.0499999999999998</v>
      </c>
      <c r="CA65" s="1053">
        <v>2.09</v>
      </c>
      <c r="CB65" s="1053">
        <v>1.17</v>
      </c>
      <c r="CC65" s="1048">
        <f t="shared" si="152"/>
        <v>6</v>
      </c>
      <c r="CD65" s="1052"/>
      <c r="CE65" s="1053"/>
      <c r="CF65" s="1053"/>
      <c r="CG65" s="1053"/>
      <c r="CH65" s="1048">
        <f t="shared" si="153"/>
        <v>0</v>
      </c>
      <c r="CI65" s="1049"/>
      <c r="CJ65" s="1050"/>
      <c r="CK65" s="1050"/>
      <c r="CL65" s="1050"/>
      <c r="CM65" s="1050"/>
      <c r="CN65" s="1050"/>
      <c r="CO65" s="1051">
        <f t="shared" si="154"/>
        <v>0</v>
      </c>
      <c r="CP65" s="1052"/>
      <c r="CQ65" s="1053"/>
      <c r="CR65" s="1048">
        <f t="shared" si="155"/>
        <v>0</v>
      </c>
      <c r="CS65" s="1052"/>
      <c r="CT65" s="1053"/>
      <c r="CU65" s="1053"/>
      <c r="CV65" s="1053"/>
      <c r="CW65" s="1048">
        <f t="shared" si="156"/>
        <v>0</v>
      </c>
      <c r="CX65" s="1052"/>
      <c r="CY65" s="1048">
        <f t="shared" si="157"/>
        <v>0</v>
      </c>
      <c r="CZ65" s="1103">
        <f t="shared" si="158"/>
        <v>15.11</v>
      </c>
      <c r="DA65" s="1104">
        <f t="shared" si="159"/>
        <v>4886.47</v>
      </c>
      <c r="DI65" s="1042">
        <f t="shared" si="160"/>
        <v>15.11</v>
      </c>
    </row>
    <row r="66" spans="1:113" s="1055" customFormat="1">
      <c r="A66" s="955" t="s">
        <v>16</v>
      </c>
      <c r="B66" s="1102" t="s">
        <v>1369</v>
      </c>
      <c r="C66" s="1030" t="s">
        <v>111</v>
      </c>
      <c r="D66" s="1035"/>
      <c r="E66" s="1032">
        <f t="shared" si="3"/>
        <v>0</v>
      </c>
      <c r="F66" s="1035">
        <v>0</v>
      </c>
      <c r="G66" s="1036">
        <v>0</v>
      </c>
      <c r="H66" s="1032">
        <f t="shared" si="133"/>
        <v>0</v>
      </c>
      <c r="I66" s="1035">
        <v>452.8</v>
      </c>
      <c r="J66" s="1032">
        <f t="shared" si="134"/>
        <v>452.8</v>
      </c>
      <c r="K66" s="1035">
        <v>0</v>
      </c>
      <c r="L66" s="1074">
        <v>62.88</v>
      </c>
      <c r="M66" s="1032">
        <f t="shared" si="135"/>
        <v>62.88</v>
      </c>
      <c r="N66" s="1035">
        <v>0</v>
      </c>
      <c r="O66" s="1036">
        <v>0</v>
      </c>
      <c r="P66" s="1032">
        <f t="shared" si="136"/>
        <v>0</v>
      </c>
      <c r="Q66" s="1035">
        <v>30.400000000000002</v>
      </c>
      <c r="R66" s="1036">
        <v>123.2</v>
      </c>
      <c r="S66" s="1032">
        <f t="shared" si="137"/>
        <v>153.6</v>
      </c>
      <c r="T66" s="1035">
        <v>0</v>
      </c>
      <c r="U66" s="1036">
        <v>0</v>
      </c>
      <c r="V66" s="1032">
        <f t="shared" si="138"/>
        <v>0</v>
      </c>
      <c r="W66" s="1037">
        <f t="shared" si="139"/>
        <v>669.28000000000009</v>
      </c>
      <c r="X66" s="1038">
        <v>0</v>
      </c>
      <c r="Y66" s="1039">
        <v>0</v>
      </c>
      <c r="Z66" s="1408">
        <v>0</v>
      </c>
      <c r="AA66" s="1040">
        <f t="shared" si="140"/>
        <v>0</v>
      </c>
      <c r="AB66" s="1038">
        <v>0</v>
      </c>
      <c r="AC66" s="1039">
        <v>0</v>
      </c>
      <c r="AD66" s="1040">
        <f t="shared" si="141"/>
        <v>0</v>
      </c>
      <c r="AE66" s="1038">
        <v>0</v>
      </c>
      <c r="AF66" s="1040">
        <f t="shared" si="142"/>
        <v>0</v>
      </c>
      <c r="AG66" s="1038">
        <v>0</v>
      </c>
      <c r="AH66" s="1040">
        <f t="shared" si="143"/>
        <v>0</v>
      </c>
      <c r="AI66" s="1038">
        <v>0</v>
      </c>
      <c r="AJ66" s="1039">
        <v>0</v>
      </c>
      <c r="AK66" s="1039">
        <v>0</v>
      </c>
      <c r="AL66" s="1039">
        <v>0</v>
      </c>
      <c r="AM66" s="1041">
        <v>0</v>
      </c>
      <c r="AN66" s="1041">
        <v>0</v>
      </c>
      <c r="AO66" s="1040">
        <f t="shared" si="144"/>
        <v>0</v>
      </c>
      <c r="AP66" s="1038">
        <v>0</v>
      </c>
      <c r="AQ66" s="1040">
        <f t="shared" si="145"/>
        <v>0</v>
      </c>
      <c r="AR66" s="1038">
        <v>0</v>
      </c>
      <c r="AS66" s="1039">
        <v>0</v>
      </c>
      <c r="AT66" s="1408">
        <v>0</v>
      </c>
      <c r="AU66" s="1040">
        <f t="shared" si="131"/>
        <v>0</v>
      </c>
      <c r="AV66" s="1038">
        <v>0</v>
      </c>
      <c r="AW66" s="1039">
        <v>0</v>
      </c>
      <c r="AX66" s="1040">
        <f t="shared" si="146"/>
        <v>0</v>
      </c>
      <c r="AY66" s="1038">
        <v>0</v>
      </c>
      <c r="AZ66" s="1040">
        <f t="shared" si="147"/>
        <v>0</v>
      </c>
      <c r="BA66" s="1038">
        <v>0</v>
      </c>
      <c r="BB66" s="1039">
        <v>0</v>
      </c>
      <c r="BC66" s="1040">
        <f t="shared" si="148"/>
        <v>0</v>
      </c>
      <c r="BD66" s="1042">
        <f t="shared" si="149"/>
        <v>0</v>
      </c>
      <c r="BE66" s="1052"/>
      <c r="BF66" s="1053"/>
      <c r="BG66" s="1048">
        <f t="shared" si="8"/>
        <v>0</v>
      </c>
      <c r="BH66" s="1052"/>
      <c r="BI66" s="1053">
        <v>90</v>
      </c>
      <c r="BJ66" s="1053">
        <v>462.5</v>
      </c>
      <c r="BK66" s="1053">
        <v>52.5</v>
      </c>
      <c r="BL66" s="1048">
        <f t="shared" si="119"/>
        <v>605</v>
      </c>
      <c r="BM66" s="1052">
        <v>352</v>
      </c>
      <c r="BN66" s="1053">
        <v>50</v>
      </c>
      <c r="BO66" s="1048">
        <f t="shared" si="150"/>
        <v>402</v>
      </c>
      <c r="BP66" s="1052"/>
      <c r="BQ66" s="1053"/>
      <c r="BR66" s="1053"/>
      <c r="BS66" s="1053"/>
      <c r="BT66" s="1053">
        <v>39.520000000000003</v>
      </c>
      <c r="BU66" s="1048">
        <f t="shared" si="151"/>
        <v>39.520000000000003</v>
      </c>
      <c r="BV66" s="1052">
        <v>61.68</v>
      </c>
      <c r="BW66" s="1053">
        <v>62.35</v>
      </c>
      <c r="BX66" s="1053">
        <v>603.97</v>
      </c>
      <c r="BY66" s="1053">
        <v>39.200000000000003</v>
      </c>
      <c r="BZ66" s="1053">
        <v>121.78</v>
      </c>
      <c r="CA66" s="1053">
        <v>70.48</v>
      </c>
      <c r="CB66" s="1053">
        <v>0.1</v>
      </c>
      <c r="CC66" s="1048">
        <f t="shared" si="152"/>
        <v>959.56000000000006</v>
      </c>
      <c r="CD66" s="1052">
        <v>7.8</v>
      </c>
      <c r="CE66" s="1053">
        <v>83.95</v>
      </c>
      <c r="CF66" s="1053">
        <v>45.7</v>
      </c>
      <c r="CG66" s="1053">
        <v>25.19</v>
      </c>
      <c r="CH66" s="1048">
        <f t="shared" si="153"/>
        <v>162.63999999999999</v>
      </c>
      <c r="CI66" s="1052">
        <v>37.369999999999997</v>
      </c>
      <c r="CJ66" s="1053">
        <v>3.25</v>
      </c>
      <c r="CK66" s="1053">
        <v>58.76</v>
      </c>
      <c r="CL66" s="1053">
        <v>16.77</v>
      </c>
      <c r="CM66" s="1053">
        <v>246.95</v>
      </c>
      <c r="CN66" s="1053">
        <v>188.84</v>
      </c>
      <c r="CO66" s="1051">
        <f t="shared" si="154"/>
        <v>551.93999999999994</v>
      </c>
      <c r="CP66" s="1052">
        <v>14</v>
      </c>
      <c r="CQ66" s="1053">
        <v>92.91</v>
      </c>
      <c r="CR66" s="1048">
        <f t="shared" si="155"/>
        <v>106.91</v>
      </c>
      <c r="CS66" s="1052">
        <v>306.75</v>
      </c>
      <c r="CT66" s="1053">
        <v>187</v>
      </c>
      <c r="CU66" s="1053">
        <v>31.5</v>
      </c>
      <c r="CV66" s="1053">
        <v>200.63</v>
      </c>
      <c r="CW66" s="1048">
        <f t="shared" si="156"/>
        <v>725.88</v>
      </c>
      <c r="CX66" s="1052">
        <v>19.559999999999999</v>
      </c>
      <c r="CY66" s="1048">
        <f t="shared" si="157"/>
        <v>19.559999999999999</v>
      </c>
      <c r="CZ66" s="1103">
        <f t="shared" si="158"/>
        <v>3573.01</v>
      </c>
      <c r="DA66" s="1104">
        <f t="shared" si="159"/>
        <v>4242.29</v>
      </c>
      <c r="DI66" s="1042">
        <f t="shared" si="160"/>
        <v>0</v>
      </c>
    </row>
    <row r="67" spans="1:113" s="1055" customFormat="1">
      <c r="A67" s="955" t="s">
        <v>889</v>
      </c>
      <c r="B67" s="1102" t="s">
        <v>890</v>
      </c>
      <c r="C67" s="1030" t="s">
        <v>829</v>
      </c>
      <c r="D67" s="1035"/>
      <c r="E67" s="1032">
        <f t="shared" si="3"/>
        <v>0</v>
      </c>
      <c r="F67" s="1035">
        <v>0</v>
      </c>
      <c r="G67" s="1036">
        <v>0</v>
      </c>
      <c r="H67" s="1032">
        <f t="shared" si="133"/>
        <v>0</v>
      </c>
      <c r="I67" s="1035">
        <v>0</v>
      </c>
      <c r="J67" s="1032">
        <f t="shared" si="134"/>
        <v>0</v>
      </c>
      <c r="K67" s="1035">
        <v>0</v>
      </c>
      <c r="L67" s="1074">
        <v>0</v>
      </c>
      <c r="M67" s="1032">
        <f t="shared" si="135"/>
        <v>0</v>
      </c>
      <c r="N67" s="1035">
        <v>0</v>
      </c>
      <c r="O67" s="1036">
        <v>0</v>
      </c>
      <c r="P67" s="1032">
        <f t="shared" si="136"/>
        <v>0</v>
      </c>
      <c r="Q67" s="1035">
        <v>0</v>
      </c>
      <c r="R67" s="1036">
        <v>0</v>
      </c>
      <c r="S67" s="1032">
        <f t="shared" si="137"/>
        <v>0</v>
      </c>
      <c r="T67" s="1035">
        <v>0</v>
      </c>
      <c r="U67" s="1036">
        <v>0</v>
      </c>
      <c r="V67" s="1032">
        <f t="shared" si="138"/>
        <v>0</v>
      </c>
      <c r="W67" s="1037">
        <f t="shared" si="139"/>
        <v>0</v>
      </c>
      <c r="X67" s="1038">
        <v>0</v>
      </c>
      <c r="Y67" s="1039">
        <v>0</v>
      </c>
      <c r="Z67" s="1408">
        <v>0</v>
      </c>
      <c r="AA67" s="1040">
        <f t="shared" si="140"/>
        <v>0</v>
      </c>
      <c r="AB67" s="1038">
        <v>0</v>
      </c>
      <c r="AC67" s="1039">
        <v>0</v>
      </c>
      <c r="AD67" s="1040">
        <f t="shared" si="141"/>
        <v>0</v>
      </c>
      <c r="AE67" s="1038">
        <v>0</v>
      </c>
      <c r="AF67" s="1040">
        <f t="shared" si="142"/>
        <v>0</v>
      </c>
      <c r="AG67" s="1038">
        <v>0</v>
      </c>
      <c r="AH67" s="1040">
        <f t="shared" si="143"/>
        <v>0</v>
      </c>
      <c r="AI67" s="1038">
        <v>0</v>
      </c>
      <c r="AJ67" s="1039">
        <v>0</v>
      </c>
      <c r="AK67" s="1039">
        <v>0</v>
      </c>
      <c r="AL67" s="1039">
        <v>0</v>
      </c>
      <c r="AM67" s="1041">
        <v>0</v>
      </c>
      <c r="AN67" s="1041">
        <v>0</v>
      </c>
      <c r="AO67" s="1040">
        <f t="shared" si="144"/>
        <v>0</v>
      </c>
      <c r="AP67" s="1038">
        <v>0</v>
      </c>
      <c r="AQ67" s="1040">
        <f t="shared" si="145"/>
        <v>0</v>
      </c>
      <c r="AR67" s="1038">
        <v>0</v>
      </c>
      <c r="AS67" s="1039">
        <v>0</v>
      </c>
      <c r="AT67" s="1408">
        <v>0</v>
      </c>
      <c r="AU67" s="1040">
        <f t="shared" si="131"/>
        <v>0</v>
      </c>
      <c r="AV67" s="1038">
        <v>0</v>
      </c>
      <c r="AW67" s="1039">
        <v>0</v>
      </c>
      <c r="AX67" s="1040">
        <f t="shared" si="146"/>
        <v>0</v>
      </c>
      <c r="AY67" s="1038">
        <v>0</v>
      </c>
      <c r="AZ67" s="1040">
        <f t="shared" si="147"/>
        <v>0</v>
      </c>
      <c r="BA67" s="1038">
        <v>0</v>
      </c>
      <c r="BB67" s="1039">
        <v>0</v>
      </c>
      <c r="BC67" s="1040">
        <f t="shared" si="148"/>
        <v>0</v>
      </c>
      <c r="BD67" s="1042">
        <f t="shared" si="149"/>
        <v>0</v>
      </c>
      <c r="BE67" s="1052"/>
      <c r="BF67" s="1053"/>
      <c r="BG67" s="1048">
        <f t="shared" si="8"/>
        <v>0</v>
      </c>
      <c r="BH67" s="1052"/>
      <c r="BI67" s="1053"/>
      <c r="BJ67" s="1053"/>
      <c r="BK67" s="1053"/>
      <c r="BL67" s="1048">
        <f t="shared" si="119"/>
        <v>0</v>
      </c>
      <c r="BM67" s="1052"/>
      <c r="BN67" s="1053"/>
      <c r="BO67" s="1048">
        <f t="shared" si="150"/>
        <v>0</v>
      </c>
      <c r="BP67" s="1049"/>
      <c r="BQ67" s="1050"/>
      <c r="BR67" s="1050"/>
      <c r="BS67" s="1050"/>
      <c r="BT67" s="1053"/>
      <c r="BU67" s="1048">
        <f t="shared" si="151"/>
        <v>0</v>
      </c>
      <c r="BV67" s="1052"/>
      <c r="BW67" s="1053"/>
      <c r="BX67" s="1053"/>
      <c r="BY67" s="1053"/>
      <c r="BZ67" s="1053"/>
      <c r="CA67" s="1053"/>
      <c r="CB67" s="1053"/>
      <c r="CC67" s="1048">
        <f>+SUM(BV67:CB67)</f>
        <v>0</v>
      </c>
      <c r="CD67" s="1052"/>
      <c r="CE67" s="1053"/>
      <c r="CF67" s="1053"/>
      <c r="CG67" s="1053"/>
      <c r="CH67" s="1048">
        <f t="shared" si="153"/>
        <v>0</v>
      </c>
      <c r="CI67" s="1049"/>
      <c r="CJ67" s="1050"/>
      <c r="CK67" s="1050"/>
      <c r="CL67" s="1050"/>
      <c r="CM67" s="1050"/>
      <c r="CN67" s="1050"/>
      <c r="CO67" s="1051">
        <f t="shared" si="154"/>
        <v>0</v>
      </c>
      <c r="CP67" s="1052"/>
      <c r="CQ67" s="1053"/>
      <c r="CR67" s="1048">
        <f t="shared" si="155"/>
        <v>0</v>
      </c>
      <c r="CS67" s="1052"/>
      <c r="CT67" s="1053"/>
      <c r="CU67" s="1053"/>
      <c r="CV67" s="1053"/>
      <c r="CW67" s="1048">
        <f t="shared" si="156"/>
        <v>0</v>
      </c>
      <c r="CX67" s="1052"/>
      <c r="CY67" s="1048">
        <f t="shared" si="157"/>
        <v>0</v>
      </c>
      <c r="CZ67" s="1103">
        <f t="shared" si="158"/>
        <v>0</v>
      </c>
      <c r="DA67" s="1104">
        <f t="shared" si="159"/>
        <v>0</v>
      </c>
      <c r="DI67" s="1042">
        <f t="shared" si="160"/>
        <v>0</v>
      </c>
    </row>
    <row r="68" spans="1:113" s="1134" customFormat="1">
      <c r="A68" s="1114"/>
      <c r="B68" s="1115" t="s">
        <v>891</v>
      </c>
      <c r="C68" s="1116"/>
      <c r="D68" s="1117"/>
      <c r="E68" s="1118"/>
      <c r="F68" s="1117" t="s">
        <v>816</v>
      </c>
      <c r="G68" s="1119" t="s">
        <v>816</v>
      </c>
      <c r="H68" s="1118"/>
      <c r="I68" s="1117" t="s">
        <v>816</v>
      </c>
      <c r="J68" s="1118"/>
      <c r="K68" s="1117" t="s">
        <v>816</v>
      </c>
      <c r="L68" s="1120" t="s">
        <v>816</v>
      </c>
      <c r="M68" s="1118"/>
      <c r="N68" s="1117" t="s">
        <v>816</v>
      </c>
      <c r="O68" s="1119" t="s">
        <v>816</v>
      </c>
      <c r="P68" s="1118"/>
      <c r="Q68" s="1117" t="s">
        <v>816</v>
      </c>
      <c r="R68" s="1119" t="s">
        <v>816</v>
      </c>
      <c r="S68" s="1118"/>
      <c r="T68" s="1117" t="s">
        <v>816</v>
      </c>
      <c r="U68" s="1119" t="s">
        <v>816</v>
      </c>
      <c r="V68" s="1118"/>
      <c r="W68" s="1121"/>
      <c r="X68" s="1122"/>
      <c r="Y68" s="1123"/>
      <c r="Z68" s="1407"/>
      <c r="AA68" s="1124"/>
      <c r="AB68" s="1122"/>
      <c r="AC68" s="1123"/>
      <c r="AD68" s="1124"/>
      <c r="AE68" s="1122"/>
      <c r="AF68" s="1124"/>
      <c r="AG68" s="1122"/>
      <c r="AH68" s="1124"/>
      <c r="AI68" s="1122"/>
      <c r="AJ68" s="1123"/>
      <c r="AK68" s="1123"/>
      <c r="AL68" s="1123"/>
      <c r="AM68" s="1125"/>
      <c r="AN68" s="1125"/>
      <c r="AO68" s="1124"/>
      <c r="AP68" s="1122"/>
      <c r="AQ68" s="1124"/>
      <c r="AR68" s="1122"/>
      <c r="AS68" s="1123"/>
      <c r="AT68" s="1407"/>
      <c r="AU68" s="1124"/>
      <c r="AV68" s="1122"/>
      <c r="AW68" s="1123"/>
      <c r="AX68" s="1124"/>
      <c r="AY68" s="1122"/>
      <c r="AZ68" s="1124"/>
      <c r="BA68" s="1122"/>
      <c r="BB68" s="1123"/>
      <c r="BC68" s="1124"/>
      <c r="BD68" s="1126"/>
      <c r="BE68" s="1127"/>
      <c r="BF68" s="1128"/>
      <c r="BG68" s="1129"/>
      <c r="BH68" s="1127"/>
      <c r="BI68" s="1128"/>
      <c r="BJ68" s="1128"/>
      <c r="BK68" s="1128"/>
      <c r="BL68" s="1129"/>
      <c r="BM68" s="1127"/>
      <c r="BN68" s="1128"/>
      <c r="BO68" s="1129"/>
      <c r="BP68" s="1130"/>
      <c r="BQ68" s="1131"/>
      <c r="BR68" s="1131"/>
      <c r="BS68" s="1131"/>
      <c r="BT68" s="1128"/>
      <c r="BU68" s="1129"/>
      <c r="BV68" s="1127"/>
      <c r="BW68" s="1128"/>
      <c r="BX68" s="1128"/>
      <c r="BY68" s="1128"/>
      <c r="BZ68" s="1128"/>
      <c r="CA68" s="1128"/>
      <c r="CB68" s="1128"/>
      <c r="CC68" s="1129"/>
      <c r="CD68" s="1127"/>
      <c r="CE68" s="1128"/>
      <c r="CF68" s="1128"/>
      <c r="CG68" s="1128"/>
      <c r="CH68" s="1129"/>
      <c r="CI68" s="1130"/>
      <c r="CJ68" s="1131"/>
      <c r="CK68" s="1131"/>
      <c r="CL68" s="1131"/>
      <c r="CM68" s="1131"/>
      <c r="CN68" s="1131"/>
      <c r="CO68" s="1132">
        <f t="shared" si="154"/>
        <v>0</v>
      </c>
      <c r="CP68" s="1127"/>
      <c r="CQ68" s="1128"/>
      <c r="CR68" s="1129"/>
      <c r="CS68" s="1127"/>
      <c r="CT68" s="1128"/>
      <c r="CU68" s="1128"/>
      <c r="CV68" s="1128"/>
      <c r="CW68" s="1129"/>
      <c r="CX68" s="1127"/>
      <c r="CY68" s="1129"/>
      <c r="CZ68" s="1129"/>
      <c r="DA68" s="1133"/>
      <c r="DI68" s="1126"/>
    </row>
    <row r="69" spans="1:113" s="1055" customFormat="1">
      <c r="A69" s="955" t="s">
        <v>415</v>
      </c>
      <c r="B69" s="1102" t="s">
        <v>858</v>
      </c>
      <c r="C69" s="1030" t="s">
        <v>111</v>
      </c>
      <c r="D69" s="1035"/>
      <c r="E69" s="1032">
        <f t="shared" si="3"/>
        <v>0</v>
      </c>
      <c r="F69" s="1035">
        <v>110.39999999999999</v>
      </c>
      <c r="G69" s="1036">
        <v>1126.56</v>
      </c>
      <c r="H69" s="1032">
        <f>+IF(C69="", 0,SUM(F69:G69))</f>
        <v>1236.96</v>
      </c>
      <c r="I69" s="1035">
        <v>1698</v>
      </c>
      <c r="J69" s="1032">
        <f>+IF(C69="", 0,I69)</f>
        <v>1698</v>
      </c>
      <c r="K69" s="1035">
        <v>0</v>
      </c>
      <c r="L69" s="1074">
        <v>54.9</v>
      </c>
      <c r="M69" s="1032">
        <f>+IF(C69="",0,K69+L69)</f>
        <v>54.9</v>
      </c>
      <c r="N69" s="1035">
        <v>168</v>
      </c>
      <c r="O69" s="1036">
        <v>490.19999999999993</v>
      </c>
      <c r="P69" s="1032">
        <f>+IF(C69="", 0,SUM(N69:O69))</f>
        <v>658.19999999999993</v>
      </c>
      <c r="Q69" s="1035">
        <v>60.800000000000004</v>
      </c>
      <c r="R69" s="1036">
        <v>246.4</v>
      </c>
      <c r="S69" s="1032">
        <f>+IF(C69="",0,SUM(Q69:R69))</f>
        <v>307.2</v>
      </c>
      <c r="T69" s="1035">
        <v>105.60000000000001</v>
      </c>
      <c r="U69" s="1036">
        <v>296</v>
      </c>
      <c r="V69" s="1032">
        <f>+IF(C69="",0,SUM(T69:U69))</f>
        <v>401.6</v>
      </c>
      <c r="W69" s="1037">
        <f t="shared" ref="W69:W80" si="162">+IF(C69="",0,E69+H69+J69+M69+P69+S69+V69)</f>
        <v>4356.8599999999997</v>
      </c>
      <c r="X69" s="1038">
        <v>0</v>
      </c>
      <c r="Y69" s="1039">
        <v>0</v>
      </c>
      <c r="Z69" s="1408">
        <v>0</v>
      </c>
      <c r="AA69" s="1040">
        <f t="shared" ref="AA69:AA80" si="163">SUM(X69:Z69)</f>
        <v>0</v>
      </c>
      <c r="AB69" s="1038">
        <v>0</v>
      </c>
      <c r="AC69" s="1039">
        <v>0</v>
      </c>
      <c r="AD69" s="1040">
        <f t="shared" ref="AD69:AD80" si="164">SUM(AB69:AC69)</f>
        <v>0</v>
      </c>
      <c r="AE69" s="1038">
        <v>0</v>
      </c>
      <c r="AF69" s="1040">
        <f t="shared" ref="AF69:AF80" si="165">+AE69</f>
        <v>0</v>
      </c>
      <c r="AG69" s="1038">
        <v>0</v>
      </c>
      <c r="AH69" s="1040">
        <f t="shared" ref="AH69:AH80" si="166">+AG69</f>
        <v>0</v>
      </c>
      <c r="AI69" s="1038">
        <v>0</v>
      </c>
      <c r="AJ69" s="1039">
        <v>0</v>
      </c>
      <c r="AK69" s="1039">
        <v>0</v>
      </c>
      <c r="AL69" s="1039">
        <v>0</v>
      </c>
      <c r="AM69" s="1041">
        <v>0</v>
      </c>
      <c r="AN69" s="1041">
        <v>0</v>
      </c>
      <c r="AO69" s="1040">
        <f t="shared" ref="AO69:AO80" si="167">SUM(AI69:AN69)</f>
        <v>0</v>
      </c>
      <c r="AP69" s="1038">
        <v>0</v>
      </c>
      <c r="AQ69" s="1040">
        <f t="shared" ref="AQ69:AQ80" si="168">+AP69</f>
        <v>0</v>
      </c>
      <c r="AR69" s="1038">
        <v>0</v>
      </c>
      <c r="AS69" s="1039">
        <v>0</v>
      </c>
      <c r="AT69" s="1408">
        <v>0</v>
      </c>
      <c r="AU69" s="1040">
        <f t="shared" si="131"/>
        <v>0</v>
      </c>
      <c r="AV69" s="1038">
        <v>0</v>
      </c>
      <c r="AW69" s="1039">
        <v>0</v>
      </c>
      <c r="AX69" s="1040">
        <f t="shared" ref="AX69:AX80" si="169">SUM(AV69:AW69)</f>
        <v>0</v>
      </c>
      <c r="AY69" s="1038">
        <v>0</v>
      </c>
      <c r="AZ69" s="1040">
        <f t="shared" ref="AZ69:AZ80" si="170">+AY69</f>
        <v>0</v>
      </c>
      <c r="BA69" s="1038">
        <v>0</v>
      </c>
      <c r="BB69" s="1039">
        <v>0</v>
      </c>
      <c r="BC69" s="1040">
        <f t="shared" ref="BC69:BC80" si="171">SUM(BA69:BB69)</f>
        <v>0</v>
      </c>
      <c r="BD69" s="1042">
        <f t="shared" ref="BD69:BD80" si="172">+IF(C69="",0,BC69+AZ69+AX69+AU69+AQ69+AO69+AH69+AF69+AD69+AA69)</f>
        <v>0</v>
      </c>
      <c r="BE69" s="1052"/>
      <c r="BF69" s="1053"/>
      <c r="BG69" s="1048">
        <f t="shared" si="8"/>
        <v>0</v>
      </c>
      <c r="BH69" s="1052">
        <v>19.3</v>
      </c>
      <c r="BI69" s="1053">
        <v>29.4</v>
      </c>
      <c r="BJ69" s="1053">
        <v>115.5</v>
      </c>
      <c r="BK69" s="1053">
        <v>11.03</v>
      </c>
      <c r="BL69" s="1048">
        <f t="shared" ref="BL69:BL80" si="173">+BH69+BI69+BJ69+BK69</f>
        <v>175.23</v>
      </c>
      <c r="BM69" s="1052">
        <v>23.63</v>
      </c>
      <c r="BN69" s="1053"/>
      <c r="BO69" s="1048">
        <f t="shared" ref="BO69:BO80" si="174">+BM69+BN69</f>
        <v>23.63</v>
      </c>
      <c r="BP69" s="1052"/>
      <c r="BQ69" s="1053"/>
      <c r="BR69" s="1053"/>
      <c r="BS69" s="1053"/>
      <c r="BT69" s="1053">
        <v>12.97</v>
      </c>
      <c r="BU69" s="1048">
        <f t="shared" ref="BU69:BU80" si="175">+SUM(BP69:BT69)</f>
        <v>12.97</v>
      </c>
      <c r="BV69" s="1052">
        <v>16.7</v>
      </c>
      <c r="BW69" s="1053">
        <v>19.43</v>
      </c>
      <c r="BX69" s="1053">
        <v>188.58</v>
      </c>
      <c r="BY69" s="1053">
        <v>12.88</v>
      </c>
      <c r="BZ69" s="1053">
        <v>38.479999999999997</v>
      </c>
      <c r="CA69" s="1053">
        <v>32.97</v>
      </c>
      <c r="CB69" s="1053">
        <v>20.48</v>
      </c>
      <c r="CC69" s="1048">
        <f t="shared" ref="CC69:CC80" si="176">+SUM(BV69:CB69)</f>
        <v>329.52</v>
      </c>
      <c r="CD69" s="1052">
        <v>3.15</v>
      </c>
      <c r="CE69" s="1053">
        <v>17.324999999999999</v>
      </c>
      <c r="CF69" s="1053">
        <v>6.3</v>
      </c>
      <c r="CG69" s="1053">
        <v>6.3</v>
      </c>
      <c r="CH69" s="1048">
        <f t="shared" ref="CH69:CH80" si="177">+SUM(CD69:CG69)</f>
        <v>33.074999999999996</v>
      </c>
      <c r="CI69" s="1052">
        <v>32.024999999999999</v>
      </c>
      <c r="CJ69" s="1053">
        <v>4.7249999999999996</v>
      </c>
      <c r="CK69" s="1053">
        <v>37.274999999999999</v>
      </c>
      <c r="CL69" s="1053">
        <v>13.6</v>
      </c>
      <c r="CM69" s="1053">
        <v>111.825</v>
      </c>
      <c r="CN69" s="1053">
        <v>86.909000000000006</v>
      </c>
      <c r="CO69" s="1051">
        <f t="shared" si="154"/>
        <v>286.35899999999998</v>
      </c>
      <c r="CP69" s="1052">
        <v>33.075000000000003</v>
      </c>
      <c r="CQ69" s="1053">
        <v>19.989999999999998</v>
      </c>
      <c r="CR69" s="1048">
        <f t="shared" ref="CR69:CR80" si="178">+SUM(CP69:CQ69)</f>
        <v>53.064999999999998</v>
      </c>
      <c r="CS69" s="1052">
        <v>64.417500000000004</v>
      </c>
      <c r="CT69" s="1053">
        <v>42.42</v>
      </c>
      <c r="CU69" s="1053">
        <v>6.6150000000000002</v>
      </c>
      <c r="CV69" s="1053">
        <v>29.137499999999999</v>
      </c>
      <c r="CW69" s="1048">
        <f t="shared" ref="CW69:CW80" si="179">+SUM(CS69:CV69)</f>
        <v>142.59</v>
      </c>
      <c r="CX69" s="1052">
        <v>12.6</v>
      </c>
      <c r="CY69" s="1048">
        <f t="shared" ref="CY69:CY80" si="180">+CX69</f>
        <v>12.6</v>
      </c>
      <c r="CZ69" s="1103">
        <f t="shared" ref="CZ69:CZ80" si="181">+IF(C69="",0,CY69+CR69+CH69+BU69+BO69+BL69+CO69+CW69+CC69+BG69)</f>
        <v>1069.0389999999998</v>
      </c>
      <c r="DA69" s="1104">
        <f t="shared" ref="DA69:DA80" si="182">IF(C69="",0,CZ69+BD69+W69)</f>
        <v>5425.8989999999994</v>
      </c>
      <c r="DI69" s="1042">
        <f t="shared" ref="DI69:DI80" si="183">+IF(BH69="",0,DH69+DE69+DC69+CZ69+CV69+CT69+CM69+CK69+CI69+CF69)</f>
        <v>1328.0215000000001</v>
      </c>
    </row>
    <row r="70" spans="1:113" s="1055" customFormat="1">
      <c r="A70" s="955" t="s">
        <v>416</v>
      </c>
      <c r="B70" s="1102" t="s">
        <v>1365</v>
      </c>
      <c r="C70" s="1030" t="s">
        <v>111</v>
      </c>
      <c r="D70" s="1035"/>
      <c r="E70" s="1032">
        <f t="shared" si="3"/>
        <v>0</v>
      </c>
      <c r="F70" s="1035">
        <v>0</v>
      </c>
      <c r="G70" s="1036">
        <v>0</v>
      </c>
      <c r="H70" s="1032">
        <f>+IF(C70="", 0,SUM(F70:G70))</f>
        <v>0</v>
      </c>
      <c r="I70" s="1035">
        <v>0</v>
      </c>
      <c r="J70" s="1032">
        <f>+IF(C70="", 0,I70)</f>
        <v>0</v>
      </c>
      <c r="K70" s="1035">
        <v>0</v>
      </c>
      <c r="L70" s="1074">
        <v>0</v>
      </c>
      <c r="M70" s="1032">
        <f>+IF(C70="",0,K70+L70)</f>
        <v>0</v>
      </c>
      <c r="N70" s="1035">
        <v>0</v>
      </c>
      <c r="O70" s="1036">
        <v>0</v>
      </c>
      <c r="P70" s="1032">
        <f>+IF(C70="", 0,SUM(N70:O70))</f>
        <v>0</v>
      </c>
      <c r="Q70" s="1035">
        <v>0</v>
      </c>
      <c r="R70" s="1036">
        <v>0</v>
      </c>
      <c r="S70" s="1032">
        <f>+IF(C70="",0,SUM(Q70:R70))</f>
        <v>0</v>
      </c>
      <c r="T70" s="1035">
        <v>0</v>
      </c>
      <c r="U70" s="1036">
        <v>0</v>
      </c>
      <c r="V70" s="1032">
        <f>+IF(C70="",0,SUM(T70:U70))</f>
        <v>0</v>
      </c>
      <c r="W70" s="1037">
        <f t="shared" si="162"/>
        <v>0</v>
      </c>
      <c r="X70" s="1038">
        <v>0</v>
      </c>
      <c r="Y70" s="1039">
        <v>0</v>
      </c>
      <c r="Z70" s="1408">
        <v>0</v>
      </c>
      <c r="AA70" s="1040">
        <f t="shared" si="163"/>
        <v>0</v>
      </c>
      <c r="AB70" s="1038">
        <v>0</v>
      </c>
      <c r="AC70" s="1039">
        <v>0</v>
      </c>
      <c r="AD70" s="1040">
        <f t="shared" si="164"/>
        <v>0</v>
      </c>
      <c r="AE70" s="1038">
        <v>0</v>
      </c>
      <c r="AF70" s="1040">
        <f t="shared" si="165"/>
        <v>0</v>
      </c>
      <c r="AG70" s="1038">
        <v>0</v>
      </c>
      <c r="AH70" s="1040">
        <f t="shared" si="166"/>
        <v>0</v>
      </c>
      <c r="AI70" s="1038">
        <v>0</v>
      </c>
      <c r="AJ70" s="1039">
        <v>0</v>
      </c>
      <c r="AK70" s="1039">
        <v>0</v>
      </c>
      <c r="AL70" s="1039">
        <v>0</v>
      </c>
      <c r="AM70" s="1041">
        <v>0</v>
      </c>
      <c r="AN70" s="1041">
        <v>0</v>
      </c>
      <c r="AO70" s="1040">
        <f t="shared" si="167"/>
        <v>0</v>
      </c>
      <c r="AP70" s="1038">
        <v>0</v>
      </c>
      <c r="AQ70" s="1040">
        <f t="shared" si="168"/>
        <v>0</v>
      </c>
      <c r="AR70" s="1038">
        <v>0</v>
      </c>
      <c r="AS70" s="1039">
        <v>0</v>
      </c>
      <c r="AT70" s="1408">
        <v>0</v>
      </c>
      <c r="AU70" s="1040">
        <f t="shared" si="131"/>
        <v>0</v>
      </c>
      <c r="AV70" s="1038">
        <v>0</v>
      </c>
      <c r="AW70" s="1039">
        <v>0</v>
      </c>
      <c r="AX70" s="1040">
        <f t="shared" si="169"/>
        <v>0</v>
      </c>
      <c r="AY70" s="1038">
        <v>0</v>
      </c>
      <c r="AZ70" s="1040">
        <f t="shared" si="170"/>
        <v>0</v>
      </c>
      <c r="BA70" s="1038">
        <v>0</v>
      </c>
      <c r="BB70" s="1039">
        <v>0</v>
      </c>
      <c r="BC70" s="1040">
        <f t="shared" si="171"/>
        <v>0</v>
      </c>
      <c r="BD70" s="1042">
        <f t="shared" si="172"/>
        <v>0</v>
      </c>
      <c r="BE70" s="1052"/>
      <c r="BF70" s="1053"/>
      <c r="BG70" s="1048">
        <f t="shared" si="8"/>
        <v>0</v>
      </c>
      <c r="BH70" s="1052"/>
      <c r="BI70" s="1053"/>
      <c r="BJ70" s="1053"/>
      <c r="BK70" s="1053"/>
      <c r="BL70" s="1048">
        <f t="shared" si="173"/>
        <v>0</v>
      </c>
      <c r="BM70" s="1052"/>
      <c r="BN70" s="1053"/>
      <c r="BO70" s="1048">
        <f t="shared" si="174"/>
        <v>0</v>
      </c>
      <c r="BP70" s="1052"/>
      <c r="BQ70" s="1053"/>
      <c r="BR70" s="1053"/>
      <c r="BS70" s="1053"/>
      <c r="BT70" s="1053"/>
      <c r="BU70" s="1048">
        <f t="shared" si="175"/>
        <v>0</v>
      </c>
      <c r="BV70" s="1052"/>
      <c r="BW70" s="1053"/>
      <c r="BX70" s="1053"/>
      <c r="BY70" s="1053"/>
      <c r="BZ70" s="1053"/>
      <c r="CA70" s="1053"/>
      <c r="CB70" s="1053"/>
      <c r="CC70" s="1048">
        <f t="shared" si="176"/>
        <v>0</v>
      </c>
      <c r="CD70" s="1052"/>
      <c r="CE70" s="1053"/>
      <c r="CF70" s="1053"/>
      <c r="CG70" s="1053"/>
      <c r="CH70" s="1048">
        <f t="shared" si="177"/>
        <v>0</v>
      </c>
      <c r="CI70" s="1052"/>
      <c r="CJ70" s="1053"/>
      <c r="CK70" s="1053"/>
      <c r="CL70" s="1053"/>
      <c r="CM70" s="1053"/>
      <c r="CN70" s="1053"/>
      <c r="CO70" s="1051">
        <f t="shared" si="154"/>
        <v>0</v>
      </c>
      <c r="CP70" s="1052"/>
      <c r="CQ70" s="1053"/>
      <c r="CR70" s="1048">
        <f t="shared" si="178"/>
        <v>0</v>
      </c>
      <c r="CS70" s="1052"/>
      <c r="CT70" s="1053"/>
      <c r="CU70" s="1053"/>
      <c r="CV70" s="1053"/>
      <c r="CW70" s="1048">
        <f t="shared" si="179"/>
        <v>0</v>
      </c>
      <c r="CX70" s="1052"/>
      <c r="CY70" s="1048">
        <f t="shared" si="180"/>
        <v>0</v>
      </c>
      <c r="CZ70" s="1103">
        <f t="shared" si="181"/>
        <v>0</v>
      </c>
      <c r="DA70" s="1104">
        <f t="shared" si="182"/>
        <v>0</v>
      </c>
      <c r="DI70" s="1042">
        <f t="shared" si="183"/>
        <v>0</v>
      </c>
    </row>
    <row r="71" spans="1:113" s="1055" customFormat="1">
      <c r="A71" s="955" t="s">
        <v>417</v>
      </c>
      <c r="B71" s="1102" t="s">
        <v>862</v>
      </c>
      <c r="C71" s="1030" t="s">
        <v>111</v>
      </c>
      <c r="D71" s="1035"/>
      <c r="E71" s="1032">
        <f t="shared" si="3"/>
        <v>0</v>
      </c>
      <c r="F71" s="1035">
        <v>0</v>
      </c>
      <c r="G71" s="1036">
        <v>0</v>
      </c>
      <c r="H71" s="1032">
        <f>+IF(C71="", 0,SUM(F71:G71))</f>
        <v>0</v>
      </c>
      <c r="I71" s="1035">
        <v>0</v>
      </c>
      <c r="J71" s="1032">
        <f>+IF(C71="", 0,I71)</f>
        <v>0</v>
      </c>
      <c r="K71" s="1035">
        <v>0</v>
      </c>
      <c r="L71" s="1074">
        <v>0</v>
      </c>
      <c r="M71" s="1032">
        <f>+IF(C71="",0,K71+L71)</f>
        <v>0</v>
      </c>
      <c r="N71" s="1035">
        <v>0</v>
      </c>
      <c r="O71" s="1036">
        <v>0</v>
      </c>
      <c r="P71" s="1032">
        <f>+IF(C71="", 0,SUM(N71:O71))</f>
        <v>0</v>
      </c>
      <c r="Q71" s="1035">
        <v>0</v>
      </c>
      <c r="R71" s="1036">
        <v>0</v>
      </c>
      <c r="S71" s="1032">
        <f>+IF(C71="",0,SUM(Q71:R71))</f>
        <v>0</v>
      </c>
      <c r="T71" s="1035">
        <v>0</v>
      </c>
      <c r="U71" s="1036">
        <v>0</v>
      </c>
      <c r="V71" s="1032">
        <f>+IF(C71="",0,SUM(T71:U71))</f>
        <v>0</v>
      </c>
      <c r="W71" s="1037">
        <f t="shared" si="162"/>
        <v>0</v>
      </c>
      <c r="X71" s="1038">
        <v>3.6749999999999998</v>
      </c>
      <c r="Y71" s="1039">
        <v>108.35999999999999</v>
      </c>
      <c r="Z71" s="1408">
        <v>28.349999999999998</v>
      </c>
      <c r="AA71" s="1040">
        <f t="shared" ref="AA71:AA74" si="184">SUM(Z71)</f>
        <v>28.349999999999998</v>
      </c>
      <c r="AB71" s="1038">
        <v>4079.8799999999992</v>
      </c>
      <c r="AC71" s="1039">
        <v>3779.9999999999995</v>
      </c>
      <c r="AD71" s="1040">
        <f t="shared" si="164"/>
        <v>7859.8799999999992</v>
      </c>
      <c r="AE71" s="1038">
        <v>17061.974999999999</v>
      </c>
      <c r="AF71" s="1040">
        <f t="shared" si="165"/>
        <v>17061.974999999999</v>
      </c>
      <c r="AG71" s="1038">
        <v>9584.9249999999993</v>
      </c>
      <c r="AH71" s="1040">
        <f t="shared" si="166"/>
        <v>9584.9249999999993</v>
      </c>
      <c r="AI71" s="1038">
        <v>400.9425</v>
      </c>
      <c r="AJ71" s="1039">
        <v>55.807500000000005</v>
      </c>
      <c r="AK71" s="1039">
        <v>907.82999999999981</v>
      </c>
      <c r="AL71" s="1039">
        <v>306.70499999999998</v>
      </c>
      <c r="AM71" s="1041">
        <v>0</v>
      </c>
      <c r="AN71" s="1041">
        <v>0</v>
      </c>
      <c r="AO71" s="1040">
        <f>AI71+AM71+AN71</f>
        <v>400.9425</v>
      </c>
      <c r="AP71" s="1038">
        <v>16131.149999999998</v>
      </c>
      <c r="AQ71" s="1040">
        <f t="shared" si="168"/>
        <v>16131.149999999998</v>
      </c>
      <c r="AR71" s="1038">
        <v>4810.2264000000168</v>
      </c>
      <c r="AS71" s="1039">
        <v>5423.0399999999991</v>
      </c>
      <c r="AT71" s="1408">
        <v>2185.3188000000055</v>
      </c>
      <c r="AU71" s="1040">
        <f t="shared" si="131"/>
        <v>2185.3188000000055</v>
      </c>
      <c r="AV71" s="1038">
        <v>78.75</v>
      </c>
      <c r="AW71" s="1039">
        <v>14176.089374999998</v>
      </c>
      <c r="AX71" s="1040">
        <f t="shared" si="169"/>
        <v>14254.839374999998</v>
      </c>
      <c r="AY71" s="1038">
        <v>1009.575</v>
      </c>
      <c r="AZ71" s="1040">
        <f t="shared" si="170"/>
        <v>1009.575</v>
      </c>
      <c r="BA71" s="1038">
        <v>8222.3662499999973</v>
      </c>
      <c r="BB71" s="1039">
        <v>2794.8374999999992</v>
      </c>
      <c r="BC71" s="1040">
        <f t="shared" si="171"/>
        <v>11017.203749999997</v>
      </c>
      <c r="BD71" s="1042">
        <f t="shared" si="172"/>
        <v>79534.159424999991</v>
      </c>
      <c r="BE71" s="1052"/>
      <c r="BF71" s="1053"/>
      <c r="BG71" s="1048">
        <f t="shared" si="8"/>
        <v>0</v>
      </c>
      <c r="BH71" s="1052"/>
      <c r="BI71" s="1053"/>
      <c r="BJ71" s="1053"/>
      <c r="BK71" s="1053"/>
      <c r="BL71" s="1048">
        <f t="shared" si="173"/>
        <v>0</v>
      </c>
      <c r="BM71" s="1052"/>
      <c r="BN71" s="1053"/>
      <c r="BO71" s="1048">
        <f t="shared" si="174"/>
        <v>0</v>
      </c>
      <c r="BP71" s="1052"/>
      <c r="BQ71" s="1053"/>
      <c r="BR71" s="1053"/>
      <c r="BS71" s="1053"/>
      <c r="BT71" s="1053"/>
      <c r="BU71" s="1048">
        <f t="shared" si="175"/>
        <v>0</v>
      </c>
      <c r="BV71" s="1052"/>
      <c r="BW71" s="1053"/>
      <c r="BX71" s="1053"/>
      <c r="BY71" s="1053"/>
      <c r="BZ71" s="1053"/>
      <c r="CA71" s="1053"/>
      <c r="CB71" s="1053"/>
      <c r="CC71" s="1048">
        <f t="shared" si="176"/>
        <v>0</v>
      </c>
      <c r="CD71" s="1052"/>
      <c r="CE71" s="1053"/>
      <c r="CF71" s="1053"/>
      <c r="CG71" s="1053"/>
      <c r="CH71" s="1048">
        <f t="shared" si="177"/>
        <v>0</v>
      </c>
      <c r="CI71" s="1052"/>
      <c r="CJ71" s="1053"/>
      <c r="CK71" s="1053"/>
      <c r="CL71" s="1053"/>
      <c r="CM71" s="1053"/>
      <c r="CN71" s="1053"/>
      <c r="CO71" s="1051">
        <f t="shared" si="154"/>
        <v>0</v>
      </c>
      <c r="CP71" s="1052"/>
      <c r="CQ71" s="1053"/>
      <c r="CR71" s="1048">
        <f t="shared" si="178"/>
        <v>0</v>
      </c>
      <c r="CS71" s="1052"/>
      <c r="CT71" s="1053"/>
      <c r="CU71" s="1053"/>
      <c r="CV71" s="1053"/>
      <c r="CW71" s="1048">
        <f t="shared" si="179"/>
        <v>0</v>
      </c>
      <c r="CX71" s="1052"/>
      <c r="CY71" s="1048">
        <f t="shared" si="180"/>
        <v>0</v>
      </c>
      <c r="CZ71" s="1103">
        <f t="shared" si="181"/>
        <v>0</v>
      </c>
      <c r="DA71" s="1104">
        <f t="shared" si="182"/>
        <v>79534.159424999991</v>
      </c>
      <c r="DI71" s="1042">
        <f t="shared" si="183"/>
        <v>0</v>
      </c>
    </row>
    <row r="72" spans="1:113" s="1055" customFormat="1">
      <c r="A72" s="955" t="s">
        <v>1372</v>
      </c>
      <c r="B72" s="1102" t="s">
        <v>1373</v>
      </c>
      <c r="C72" s="1030" t="s">
        <v>111</v>
      </c>
      <c r="D72" s="1035"/>
      <c r="E72" s="1032">
        <f t="shared" si="3"/>
        <v>0</v>
      </c>
      <c r="F72" s="1035">
        <v>105.77557561391582</v>
      </c>
      <c r="G72" s="1036">
        <v>1079.3707650689585</v>
      </c>
      <c r="H72" s="1032">
        <f>+IF(C72="", 0,SUM(F72:G72))</f>
        <v>1185.1463406828743</v>
      </c>
      <c r="I72" s="1035">
        <v>1018.8</v>
      </c>
      <c r="J72" s="1032">
        <f>+IF(C72="", 0,I72)</f>
        <v>1018.8</v>
      </c>
      <c r="K72" s="1035">
        <v>0</v>
      </c>
      <c r="L72" s="1074">
        <v>53.436</v>
      </c>
      <c r="M72" s="1032">
        <f>+IF(C72="",0,K72+L72)</f>
        <v>53.436</v>
      </c>
      <c r="N72" s="1035">
        <v>163.51999999999998</v>
      </c>
      <c r="O72" s="1036">
        <v>477.12799999999999</v>
      </c>
      <c r="P72" s="1032">
        <f>+IF(C72="", 0,SUM(N72:O72))</f>
        <v>640.64799999999991</v>
      </c>
      <c r="Q72" s="1035">
        <v>57</v>
      </c>
      <c r="R72" s="1036">
        <v>231</v>
      </c>
      <c r="S72" s="1032">
        <f>+IF(C72="",0,SUM(Q72:R72))</f>
        <v>288</v>
      </c>
      <c r="T72" s="1035">
        <v>99</v>
      </c>
      <c r="U72" s="1036">
        <v>277.5</v>
      </c>
      <c r="V72" s="1032">
        <f>+IF(C72="",0,SUM(T72:U72))</f>
        <v>376.5</v>
      </c>
      <c r="W72" s="1037">
        <f t="shared" si="162"/>
        <v>3562.5303406828743</v>
      </c>
      <c r="X72" s="1106">
        <v>3.1252212856217856</v>
      </c>
      <c r="Y72" s="1107">
        <v>106.6007081139897</v>
      </c>
      <c r="Z72" s="1408">
        <v>24.108849917653774</v>
      </c>
      <c r="AA72" s="1040">
        <f t="shared" si="184"/>
        <v>24.108849917653774</v>
      </c>
      <c r="AB72" s="1106">
        <v>4054.4488074691899</v>
      </c>
      <c r="AC72" s="1107">
        <v>3756.4380550980759</v>
      </c>
      <c r="AD72" s="1108">
        <f t="shared" si="164"/>
        <v>7810.8868625672658</v>
      </c>
      <c r="AE72" s="1106">
        <v>16906.623243279984</v>
      </c>
      <c r="AF72" s="1108">
        <f t="shared" si="165"/>
        <v>16906.623243279984</v>
      </c>
      <c r="AG72" s="1106">
        <v>9458.8685947747072</v>
      </c>
      <c r="AH72" s="1108">
        <f t="shared" si="166"/>
        <v>9458.8685947747072</v>
      </c>
      <c r="AI72" s="1106">
        <v>384.31562088087594</v>
      </c>
      <c r="AJ72" s="1107">
        <v>11.74190283026471</v>
      </c>
      <c r="AK72" s="1107">
        <v>894.85522234067412</v>
      </c>
      <c r="AL72" s="1107">
        <v>284.30544437990471</v>
      </c>
      <c r="AM72" s="1109">
        <v>0</v>
      </c>
      <c r="AN72" s="1109">
        <v>0</v>
      </c>
      <c r="AO72" s="1040">
        <f>AI72+AM72+AN72</f>
        <v>384.31562088087594</v>
      </c>
      <c r="AP72" s="1106">
        <v>15979.56815446429</v>
      </c>
      <c r="AQ72" s="1108">
        <f t="shared" si="168"/>
        <v>15979.56815446429</v>
      </c>
      <c r="AR72" s="1106">
        <v>4780.2427255548901</v>
      </c>
      <c r="AS72" s="1107">
        <v>5389.236463047373</v>
      </c>
      <c r="AT72" s="1408">
        <v>2171.6970113336729</v>
      </c>
      <c r="AU72" s="1040">
        <f t="shared" si="131"/>
        <v>2171.6970113336729</v>
      </c>
      <c r="AV72" s="1106">
        <v>77.807522203923043</v>
      </c>
      <c r="AW72" s="1107">
        <v>14072.993142603837</v>
      </c>
      <c r="AX72" s="1108">
        <f t="shared" si="169"/>
        <v>14150.800664807759</v>
      </c>
      <c r="AY72" s="1106">
        <v>357.27721285621783</v>
      </c>
      <c r="AZ72" s="1108">
        <f t="shared" si="170"/>
        <v>357.27721285621783</v>
      </c>
      <c r="BA72" s="1106">
        <v>8167.7487192395438</v>
      </c>
      <c r="BB72" s="1107">
        <v>2763.845688472336</v>
      </c>
      <c r="BC72" s="1108">
        <f t="shared" si="171"/>
        <v>10931.59440771188</v>
      </c>
      <c r="BD72" s="1042">
        <f t="shared" si="172"/>
        <v>78175.740622594298</v>
      </c>
      <c r="BE72" s="1052"/>
      <c r="BF72" s="1053"/>
      <c r="BG72" s="1048">
        <f t="shared" si="8"/>
        <v>0</v>
      </c>
      <c r="BH72" s="1052">
        <v>17.86</v>
      </c>
      <c r="BI72" s="1053">
        <v>27.2</v>
      </c>
      <c r="BJ72" s="1053">
        <v>106.86</v>
      </c>
      <c r="BK72" s="1053">
        <v>10.199999999999999</v>
      </c>
      <c r="BL72" s="1048">
        <f t="shared" si="173"/>
        <v>162.12</v>
      </c>
      <c r="BM72" s="1052">
        <v>21.86</v>
      </c>
      <c r="BN72" s="1053"/>
      <c r="BO72" s="1048">
        <f t="shared" si="174"/>
        <v>21.86</v>
      </c>
      <c r="BP72" s="1052"/>
      <c r="BQ72" s="1053"/>
      <c r="BR72" s="1053"/>
      <c r="BS72" s="1053"/>
      <c r="BT72" s="1053">
        <v>12</v>
      </c>
      <c r="BU72" s="1048">
        <f t="shared" si="175"/>
        <v>12</v>
      </c>
      <c r="BV72" s="1052">
        <v>15.45</v>
      </c>
      <c r="BW72" s="1053">
        <v>17.97</v>
      </c>
      <c r="BX72" s="1053">
        <v>174.47</v>
      </c>
      <c r="BY72" s="1053">
        <v>11.9</v>
      </c>
      <c r="BZ72" s="1053">
        <v>35.6</v>
      </c>
      <c r="CA72" s="1053">
        <v>30.5</v>
      </c>
      <c r="CB72" s="1053">
        <v>18.940000000000001</v>
      </c>
      <c r="CC72" s="1048">
        <f t="shared" si="176"/>
        <v>304.83</v>
      </c>
      <c r="CD72" s="1052">
        <v>2.6819999999999999</v>
      </c>
      <c r="CE72" s="1053">
        <v>14.750999999999999</v>
      </c>
      <c r="CF72" s="1053">
        <v>5.3639999999999999</v>
      </c>
      <c r="CG72" s="1053">
        <v>5.3639999999999999</v>
      </c>
      <c r="CH72" s="1048">
        <f t="shared" si="177"/>
        <v>28.161000000000001</v>
      </c>
      <c r="CI72" s="1052">
        <v>27.266999999999999</v>
      </c>
      <c r="CJ72" s="1053">
        <v>4.0229999999999997</v>
      </c>
      <c r="CK72" s="1053">
        <v>31.736999999999998</v>
      </c>
      <c r="CL72" s="1053">
        <v>11.622</v>
      </c>
      <c r="CM72" s="1053">
        <v>95.210999999999999</v>
      </c>
      <c r="CN72" s="1053">
        <v>73.997</v>
      </c>
      <c r="CO72" s="1051">
        <f t="shared" si="154"/>
        <v>243.85700000000003</v>
      </c>
      <c r="CP72" s="1052">
        <v>28.161000000000001</v>
      </c>
      <c r="CQ72" s="1053">
        <v>17.023</v>
      </c>
      <c r="CR72" s="1048">
        <f t="shared" si="178"/>
        <v>45.183999999999997</v>
      </c>
      <c r="CS72" s="1052">
        <v>54.846899999999998</v>
      </c>
      <c r="CT72" s="1053">
        <v>36.117600000000003</v>
      </c>
      <c r="CU72" s="1053">
        <v>5.6322000000000001</v>
      </c>
      <c r="CV72" s="1053">
        <v>24.808499999999999</v>
      </c>
      <c r="CW72" s="1048">
        <f t="shared" si="179"/>
        <v>121.40519999999999</v>
      </c>
      <c r="CX72" s="1052">
        <v>10.728</v>
      </c>
      <c r="CY72" s="1048">
        <f t="shared" si="180"/>
        <v>10.728</v>
      </c>
      <c r="CZ72" s="1103">
        <f t="shared" si="181"/>
        <v>950.14520000000016</v>
      </c>
      <c r="DA72" s="1104">
        <f t="shared" si="182"/>
        <v>82688.416163277172</v>
      </c>
      <c r="DI72" s="1042">
        <f t="shared" si="183"/>
        <v>1170.6503000000002</v>
      </c>
    </row>
    <row r="73" spans="1:113" s="1055" customFormat="1">
      <c r="A73" s="955" t="s">
        <v>1374</v>
      </c>
      <c r="B73" s="1102" t="s">
        <v>893</v>
      </c>
      <c r="C73" s="1030" t="s">
        <v>1364</v>
      </c>
      <c r="D73" s="1035"/>
      <c r="E73" s="1032">
        <f t="shared" si="3"/>
        <v>0</v>
      </c>
      <c r="F73" s="1035"/>
      <c r="G73" s="1036"/>
      <c r="H73" s="1032" t="e">
        <f>+'Acarreos Tramo 2 Fase II'!Y40</f>
        <v>#REF!</v>
      </c>
      <c r="I73" s="1035"/>
      <c r="J73" s="1032" t="e">
        <f>+'Acarreos Tramo 2 Fase II'!Y54</f>
        <v>#REF!</v>
      </c>
      <c r="K73" s="1035"/>
      <c r="L73" s="1074"/>
      <c r="M73" s="1032" t="e">
        <f>+'Acarreos Tramo 2 Fase II'!Y68</f>
        <v>#REF!</v>
      </c>
      <c r="N73" s="1035"/>
      <c r="O73" s="1036"/>
      <c r="P73" s="1032" t="e">
        <f>+'Acarreos Tramo 2 Fase II'!Y81</f>
        <v>#REF!</v>
      </c>
      <c r="Q73" s="1035"/>
      <c r="R73" s="1036"/>
      <c r="S73" s="1032" t="e">
        <f>+'Acarreos Tramo 2 Fase II'!Y95</f>
        <v>#REF!</v>
      </c>
      <c r="T73" s="1035"/>
      <c r="U73" s="1036"/>
      <c r="V73" s="1032" t="e">
        <f>+'Acarreos Tramo 2 Fase II'!Y108</f>
        <v>#REF!</v>
      </c>
      <c r="W73" s="1037" t="e">
        <f t="shared" si="162"/>
        <v>#REF!</v>
      </c>
      <c r="X73" s="1106"/>
      <c r="Y73" s="1107"/>
      <c r="Z73" s="1408"/>
      <c r="AA73" s="1040">
        <f t="shared" si="184"/>
        <v>0</v>
      </c>
      <c r="AB73" s="1106"/>
      <c r="AC73" s="1107"/>
      <c r="AD73" s="1108" t="e">
        <f>+#REF!</f>
        <v>#REF!</v>
      </c>
      <c r="AE73" s="1106"/>
      <c r="AF73" s="1108" t="e">
        <f>+#REF!</f>
        <v>#REF!</v>
      </c>
      <c r="AG73" s="1106"/>
      <c r="AH73" s="1108" t="e">
        <f>+#REF!</f>
        <v>#REF!</v>
      </c>
      <c r="AI73" s="1106"/>
      <c r="AJ73" s="1107"/>
      <c r="AK73" s="1107"/>
      <c r="AL73" s="1107"/>
      <c r="AM73" s="1109"/>
      <c r="AN73" s="1109"/>
      <c r="AO73" s="1108" t="e">
        <f>+#REF!</f>
        <v>#REF!</v>
      </c>
      <c r="AP73" s="1106"/>
      <c r="AQ73" s="1108" t="e">
        <f>+#REF!</f>
        <v>#REF!</v>
      </c>
      <c r="AR73" s="1106"/>
      <c r="AS73" s="1107"/>
      <c r="AT73" s="1408"/>
      <c r="AU73" s="1040">
        <f t="shared" si="131"/>
        <v>0</v>
      </c>
      <c r="AV73" s="1106"/>
      <c r="AW73" s="1107"/>
      <c r="AX73" s="1108" t="e">
        <f>+#REF!</f>
        <v>#REF!</v>
      </c>
      <c r="AY73" s="1106"/>
      <c r="AZ73" s="1108" t="e">
        <f>+#REF!</f>
        <v>#REF!</v>
      </c>
      <c r="BA73" s="1106"/>
      <c r="BB73" s="1107"/>
      <c r="BC73" s="1108" t="e">
        <f>+#REF!</f>
        <v>#REF!</v>
      </c>
      <c r="BD73" s="1042" t="e">
        <f t="shared" si="172"/>
        <v>#REF!</v>
      </c>
      <c r="BE73" s="1052"/>
      <c r="BF73" s="1053"/>
      <c r="BG73" s="1048">
        <f t="shared" si="8"/>
        <v>0</v>
      </c>
      <c r="BH73" s="1052"/>
      <c r="BI73" s="1053"/>
      <c r="BJ73" s="1053"/>
      <c r="BK73" s="1053"/>
      <c r="BL73" s="1048" t="e">
        <f>+'Acarreos Tramo 7 Fase II'!AI26</f>
        <v>#REF!</v>
      </c>
      <c r="BM73" s="1052"/>
      <c r="BN73" s="1053"/>
      <c r="BO73" s="1048" t="e">
        <f>+'Acarreos Tramo 7 Fase II'!AI40</f>
        <v>#REF!</v>
      </c>
      <c r="BP73" s="1052"/>
      <c r="BQ73" s="1053"/>
      <c r="BR73" s="1053"/>
      <c r="BS73" s="1053"/>
      <c r="BT73" s="1053"/>
      <c r="BU73" s="1048" t="e">
        <f>+'Acarreos Tramo 7 Fase II'!AI53</f>
        <v>#REF!</v>
      </c>
      <c r="BV73" s="1049"/>
      <c r="BW73" s="1050"/>
      <c r="BX73" s="1050"/>
      <c r="BY73" s="1050"/>
      <c r="BZ73" s="1050"/>
      <c r="CA73" s="1053"/>
      <c r="CB73" s="1053"/>
      <c r="CC73" s="1048" t="e">
        <f>+'Acarreos Tramo 7 Fase II'!AI80</f>
        <v>#REF!</v>
      </c>
      <c r="CD73" s="1052"/>
      <c r="CE73" s="1053"/>
      <c r="CF73" s="1053"/>
      <c r="CG73" s="1053"/>
      <c r="CH73" s="1048" t="e">
        <f>+'Acarreos Tramo 7 Fase II'!AI67</f>
        <v>#REF!</v>
      </c>
      <c r="CI73" s="1052"/>
      <c r="CJ73" s="1053"/>
      <c r="CK73" s="1053"/>
      <c r="CL73" s="1053"/>
      <c r="CM73" s="1053"/>
      <c r="CN73" s="1053"/>
      <c r="CO73" s="1051" t="e">
        <f>+'Acarreos Tramo 7 Fase II'!AI107</f>
        <v>#REF!</v>
      </c>
      <c r="CP73" s="1052"/>
      <c r="CQ73" s="1053"/>
      <c r="CR73" s="1048" t="e">
        <f>+'Acarreos Tramo 7 Fase II'!AI94</f>
        <v>#REF!</v>
      </c>
      <c r="CS73" s="1052"/>
      <c r="CT73" s="1053"/>
      <c r="CU73" s="1053"/>
      <c r="CV73" s="1053"/>
      <c r="CW73" s="1048" t="e">
        <f>+'Acarreos Tramo 7 Fase II'!AI121</f>
        <v>#REF!</v>
      </c>
      <c r="CX73" s="1052"/>
      <c r="CY73" s="1048" t="e">
        <f>+'Acarreos Tramo 7 Fase II'!AI134</f>
        <v>#REF!</v>
      </c>
      <c r="CZ73" s="1103" t="e">
        <f t="shared" si="181"/>
        <v>#REF!</v>
      </c>
      <c r="DA73" s="1104" t="e">
        <f t="shared" si="182"/>
        <v>#REF!</v>
      </c>
      <c r="DI73" s="1042">
        <f t="shared" si="183"/>
        <v>0</v>
      </c>
    </row>
    <row r="74" spans="1:113" s="1055" customFormat="1">
      <c r="A74" s="955" t="s">
        <v>1375</v>
      </c>
      <c r="B74" s="1102" t="s">
        <v>895</v>
      </c>
      <c r="C74" s="1030" t="s">
        <v>81</v>
      </c>
      <c r="D74" s="1035"/>
      <c r="E74" s="1032">
        <f t="shared" si="3"/>
        <v>0</v>
      </c>
      <c r="F74" s="1035">
        <v>230</v>
      </c>
      <c r="G74" s="1036">
        <v>2347</v>
      </c>
      <c r="H74" s="1032">
        <f t="shared" ref="H74:H80" si="185">+IF(C74="", 0,SUM(F74:G74))</f>
        <v>2577</v>
      </c>
      <c r="I74" s="1035">
        <v>0</v>
      </c>
      <c r="J74" s="1032">
        <f t="shared" ref="J74:J80" si="186">+IF(C74="", 0,I74)</f>
        <v>0</v>
      </c>
      <c r="K74" s="1035">
        <v>0</v>
      </c>
      <c r="L74" s="1074">
        <v>183</v>
      </c>
      <c r="M74" s="1032">
        <f t="shared" ref="M74:M80" si="187">+IF(C74="",0,K74+L74)</f>
        <v>183</v>
      </c>
      <c r="N74" s="1035">
        <v>560</v>
      </c>
      <c r="O74" s="1036">
        <v>1634</v>
      </c>
      <c r="P74" s="1032">
        <f t="shared" ref="P74:P80" si="188">+IF(C74="", 0,SUM(N74:O74))</f>
        <v>2194</v>
      </c>
      <c r="Q74" s="1035">
        <v>190</v>
      </c>
      <c r="R74" s="1036">
        <v>770</v>
      </c>
      <c r="S74" s="1032">
        <f t="shared" ref="S74:S80" si="189">+IF(C74="",0,SUM(Q74:R74))</f>
        <v>960</v>
      </c>
      <c r="T74" s="1035">
        <v>330</v>
      </c>
      <c r="U74" s="1036">
        <v>925</v>
      </c>
      <c r="V74" s="1032">
        <f t="shared" ref="V74:V80" si="190">+IF(C74="",0,SUM(T74:U74))</f>
        <v>1255</v>
      </c>
      <c r="W74" s="1037">
        <f t="shared" si="162"/>
        <v>7169</v>
      </c>
      <c r="X74" s="1038">
        <v>70</v>
      </c>
      <c r="Y74" s="1039">
        <v>224</v>
      </c>
      <c r="Z74" s="1408">
        <v>540</v>
      </c>
      <c r="AA74" s="1040">
        <f t="shared" si="184"/>
        <v>540</v>
      </c>
      <c r="AB74" s="1038">
        <v>3238</v>
      </c>
      <c r="AC74" s="1039">
        <v>3000</v>
      </c>
      <c r="AD74" s="1040">
        <f t="shared" si="164"/>
        <v>6238</v>
      </c>
      <c r="AE74" s="1038">
        <v>19780</v>
      </c>
      <c r="AF74" s="1040">
        <f t="shared" si="165"/>
        <v>19780</v>
      </c>
      <c r="AG74" s="1038">
        <v>16050</v>
      </c>
      <c r="AH74" s="1040">
        <f t="shared" si="166"/>
        <v>16050</v>
      </c>
      <c r="AI74" s="1038">
        <v>2117</v>
      </c>
      <c r="AJ74" s="1039">
        <v>263</v>
      </c>
      <c r="AK74" s="1039">
        <v>1652</v>
      </c>
      <c r="AL74" s="1039">
        <v>2852</v>
      </c>
      <c r="AM74" s="1041">
        <v>0</v>
      </c>
      <c r="AN74" s="1041">
        <v>0</v>
      </c>
      <c r="AO74" s="1040">
        <f>AI74+AM74+AN74</f>
        <v>2117</v>
      </c>
      <c r="AP74" s="1038">
        <v>19300</v>
      </c>
      <c r="AQ74" s="1040">
        <f t="shared" si="168"/>
        <v>19300</v>
      </c>
      <c r="AR74" s="1038">
        <v>3817.640000000014</v>
      </c>
      <c r="AS74" s="1039">
        <v>4304</v>
      </c>
      <c r="AT74" s="1408">
        <v>1734.3800000000047</v>
      </c>
      <c r="AU74" s="1040">
        <f t="shared" si="131"/>
        <v>1734.3800000000047</v>
      </c>
      <c r="AV74" s="1038">
        <v>120</v>
      </c>
      <c r="AW74" s="1039">
        <v>13126.619999999999</v>
      </c>
      <c r="AX74" s="1040">
        <f t="shared" si="169"/>
        <v>13246.619999999999</v>
      </c>
      <c r="AY74" s="1038">
        <v>700</v>
      </c>
      <c r="AZ74" s="1040">
        <f t="shared" si="170"/>
        <v>700</v>
      </c>
      <c r="BA74" s="1038">
        <v>6954.12</v>
      </c>
      <c r="BB74" s="1039">
        <v>3946</v>
      </c>
      <c r="BC74" s="1040">
        <f t="shared" si="171"/>
        <v>10900.119999999999</v>
      </c>
      <c r="BD74" s="1042">
        <f t="shared" si="172"/>
        <v>90606.12</v>
      </c>
      <c r="BE74" s="1052"/>
      <c r="BF74" s="1053"/>
      <c r="BG74" s="1048">
        <f t="shared" si="8"/>
        <v>0</v>
      </c>
      <c r="BH74" s="1052">
        <v>367.66</v>
      </c>
      <c r="BI74" s="1053">
        <v>560</v>
      </c>
      <c r="BJ74" s="1053">
        <v>2200</v>
      </c>
      <c r="BK74" s="1053">
        <v>210</v>
      </c>
      <c r="BL74" s="1048">
        <f t="shared" si="173"/>
        <v>3337.66</v>
      </c>
      <c r="BM74" s="1052">
        <v>450</v>
      </c>
      <c r="BN74" s="1053"/>
      <c r="BO74" s="1048">
        <f t="shared" si="174"/>
        <v>450</v>
      </c>
      <c r="BP74" s="1052"/>
      <c r="BQ74" s="1053"/>
      <c r="BR74" s="1053"/>
      <c r="BS74" s="1053"/>
      <c r="BT74" s="1053">
        <v>247</v>
      </c>
      <c r="BU74" s="1048">
        <f t="shared" si="175"/>
        <v>247</v>
      </c>
      <c r="BV74" s="1049">
        <v>318</v>
      </c>
      <c r="BW74" s="1050">
        <v>370</v>
      </c>
      <c r="BX74" s="1050">
        <v>3592</v>
      </c>
      <c r="BY74" s="1050">
        <v>245</v>
      </c>
      <c r="BZ74" s="1050">
        <v>733</v>
      </c>
      <c r="CA74" s="1053">
        <v>628</v>
      </c>
      <c r="CB74" s="1053">
        <v>390</v>
      </c>
      <c r="CC74" s="1048">
        <f t="shared" si="176"/>
        <v>6276</v>
      </c>
      <c r="CD74" s="1052">
        <v>60</v>
      </c>
      <c r="CE74" s="1053">
        <v>330</v>
      </c>
      <c r="CF74" s="1053">
        <v>120</v>
      </c>
      <c r="CG74" s="1053">
        <v>120</v>
      </c>
      <c r="CH74" s="1048">
        <f t="shared" si="177"/>
        <v>630</v>
      </c>
      <c r="CI74" s="1052">
        <v>610</v>
      </c>
      <c r="CJ74" s="1053">
        <v>90</v>
      </c>
      <c r="CK74" s="1053">
        <v>710</v>
      </c>
      <c r="CL74" s="1053">
        <v>260</v>
      </c>
      <c r="CM74" s="1053">
        <v>2130</v>
      </c>
      <c r="CN74" s="1053">
        <v>1655.42</v>
      </c>
      <c r="CO74" s="1051">
        <f t="shared" si="154"/>
        <v>5455.42</v>
      </c>
      <c r="CP74" s="1052">
        <v>630</v>
      </c>
      <c r="CQ74" s="1053">
        <v>380.83</v>
      </c>
      <c r="CR74" s="1048">
        <f t="shared" si="178"/>
        <v>1010.8299999999999</v>
      </c>
      <c r="CS74" s="1052">
        <v>1227</v>
      </c>
      <c r="CT74" s="1053">
        <v>808</v>
      </c>
      <c r="CU74" s="1053">
        <v>126</v>
      </c>
      <c r="CV74" s="1053">
        <v>555</v>
      </c>
      <c r="CW74" s="1048">
        <f t="shared" si="179"/>
        <v>2716</v>
      </c>
      <c r="CX74" s="1052">
        <v>240</v>
      </c>
      <c r="CY74" s="1048">
        <f t="shared" si="180"/>
        <v>240</v>
      </c>
      <c r="CZ74" s="1103">
        <f t="shared" si="181"/>
        <v>20362.91</v>
      </c>
      <c r="DA74" s="1104">
        <f t="shared" si="182"/>
        <v>118138.03</v>
      </c>
      <c r="DI74" s="1042">
        <f t="shared" si="183"/>
        <v>25295.91</v>
      </c>
    </row>
    <row r="75" spans="1:113" s="1055" customFormat="1" ht="30">
      <c r="A75" s="955" t="s">
        <v>1376</v>
      </c>
      <c r="B75" s="1102" t="s">
        <v>896</v>
      </c>
      <c r="C75" s="1030" t="s">
        <v>81</v>
      </c>
      <c r="D75" s="1035"/>
      <c r="E75" s="1032">
        <f t="shared" si="3"/>
        <v>0</v>
      </c>
      <c r="F75" s="1035">
        <v>0</v>
      </c>
      <c r="G75" s="1036">
        <v>0</v>
      </c>
      <c r="H75" s="1032">
        <f t="shared" si="185"/>
        <v>0</v>
      </c>
      <c r="I75" s="1035">
        <v>96</v>
      </c>
      <c r="J75" s="1032">
        <f t="shared" si="186"/>
        <v>96</v>
      </c>
      <c r="K75" s="1035">
        <v>0</v>
      </c>
      <c r="L75" s="1074">
        <v>0</v>
      </c>
      <c r="M75" s="1032">
        <f t="shared" si="187"/>
        <v>0</v>
      </c>
      <c r="N75" s="1035">
        <v>0</v>
      </c>
      <c r="O75" s="1036">
        <v>0</v>
      </c>
      <c r="P75" s="1032">
        <f t="shared" si="188"/>
        <v>0</v>
      </c>
      <c r="Q75" s="1035">
        <v>0</v>
      </c>
      <c r="R75" s="1036">
        <v>0</v>
      </c>
      <c r="S75" s="1032">
        <f t="shared" si="189"/>
        <v>0</v>
      </c>
      <c r="T75" s="1035">
        <v>0</v>
      </c>
      <c r="U75" s="1036">
        <v>0</v>
      </c>
      <c r="V75" s="1032">
        <f t="shared" si="190"/>
        <v>0</v>
      </c>
      <c r="W75" s="1037">
        <f t="shared" si="162"/>
        <v>96</v>
      </c>
      <c r="X75" s="1106">
        <v>0</v>
      </c>
      <c r="Y75" s="1107">
        <v>0</v>
      </c>
      <c r="Z75" s="1408">
        <v>0</v>
      </c>
      <c r="AA75" s="1108">
        <f t="shared" si="163"/>
        <v>0</v>
      </c>
      <c r="AB75" s="1106">
        <v>0</v>
      </c>
      <c r="AC75" s="1107">
        <v>0</v>
      </c>
      <c r="AD75" s="1108">
        <f t="shared" si="164"/>
        <v>0</v>
      </c>
      <c r="AE75" s="1106">
        <v>0</v>
      </c>
      <c r="AF75" s="1108">
        <f t="shared" si="165"/>
        <v>0</v>
      </c>
      <c r="AG75" s="1106">
        <v>0</v>
      </c>
      <c r="AH75" s="1108">
        <f t="shared" si="166"/>
        <v>0</v>
      </c>
      <c r="AI75" s="1106">
        <v>0</v>
      </c>
      <c r="AJ75" s="1107">
        <v>0</v>
      </c>
      <c r="AK75" s="1107">
        <v>0</v>
      </c>
      <c r="AL75" s="1107">
        <v>0</v>
      </c>
      <c r="AM75" s="1109">
        <v>0</v>
      </c>
      <c r="AN75" s="1109">
        <v>0</v>
      </c>
      <c r="AO75" s="1108">
        <f t="shared" si="167"/>
        <v>0</v>
      </c>
      <c r="AP75" s="1106">
        <v>0</v>
      </c>
      <c r="AQ75" s="1108">
        <f t="shared" si="168"/>
        <v>0</v>
      </c>
      <c r="AR75" s="1106">
        <v>0</v>
      </c>
      <c r="AS75" s="1107">
        <v>0</v>
      </c>
      <c r="AT75" s="1408">
        <v>0</v>
      </c>
      <c r="AU75" s="1040">
        <f t="shared" si="131"/>
        <v>0</v>
      </c>
      <c r="AV75" s="1106">
        <v>0</v>
      </c>
      <c r="AW75" s="1107">
        <v>0</v>
      </c>
      <c r="AX75" s="1108">
        <f t="shared" si="169"/>
        <v>0</v>
      </c>
      <c r="AY75" s="1106">
        <v>0</v>
      </c>
      <c r="AZ75" s="1108">
        <f t="shared" si="170"/>
        <v>0</v>
      </c>
      <c r="BA75" s="1106">
        <v>0</v>
      </c>
      <c r="BB75" s="1107">
        <v>0</v>
      </c>
      <c r="BC75" s="1108">
        <f t="shared" si="171"/>
        <v>0</v>
      </c>
      <c r="BD75" s="1042">
        <f t="shared" si="172"/>
        <v>0</v>
      </c>
      <c r="BE75" s="1052"/>
      <c r="BF75" s="1053"/>
      <c r="BG75" s="1048">
        <f t="shared" si="8"/>
        <v>0</v>
      </c>
      <c r="BH75" s="1052"/>
      <c r="BI75" s="1053"/>
      <c r="BJ75" s="1053"/>
      <c r="BK75" s="1053"/>
      <c r="BL75" s="1048">
        <f t="shared" si="173"/>
        <v>0</v>
      </c>
      <c r="BM75" s="1052"/>
      <c r="BN75" s="1053"/>
      <c r="BO75" s="1048">
        <f t="shared" si="174"/>
        <v>0</v>
      </c>
      <c r="BP75" s="1049"/>
      <c r="BQ75" s="1050"/>
      <c r="BR75" s="1050"/>
      <c r="BS75" s="1050"/>
      <c r="BT75" s="1053"/>
      <c r="BU75" s="1048">
        <f t="shared" si="175"/>
        <v>0</v>
      </c>
      <c r="BV75" s="1049"/>
      <c r="BW75" s="1050"/>
      <c r="BX75" s="1050"/>
      <c r="BY75" s="1050"/>
      <c r="BZ75" s="1050"/>
      <c r="CA75" s="1050"/>
      <c r="CB75" s="1053"/>
      <c r="CC75" s="1048">
        <f t="shared" si="176"/>
        <v>0</v>
      </c>
      <c r="CD75" s="1052"/>
      <c r="CE75" s="1053"/>
      <c r="CF75" s="1053"/>
      <c r="CG75" s="1053"/>
      <c r="CH75" s="1048">
        <f t="shared" si="177"/>
        <v>0</v>
      </c>
      <c r="CI75" s="1049"/>
      <c r="CJ75" s="1050"/>
      <c r="CK75" s="1050"/>
      <c r="CL75" s="1050"/>
      <c r="CM75" s="1050"/>
      <c r="CN75" s="1050"/>
      <c r="CO75" s="1051">
        <f t="shared" si="154"/>
        <v>0</v>
      </c>
      <c r="CP75" s="1052"/>
      <c r="CQ75" s="1053"/>
      <c r="CR75" s="1048">
        <f t="shared" si="178"/>
        <v>0</v>
      </c>
      <c r="CS75" s="1052"/>
      <c r="CT75" s="1053"/>
      <c r="CU75" s="1053"/>
      <c r="CV75" s="1053"/>
      <c r="CW75" s="1048">
        <f t="shared" si="179"/>
        <v>0</v>
      </c>
      <c r="CX75" s="1052"/>
      <c r="CY75" s="1048">
        <f t="shared" si="180"/>
        <v>0</v>
      </c>
      <c r="CZ75" s="1048">
        <f t="shared" si="181"/>
        <v>0</v>
      </c>
      <c r="DA75" s="1112">
        <f t="shared" si="182"/>
        <v>96</v>
      </c>
      <c r="DI75" s="1042">
        <f t="shared" si="183"/>
        <v>0</v>
      </c>
    </row>
    <row r="76" spans="1:113" s="1055" customFormat="1">
      <c r="A76" s="955" t="s">
        <v>897</v>
      </c>
      <c r="B76" s="1102" t="s">
        <v>898</v>
      </c>
      <c r="C76" s="1030" t="s">
        <v>843</v>
      </c>
      <c r="D76" s="1035"/>
      <c r="E76" s="1032">
        <f t="shared" si="3"/>
        <v>0</v>
      </c>
      <c r="F76" s="1035">
        <v>0</v>
      </c>
      <c r="G76" s="1036">
        <v>0</v>
      </c>
      <c r="H76" s="1032">
        <f t="shared" si="185"/>
        <v>0</v>
      </c>
      <c r="I76" s="1035">
        <v>7641</v>
      </c>
      <c r="J76" s="1032">
        <f t="shared" si="186"/>
        <v>7641</v>
      </c>
      <c r="K76" s="1035">
        <v>0</v>
      </c>
      <c r="L76" s="1074">
        <v>0</v>
      </c>
      <c r="M76" s="1032">
        <f t="shared" si="187"/>
        <v>0</v>
      </c>
      <c r="N76" s="1035">
        <v>0</v>
      </c>
      <c r="O76" s="1036">
        <v>0</v>
      </c>
      <c r="P76" s="1032">
        <f t="shared" si="188"/>
        <v>0</v>
      </c>
      <c r="Q76" s="1035">
        <v>0</v>
      </c>
      <c r="R76" s="1036">
        <v>0</v>
      </c>
      <c r="S76" s="1032">
        <f t="shared" si="189"/>
        <v>0</v>
      </c>
      <c r="T76" s="1035">
        <v>0</v>
      </c>
      <c r="U76" s="1036">
        <v>0</v>
      </c>
      <c r="V76" s="1032">
        <f t="shared" si="190"/>
        <v>0</v>
      </c>
      <c r="W76" s="1037">
        <f t="shared" si="162"/>
        <v>7641</v>
      </c>
      <c r="X76" s="1038">
        <v>0</v>
      </c>
      <c r="Y76" s="1039">
        <v>0</v>
      </c>
      <c r="Z76" s="1408">
        <v>0</v>
      </c>
      <c r="AA76" s="1040">
        <f t="shared" si="163"/>
        <v>0</v>
      </c>
      <c r="AB76" s="1038">
        <v>0</v>
      </c>
      <c r="AC76" s="1039">
        <v>0</v>
      </c>
      <c r="AD76" s="1040">
        <f t="shared" si="164"/>
        <v>0</v>
      </c>
      <c r="AE76" s="1038">
        <v>0</v>
      </c>
      <c r="AF76" s="1040">
        <f t="shared" si="165"/>
        <v>0</v>
      </c>
      <c r="AG76" s="1038">
        <v>0</v>
      </c>
      <c r="AH76" s="1040">
        <f t="shared" si="166"/>
        <v>0</v>
      </c>
      <c r="AI76" s="1038">
        <v>0</v>
      </c>
      <c r="AJ76" s="1039">
        <v>0</v>
      </c>
      <c r="AK76" s="1039">
        <v>0</v>
      </c>
      <c r="AL76" s="1039">
        <v>0</v>
      </c>
      <c r="AM76" s="1041">
        <v>0</v>
      </c>
      <c r="AN76" s="1041">
        <v>0</v>
      </c>
      <c r="AO76" s="1040">
        <f t="shared" si="167"/>
        <v>0</v>
      </c>
      <c r="AP76" s="1038">
        <v>0</v>
      </c>
      <c r="AQ76" s="1040">
        <f t="shared" si="168"/>
        <v>0</v>
      </c>
      <c r="AR76" s="1038">
        <v>0</v>
      </c>
      <c r="AS76" s="1039">
        <v>0</v>
      </c>
      <c r="AT76" s="1408">
        <v>0</v>
      </c>
      <c r="AU76" s="1040">
        <f t="shared" si="131"/>
        <v>0</v>
      </c>
      <c r="AV76" s="1038">
        <v>0</v>
      </c>
      <c r="AW76" s="1039">
        <v>0</v>
      </c>
      <c r="AX76" s="1040">
        <f t="shared" si="169"/>
        <v>0</v>
      </c>
      <c r="AY76" s="1038">
        <v>0</v>
      </c>
      <c r="AZ76" s="1040">
        <f t="shared" si="170"/>
        <v>0</v>
      </c>
      <c r="BA76" s="1038">
        <v>0</v>
      </c>
      <c r="BB76" s="1039">
        <v>0</v>
      </c>
      <c r="BC76" s="1040">
        <f t="shared" si="171"/>
        <v>0</v>
      </c>
      <c r="BD76" s="1042">
        <f t="shared" si="172"/>
        <v>0</v>
      </c>
      <c r="BE76" s="1052"/>
      <c r="BF76" s="1053"/>
      <c r="BG76" s="1048">
        <f t="shared" si="8"/>
        <v>0</v>
      </c>
      <c r="BH76" s="1052"/>
      <c r="BI76" s="1053"/>
      <c r="BJ76" s="1053"/>
      <c r="BK76" s="1053"/>
      <c r="BL76" s="1048">
        <f t="shared" si="173"/>
        <v>0</v>
      </c>
      <c r="BM76" s="1052"/>
      <c r="BN76" s="1053"/>
      <c r="BO76" s="1048">
        <f t="shared" si="174"/>
        <v>0</v>
      </c>
      <c r="BP76" s="1049"/>
      <c r="BQ76" s="1050"/>
      <c r="BR76" s="1050"/>
      <c r="BS76" s="1050"/>
      <c r="BT76" s="1053"/>
      <c r="BU76" s="1048">
        <f t="shared" si="175"/>
        <v>0</v>
      </c>
      <c r="BV76" s="1049"/>
      <c r="BW76" s="1050"/>
      <c r="BX76" s="1050"/>
      <c r="BY76" s="1050"/>
      <c r="BZ76" s="1050"/>
      <c r="CA76" s="1050"/>
      <c r="CB76" s="1053"/>
      <c r="CC76" s="1048">
        <f t="shared" si="176"/>
        <v>0</v>
      </c>
      <c r="CD76" s="1052"/>
      <c r="CE76" s="1053"/>
      <c r="CF76" s="1053"/>
      <c r="CG76" s="1053"/>
      <c r="CH76" s="1048">
        <f t="shared" si="177"/>
        <v>0</v>
      </c>
      <c r="CI76" s="1049"/>
      <c r="CJ76" s="1050"/>
      <c r="CK76" s="1050"/>
      <c r="CL76" s="1050"/>
      <c r="CM76" s="1050"/>
      <c r="CN76" s="1050"/>
      <c r="CO76" s="1051">
        <f t="shared" si="154"/>
        <v>0</v>
      </c>
      <c r="CP76" s="1052"/>
      <c r="CQ76" s="1053"/>
      <c r="CR76" s="1048">
        <f t="shared" si="178"/>
        <v>0</v>
      </c>
      <c r="CS76" s="1052"/>
      <c r="CT76" s="1053"/>
      <c r="CU76" s="1053"/>
      <c r="CV76" s="1053"/>
      <c r="CW76" s="1048">
        <f t="shared" si="179"/>
        <v>0</v>
      </c>
      <c r="CX76" s="1052"/>
      <c r="CY76" s="1048">
        <f t="shared" si="180"/>
        <v>0</v>
      </c>
      <c r="CZ76" s="1048">
        <f t="shared" si="181"/>
        <v>0</v>
      </c>
      <c r="DA76" s="1104">
        <f t="shared" si="182"/>
        <v>7641</v>
      </c>
      <c r="DI76" s="1042">
        <f t="shared" si="183"/>
        <v>0</v>
      </c>
    </row>
    <row r="77" spans="1:113" s="1055" customFormat="1">
      <c r="A77" s="955" t="s">
        <v>899</v>
      </c>
      <c r="B77" s="1102" t="s">
        <v>900</v>
      </c>
      <c r="C77" s="1030" t="s">
        <v>843</v>
      </c>
      <c r="D77" s="1035"/>
      <c r="E77" s="1032">
        <f t="shared" si="3"/>
        <v>0</v>
      </c>
      <c r="F77" s="1035">
        <v>0</v>
      </c>
      <c r="G77" s="1036">
        <v>0</v>
      </c>
      <c r="H77" s="1032">
        <f t="shared" si="185"/>
        <v>0</v>
      </c>
      <c r="I77" s="1035">
        <v>0</v>
      </c>
      <c r="J77" s="1032">
        <f t="shared" si="186"/>
        <v>0</v>
      </c>
      <c r="K77" s="1035">
        <v>0</v>
      </c>
      <c r="L77" s="1074">
        <v>0</v>
      </c>
      <c r="M77" s="1032">
        <f t="shared" si="187"/>
        <v>0</v>
      </c>
      <c r="N77" s="1035">
        <v>0</v>
      </c>
      <c r="O77" s="1036">
        <v>0</v>
      </c>
      <c r="P77" s="1032">
        <f t="shared" si="188"/>
        <v>0</v>
      </c>
      <c r="Q77" s="1035">
        <v>0</v>
      </c>
      <c r="R77" s="1036">
        <v>0</v>
      </c>
      <c r="S77" s="1032">
        <f t="shared" si="189"/>
        <v>0</v>
      </c>
      <c r="T77" s="1035">
        <v>0</v>
      </c>
      <c r="U77" s="1036">
        <v>0</v>
      </c>
      <c r="V77" s="1032">
        <f t="shared" si="190"/>
        <v>0</v>
      </c>
      <c r="W77" s="1037">
        <f t="shared" si="162"/>
        <v>0</v>
      </c>
      <c r="X77" s="1038">
        <v>0</v>
      </c>
      <c r="Y77" s="1039">
        <v>0</v>
      </c>
      <c r="Z77" s="1408">
        <v>0</v>
      </c>
      <c r="AA77" s="1040">
        <f t="shared" si="163"/>
        <v>0</v>
      </c>
      <c r="AB77" s="1038">
        <v>0</v>
      </c>
      <c r="AC77" s="1039">
        <v>0</v>
      </c>
      <c r="AD77" s="1040">
        <f t="shared" si="164"/>
        <v>0</v>
      </c>
      <c r="AE77" s="1038">
        <v>0</v>
      </c>
      <c r="AF77" s="1040">
        <f t="shared" si="165"/>
        <v>0</v>
      </c>
      <c r="AG77" s="1038">
        <v>0</v>
      </c>
      <c r="AH77" s="1040">
        <f t="shared" si="166"/>
        <v>0</v>
      </c>
      <c r="AI77" s="1038">
        <v>0</v>
      </c>
      <c r="AJ77" s="1039">
        <v>0</v>
      </c>
      <c r="AK77" s="1039">
        <v>0</v>
      </c>
      <c r="AL77" s="1039">
        <v>0</v>
      </c>
      <c r="AM77" s="1041">
        <v>0</v>
      </c>
      <c r="AN77" s="1041">
        <v>0</v>
      </c>
      <c r="AO77" s="1040">
        <f t="shared" si="167"/>
        <v>0</v>
      </c>
      <c r="AP77" s="1038">
        <v>0</v>
      </c>
      <c r="AQ77" s="1040">
        <f t="shared" si="168"/>
        <v>0</v>
      </c>
      <c r="AR77" s="1038">
        <v>0</v>
      </c>
      <c r="AS77" s="1039">
        <v>0</v>
      </c>
      <c r="AT77" s="1408">
        <v>0</v>
      </c>
      <c r="AU77" s="1040">
        <f t="shared" si="131"/>
        <v>0</v>
      </c>
      <c r="AV77" s="1038">
        <v>0</v>
      </c>
      <c r="AW77" s="1039">
        <v>0</v>
      </c>
      <c r="AX77" s="1040">
        <f t="shared" si="169"/>
        <v>0</v>
      </c>
      <c r="AY77" s="1038">
        <v>0</v>
      </c>
      <c r="AZ77" s="1040">
        <f t="shared" si="170"/>
        <v>0</v>
      </c>
      <c r="BA77" s="1038">
        <v>0</v>
      </c>
      <c r="BB77" s="1039">
        <v>0</v>
      </c>
      <c r="BC77" s="1040">
        <f t="shared" si="171"/>
        <v>0</v>
      </c>
      <c r="BD77" s="1042">
        <f t="shared" si="172"/>
        <v>0</v>
      </c>
      <c r="BE77" s="1052"/>
      <c r="BF77" s="1053"/>
      <c r="BG77" s="1048">
        <f t="shared" si="8"/>
        <v>0</v>
      </c>
      <c r="BH77" s="1052"/>
      <c r="BI77" s="1053"/>
      <c r="BJ77" s="1053"/>
      <c r="BK77" s="1053"/>
      <c r="BL77" s="1048">
        <f t="shared" si="173"/>
        <v>0</v>
      </c>
      <c r="BM77" s="1052"/>
      <c r="BN77" s="1053"/>
      <c r="BO77" s="1048">
        <f t="shared" si="174"/>
        <v>0</v>
      </c>
      <c r="BP77" s="1049"/>
      <c r="BQ77" s="1050"/>
      <c r="BR77" s="1050"/>
      <c r="BS77" s="1050"/>
      <c r="BT77" s="1053"/>
      <c r="BU77" s="1048">
        <f t="shared" si="175"/>
        <v>0</v>
      </c>
      <c r="BV77" s="1049"/>
      <c r="BW77" s="1050"/>
      <c r="BX77" s="1050"/>
      <c r="BY77" s="1050"/>
      <c r="BZ77" s="1050"/>
      <c r="CA77" s="1050"/>
      <c r="CB77" s="1053"/>
      <c r="CC77" s="1048">
        <f t="shared" si="176"/>
        <v>0</v>
      </c>
      <c r="CD77" s="1052"/>
      <c r="CE77" s="1053"/>
      <c r="CF77" s="1053"/>
      <c r="CG77" s="1053"/>
      <c r="CH77" s="1048">
        <f t="shared" si="177"/>
        <v>0</v>
      </c>
      <c r="CI77" s="1049"/>
      <c r="CJ77" s="1050"/>
      <c r="CK77" s="1050"/>
      <c r="CL77" s="1050"/>
      <c r="CM77" s="1050"/>
      <c r="CN77" s="1050"/>
      <c r="CO77" s="1051">
        <f t="shared" si="154"/>
        <v>0</v>
      </c>
      <c r="CP77" s="1052"/>
      <c r="CQ77" s="1053"/>
      <c r="CR77" s="1048">
        <f t="shared" si="178"/>
        <v>0</v>
      </c>
      <c r="CS77" s="1052"/>
      <c r="CT77" s="1053"/>
      <c r="CU77" s="1053"/>
      <c r="CV77" s="1053"/>
      <c r="CW77" s="1048">
        <f t="shared" si="179"/>
        <v>0</v>
      </c>
      <c r="CX77" s="1052"/>
      <c r="CY77" s="1048">
        <f t="shared" si="180"/>
        <v>0</v>
      </c>
      <c r="CZ77" s="1048">
        <f t="shared" si="181"/>
        <v>0</v>
      </c>
      <c r="DA77" s="1104">
        <f t="shared" si="182"/>
        <v>0</v>
      </c>
      <c r="DI77" s="1042">
        <f t="shared" si="183"/>
        <v>0</v>
      </c>
    </row>
    <row r="78" spans="1:113" s="1055" customFormat="1">
      <c r="A78" s="955" t="s">
        <v>901</v>
      </c>
      <c r="B78" s="1102" t="s">
        <v>902</v>
      </c>
      <c r="C78" s="1030" t="s">
        <v>843</v>
      </c>
      <c r="D78" s="1035"/>
      <c r="E78" s="1032">
        <f t="shared" si="3"/>
        <v>0</v>
      </c>
      <c r="F78" s="1035">
        <v>0</v>
      </c>
      <c r="G78" s="1036">
        <v>0</v>
      </c>
      <c r="H78" s="1032">
        <f t="shared" si="185"/>
        <v>0</v>
      </c>
      <c r="I78" s="1035">
        <v>0</v>
      </c>
      <c r="J78" s="1032">
        <f t="shared" si="186"/>
        <v>0</v>
      </c>
      <c r="K78" s="1035">
        <v>0</v>
      </c>
      <c r="L78" s="1074">
        <v>0</v>
      </c>
      <c r="M78" s="1032">
        <f t="shared" si="187"/>
        <v>0</v>
      </c>
      <c r="N78" s="1035">
        <v>0</v>
      </c>
      <c r="O78" s="1036">
        <v>0</v>
      </c>
      <c r="P78" s="1032">
        <f t="shared" si="188"/>
        <v>0</v>
      </c>
      <c r="Q78" s="1035">
        <v>0</v>
      </c>
      <c r="R78" s="1036">
        <v>0</v>
      </c>
      <c r="S78" s="1032">
        <f t="shared" si="189"/>
        <v>0</v>
      </c>
      <c r="T78" s="1035">
        <v>0</v>
      </c>
      <c r="U78" s="1036">
        <v>0</v>
      </c>
      <c r="V78" s="1032">
        <f t="shared" si="190"/>
        <v>0</v>
      </c>
      <c r="W78" s="1037">
        <f t="shared" si="162"/>
        <v>0</v>
      </c>
      <c r="X78" s="1038">
        <v>0</v>
      </c>
      <c r="Y78" s="1039">
        <v>0</v>
      </c>
      <c r="Z78" s="1408">
        <v>0</v>
      </c>
      <c r="AA78" s="1040">
        <f t="shared" si="163"/>
        <v>0</v>
      </c>
      <c r="AB78" s="1038">
        <v>0</v>
      </c>
      <c r="AC78" s="1039">
        <v>0</v>
      </c>
      <c r="AD78" s="1040">
        <f t="shared" si="164"/>
        <v>0</v>
      </c>
      <c r="AE78" s="1038">
        <v>0</v>
      </c>
      <c r="AF78" s="1040">
        <f t="shared" si="165"/>
        <v>0</v>
      </c>
      <c r="AG78" s="1038">
        <v>0</v>
      </c>
      <c r="AH78" s="1040">
        <f t="shared" si="166"/>
        <v>0</v>
      </c>
      <c r="AI78" s="1038">
        <v>0</v>
      </c>
      <c r="AJ78" s="1039">
        <v>0</v>
      </c>
      <c r="AK78" s="1039">
        <v>0</v>
      </c>
      <c r="AL78" s="1039">
        <v>0</v>
      </c>
      <c r="AM78" s="1041">
        <v>0</v>
      </c>
      <c r="AN78" s="1041">
        <v>0</v>
      </c>
      <c r="AO78" s="1040">
        <f t="shared" si="167"/>
        <v>0</v>
      </c>
      <c r="AP78" s="1038">
        <v>0</v>
      </c>
      <c r="AQ78" s="1040">
        <f t="shared" si="168"/>
        <v>0</v>
      </c>
      <c r="AR78" s="1038">
        <v>0</v>
      </c>
      <c r="AS78" s="1039">
        <v>0</v>
      </c>
      <c r="AT78" s="1408">
        <v>0</v>
      </c>
      <c r="AU78" s="1040">
        <f t="shared" si="131"/>
        <v>0</v>
      </c>
      <c r="AV78" s="1038">
        <v>0</v>
      </c>
      <c r="AW78" s="1039">
        <v>0</v>
      </c>
      <c r="AX78" s="1040">
        <f t="shared" si="169"/>
        <v>0</v>
      </c>
      <c r="AY78" s="1038">
        <v>0</v>
      </c>
      <c r="AZ78" s="1040">
        <f t="shared" si="170"/>
        <v>0</v>
      </c>
      <c r="BA78" s="1038">
        <v>0</v>
      </c>
      <c r="BB78" s="1039">
        <v>0</v>
      </c>
      <c r="BC78" s="1040">
        <f t="shared" si="171"/>
        <v>0</v>
      </c>
      <c r="BD78" s="1042">
        <f t="shared" si="172"/>
        <v>0</v>
      </c>
      <c r="BE78" s="1052"/>
      <c r="BF78" s="1053"/>
      <c r="BG78" s="1048">
        <f t="shared" si="8"/>
        <v>0</v>
      </c>
      <c r="BH78" s="1052"/>
      <c r="BI78" s="1053"/>
      <c r="BJ78" s="1053"/>
      <c r="BK78" s="1053"/>
      <c r="BL78" s="1048">
        <f t="shared" si="173"/>
        <v>0</v>
      </c>
      <c r="BM78" s="1052"/>
      <c r="BN78" s="1053"/>
      <c r="BO78" s="1048">
        <f t="shared" si="174"/>
        <v>0</v>
      </c>
      <c r="BP78" s="1049"/>
      <c r="BQ78" s="1050"/>
      <c r="BR78" s="1050"/>
      <c r="BS78" s="1050"/>
      <c r="BT78" s="1053"/>
      <c r="BU78" s="1048">
        <f t="shared" si="175"/>
        <v>0</v>
      </c>
      <c r="BV78" s="1049"/>
      <c r="BW78" s="1050"/>
      <c r="BX78" s="1050"/>
      <c r="BY78" s="1050"/>
      <c r="BZ78" s="1050"/>
      <c r="CA78" s="1050"/>
      <c r="CB78" s="1053"/>
      <c r="CC78" s="1048">
        <f t="shared" si="176"/>
        <v>0</v>
      </c>
      <c r="CD78" s="1052"/>
      <c r="CE78" s="1053"/>
      <c r="CF78" s="1053"/>
      <c r="CG78" s="1053"/>
      <c r="CH78" s="1048">
        <f t="shared" si="177"/>
        <v>0</v>
      </c>
      <c r="CI78" s="1049"/>
      <c r="CJ78" s="1050"/>
      <c r="CK78" s="1050"/>
      <c r="CL78" s="1050"/>
      <c r="CM78" s="1050"/>
      <c r="CN78" s="1050"/>
      <c r="CO78" s="1051">
        <f t="shared" si="154"/>
        <v>0</v>
      </c>
      <c r="CP78" s="1052"/>
      <c r="CQ78" s="1053"/>
      <c r="CR78" s="1048">
        <f t="shared" si="178"/>
        <v>0</v>
      </c>
      <c r="CS78" s="1052"/>
      <c r="CT78" s="1053"/>
      <c r="CU78" s="1053"/>
      <c r="CV78" s="1053"/>
      <c r="CW78" s="1048">
        <f t="shared" si="179"/>
        <v>0</v>
      </c>
      <c r="CX78" s="1052"/>
      <c r="CY78" s="1048">
        <f t="shared" si="180"/>
        <v>0</v>
      </c>
      <c r="CZ78" s="1048">
        <f t="shared" si="181"/>
        <v>0</v>
      </c>
      <c r="DA78" s="1104">
        <f t="shared" si="182"/>
        <v>0</v>
      </c>
      <c r="DI78" s="1042">
        <f t="shared" si="183"/>
        <v>0</v>
      </c>
    </row>
    <row r="79" spans="1:113" s="1055" customFormat="1">
      <c r="A79" s="955" t="s">
        <v>903</v>
      </c>
      <c r="B79" s="1102" t="s">
        <v>904</v>
      </c>
      <c r="C79" s="1030" t="s">
        <v>843</v>
      </c>
      <c r="D79" s="1035"/>
      <c r="E79" s="1032">
        <f t="shared" si="3"/>
        <v>0</v>
      </c>
      <c r="F79" s="1035">
        <v>0</v>
      </c>
      <c r="G79" s="1036">
        <v>0</v>
      </c>
      <c r="H79" s="1032">
        <f t="shared" si="185"/>
        <v>0</v>
      </c>
      <c r="I79" s="1035">
        <v>0</v>
      </c>
      <c r="J79" s="1032">
        <f t="shared" si="186"/>
        <v>0</v>
      </c>
      <c r="K79" s="1035">
        <v>0</v>
      </c>
      <c r="L79" s="1074">
        <v>0</v>
      </c>
      <c r="M79" s="1032">
        <f t="shared" si="187"/>
        <v>0</v>
      </c>
      <c r="N79" s="1035">
        <v>0</v>
      </c>
      <c r="O79" s="1036">
        <v>0</v>
      </c>
      <c r="P79" s="1032">
        <f t="shared" si="188"/>
        <v>0</v>
      </c>
      <c r="Q79" s="1035">
        <v>0</v>
      </c>
      <c r="R79" s="1036">
        <v>0</v>
      </c>
      <c r="S79" s="1032">
        <f t="shared" si="189"/>
        <v>0</v>
      </c>
      <c r="T79" s="1035">
        <v>0</v>
      </c>
      <c r="U79" s="1036">
        <v>0</v>
      </c>
      <c r="V79" s="1032">
        <f t="shared" si="190"/>
        <v>0</v>
      </c>
      <c r="W79" s="1037">
        <f t="shared" si="162"/>
        <v>0</v>
      </c>
      <c r="X79" s="1038">
        <v>0</v>
      </c>
      <c r="Y79" s="1039">
        <v>0</v>
      </c>
      <c r="Z79" s="1408">
        <v>0</v>
      </c>
      <c r="AA79" s="1040">
        <f t="shared" si="163"/>
        <v>0</v>
      </c>
      <c r="AB79" s="1038">
        <v>0</v>
      </c>
      <c r="AC79" s="1039">
        <v>0</v>
      </c>
      <c r="AD79" s="1040">
        <f t="shared" si="164"/>
        <v>0</v>
      </c>
      <c r="AE79" s="1038">
        <v>0</v>
      </c>
      <c r="AF79" s="1040">
        <f t="shared" si="165"/>
        <v>0</v>
      </c>
      <c r="AG79" s="1038">
        <v>0</v>
      </c>
      <c r="AH79" s="1040">
        <f t="shared" si="166"/>
        <v>0</v>
      </c>
      <c r="AI79" s="1038">
        <v>0</v>
      </c>
      <c r="AJ79" s="1039">
        <v>0</v>
      </c>
      <c r="AK79" s="1039">
        <v>0</v>
      </c>
      <c r="AL79" s="1039">
        <v>0</v>
      </c>
      <c r="AM79" s="1041">
        <v>0</v>
      </c>
      <c r="AN79" s="1041">
        <v>0</v>
      </c>
      <c r="AO79" s="1040">
        <f t="shared" si="167"/>
        <v>0</v>
      </c>
      <c r="AP79" s="1038">
        <v>0</v>
      </c>
      <c r="AQ79" s="1040">
        <f t="shared" si="168"/>
        <v>0</v>
      </c>
      <c r="AR79" s="1038">
        <v>0</v>
      </c>
      <c r="AS79" s="1039">
        <v>0</v>
      </c>
      <c r="AT79" s="1408">
        <v>0</v>
      </c>
      <c r="AU79" s="1040">
        <f t="shared" si="131"/>
        <v>0</v>
      </c>
      <c r="AV79" s="1038">
        <v>0</v>
      </c>
      <c r="AW79" s="1039">
        <v>0</v>
      </c>
      <c r="AX79" s="1040">
        <f t="shared" si="169"/>
        <v>0</v>
      </c>
      <c r="AY79" s="1038">
        <v>0</v>
      </c>
      <c r="AZ79" s="1040">
        <f t="shared" si="170"/>
        <v>0</v>
      </c>
      <c r="BA79" s="1038">
        <v>0</v>
      </c>
      <c r="BB79" s="1039">
        <v>0</v>
      </c>
      <c r="BC79" s="1040">
        <f t="shared" si="171"/>
        <v>0</v>
      </c>
      <c r="BD79" s="1042">
        <f t="shared" si="172"/>
        <v>0</v>
      </c>
      <c r="BE79" s="1052"/>
      <c r="BF79" s="1053"/>
      <c r="BG79" s="1048">
        <f t="shared" si="8"/>
        <v>0</v>
      </c>
      <c r="BH79" s="1052"/>
      <c r="BI79" s="1053"/>
      <c r="BJ79" s="1053"/>
      <c r="BK79" s="1053"/>
      <c r="BL79" s="1048">
        <f t="shared" si="173"/>
        <v>0</v>
      </c>
      <c r="BM79" s="1052"/>
      <c r="BN79" s="1053"/>
      <c r="BO79" s="1048">
        <f t="shared" si="174"/>
        <v>0</v>
      </c>
      <c r="BP79" s="1049"/>
      <c r="BQ79" s="1050"/>
      <c r="BR79" s="1050"/>
      <c r="BS79" s="1050"/>
      <c r="BT79" s="1053"/>
      <c r="BU79" s="1048">
        <f t="shared" si="175"/>
        <v>0</v>
      </c>
      <c r="BV79" s="1049"/>
      <c r="BW79" s="1050"/>
      <c r="BX79" s="1050"/>
      <c r="BY79" s="1050"/>
      <c r="BZ79" s="1050"/>
      <c r="CA79" s="1050"/>
      <c r="CB79" s="1053"/>
      <c r="CC79" s="1048">
        <f t="shared" si="176"/>
        <v>0</v>
      </c>
      <c r="CD79" s="1052"/>
      <c r="CE79" s="1053"/>
      <c r="CF79" s="1053"/>
      <c r="CG79" s="1053"/>
      <c r="CH79" s="1048">
        <f t="shared" si="177"/>
        <v>0</v>
      </c>
      <c r="CI79" s="1049"/>
      <c r="CJ79" s="1050"/>
      <c r="CK79" s="1050"/>
      <c r="CL79" s="1050"/>
      <c r="CM79" s="1050"/>
      <c r="CN79" s="1050"/>
      <c r="CO79" s="1051">
        <f t="shared" si="154"/>
        <v>0</v>
      </c>
      <c r="CP79" s="1052"/>
      <c r="CQ79" s="1053"/>
      <c r="CR79" s="1048">
        <f t="shared" si="178"/>
        <v>0</v>
      </c>
      <c r="CS79" s="1052"/>
      <c r="CT79" s="1053"/>
      <c r="CU79" s="1053"/>
      <c r="CV79" s="1053"/>
      <c r="CW79" s="1048">
        <f t="shared" si="179"/>
        <v>0</v>
      </c>
      <c r="CX79" s="1052"/>
      <c r="CY79" s="1048">
        <f t="shared" si="180"/>
        <v>0</v>
      </c>
      <c r="CZ79" s="1048">
        <f t="shared" si="181"/>
        <v>0</v>
      </c>
      <c r="DA79" s="1104">
        <f t="shared" si="182"/>
        <v>0</v>
      </c>
      <c r="DI79" s="1042">
        <f t="shared" si="183"/>
        <v>0</v>
      </c>
    </row>
    <row r="80" spans="1:113" s="1055" customFormat="1">
      <c r="A80" s="955" t="s">
        <v>97</v>
      </c>
      <c r="B80" s="1102" t="s">
        <v>36</v>
      </c>
      <c r="C80" s="1030" t="s">
        <v>829</v>
      </c>
      <c r="D80" s="1035"/>
      <c r="E80" s="1032">
        <f t="shared" si="3"/>
        <v>0</v>
      </c>
      <c r="F80" s="1035">
        <v>0</v>
      </c>
      <c r="G80" s="1036">
        <v>0</v>
      </c>
      <c r="H80" s="1032">
        <f t="shared" si="185"/>
        <v>0</v>
      </c>
      <c r="I80" s="1035">
        <v>679.2</v>
      </c>
      <c r="J80" s="1032">
        <f t="shared" si="186"/>
        <v>679.2</v>
      </c>
      <c r="K80" s="1035">
        <v>0</v>
      </c>
      <c r="L80" s="1074">
        <v>0</v>
      </c>
      <c r="M80" s="1032">
        <f t="shared" si="187"/>
        <v>0</v>
      </c>
      <c r="N80" s="1035">
        <v>0</v>
      </c>
      <c r="O80" s="1036">
        <v>0</v>
      </c>
      <c r="P80" s="1032">
        <f t="shared" si="188"/>
        <v>0</v>
      </c>
      <c r="Q80" s="1035">
        <v>0</v>
      </c>
      <c r="R80" s="1036">
        <v>0</v>
      </c>
      <c r="S80" s="1032">
        <f t="shared" si="189"/>
        <v>0</v>
      </c>
      <c r="T80" s="1035">
        <v>0</v>
      </c>
      <c r="U80" s="1036">
        <v>0</v>
      </c>
      <c r="V80" s="1032">
        <f t="shared" si="190"/>
        <v>0</v>
      </c>
      <c r="W80" s="1037">
        <f t="shared" si="162"/>
        <v>679.2</v>
      </c>
      <c r="X80" s="1038">
        <v>0</v>
      </c>
      <c r="Y80" s="1039">
        <v>0</v>
      </c>
      <c r="Z80" s="1408">
        <v>0</v>
      </c>
      <c r="AA80" s="1040">
        <f t="shared" si="163"/>
        <v>0</v>
      </c>
      <c r="AB80" s="1038">
        <v>0</v>
      </c>
      <c r="AC80" s="1039">
        <v>0</v>
      </c>
      <c r="AD80" s="1040">
        <f t="shared" si="164"/>
        <v>0</v>
      </c>
      <c r="AE80" s="1038">
        <v>0</v>
      </c>
      <c r="AF80" s="1040">
        <f t="shared" si="165"/>
        <v>0</v>
      </c>
      <c r="AG80" s="1038">
        <v>0</v>
      </c>
      <c r="AH80" s="1040">
        <f t="shared" si="166"/>
        <v>0</v>
      </c>
      <c r="AI80" s="1038">
        <v>0</v>
      </c>
      <c r="AJ80" s="1039">
        <v>0</v>
      </c>
      <c r="AK80" s="1039">
        <v>0</v>
      </c>
      <c r="AL80" s="1039">
        <v>0</v>
      </c>
      <c r="AM80" s="1041">
        <v>0</v>
      </c>
      <c r="AN80" s="1041">
        <v>0</v>
      </c>
      <c r="AO80" s="1040">
        <f t="shared" si="167"/>
        <v>0</v>
      </c>
      <c r="AP80" s="1038">
        <v>0</v>
      </c>
      <c r="AQ80" s="1040">
        <f t="shared" si="168"/>
        <v>0</v>
      </c>
      <c r="AR80" s="1038">
        <v>0</v>
      </c>
      <c r="AS80" s="1039">
        <v>0</v>
      </c>
      <c r="AT80" s="1408">
        <v>0</v>
      </c>
      <c r="AU80" s="1040">
        <f t="shared" si="131"/>
        <v>0</v>
      </c>
      <c r="AV80" s="1038">
        <v>0</v>
      </c>
      <c r="AW80" s="1039">
        <v>0</v>
      </c>
      <c r="AX80" s="1040">
        <f t="shared" si="169"/>
        <v>0</v>
      </c>
      <c r="AY80" s="1038">
        <v>0</v>
      </c>
      <c r="AZ80" s="1040">
        <f t="shared" si="170"/>
        <v>0</v>
      </c>
      <c r="BA80" s="1038">
        <v>0</v>
      </c>
      <c r="BB80" s="1039">
        <v>0</v>
      </c>
      <c r="BC80" s="1040">
        <f t="shared" si="171"/>
        <v>0</v>
      </c>
      <c r="BD80" s="1042">
        <f t="shared" si="172"/>
        <v>0</v>
      </c>
      <c r="BE80" s="1052"/>
      <c r="BF80" s="1053"/>
      <c r="BG80" s="1048">
        <f t="shared" si="8"/>
        <v>0</v>
      </c>
      <c r="BH80" s="1052"/>
      <c r="BI80" s="1053"/>
      <c r="BJ80" s="1053"/>
      <c r="BK80" s="1053"/>
      <c r="BL80" s="1048">
        <f t="shared" si="173"/>
        <v>0</v>
      </c>
      <c r="BM80" s="1052"/>
      <c r="BN80" s="1053"/>
      <c r="BO80" s="1048">
        <f t="shared" si="174"/>
        <v>0</v>
      </c>
      <c r="BP80" s="1049"/>
      <c r="BQ80" s="1050"/>
      <c r="BR80" s="1050"/>
      <c r="BS80" s="1050"/>
      <c r="BT80" s="1053"/>
      <c r="BU80" s="1048">
        <f t="shared" si="175"/>
        <v>0</v>
      </c>
      <c r="BV80" s="1049"/>
      <c r="BW80" s="1050"/>
      <c r="BX80" s="1050"/>
      <c r="BY80" s="1050"/>
      <c r="BZ80" s="1050"/>
      <c r="CA80" s="1050"/>
      <c r="CB80" s="1053"/>
      <c r="CC80" s="1048">
        <f t="shared" si="176"/>
        <v>0</v>
      </c>
      <c r="CD80" s="1052"/>
      <c r="CE80" s="1053"/>
      <c r="CF80" s="1053"/>
      <c r="CG80" s="1053"/>
      <c r="CH80" s="1048">
        <f t="shared" si="177"/>
        <v>0</v>
      </c>
      <c r="CI80" s="1049"/>
      <c r="CJ80" s="1050"/>
      <c r="CK80" s="1050"/>
      <c r="CL80" s="1050"/>
      <c r="CM80" s="1050"/>
      <c r="CN80" s="1050"/>
      <c r="CO80" s="1051">
        <f t="shared" si="154"/>
        <v>0</v>
      </c>
      <c r="CP80" s="1052"/>
      <c r="CQ80" s="1053"/>
      <c r="CR80" s="1048">
        <f t="shared" si="178"/>
        <v>0</v>
      </c>
      <c r="CS80" s="1052"/>
      <c r="CT80" s="1053"/>
      <c r="CU80" s="1053"/>
      <c r="CV80" s="1053"/>
      <c r="CW80" s="1048">
        <f t="shared" si="179"/>
        <v>0</v>
      </c>
      <c r="CX80" s="1052"/>
      <c r="CY80" s="1048">
        <f t="shared" si="180"/>
        <v>0</v>
      </c>
      <c r="CZ80" s="1048">
        <f t="shared" si="181"/>
        <v>0</v>
      </c>
      <c r="DA80" s="1104">
        <f t="shared" si="182"/>
        <v>679.2</v>
      </c>
      <c r="DI80" s="1042">
        <f t="shared" si="183"/>
        <v>0</v>
      </c>
    </row>
    <row r="81" spans="1:113" s="1101" customFormat="1">
      <c r="A81" s="1081"/>
      <c r="B81" s="1082" t="s">
        <v>905</v>
      </c>
      <c r="C81" s="1083"/>
      <c r="D81" s="1084"/>
      <c r="E81" s="1085"/>
      <c r="F81" s="1084" t="s">
        <v>816</v>
      </c>
      <c r="G81" s="1086" t="s">
        <v>816</v>
      </c>
      <c r="H81" s="1085"/>
      <c r="I81" s="1084" t="s">
        <v>816</v>
      </c>
      <c r="J81" s="1085"/>
      <c r="K81" s="1084" t="s">
        <v>816</v>
      </c>
      <c r="L81" s="1087" t="s">
        <v>816</v>
      </c>
      <c r="M81" s="1085"/>
      <c r="N81" s="1084" t="s">
        <v>816</v>
      </c>
      <c r="O81" s="1086" t="s">
        <v>816</v>
      </c>
      <c r="P81" s="1085"/>
      <c r="Q81" s="1084" t="s">
        <v>816</v>
      </c>
      <c r="R81" s="1086" t="s">
        <v>816</v>
      </c>
      <c r="S81" s="1085"/>
      <c r="T81" s="1084" t="s">
        <v>816</v>
      </c>
      <c r="U81" s="1086" t="s">
        <v>816</v>
      </c>
      <c r="V81" s="1085"/>
      <c r="W81" s="1088"/>
      <c r="X81" s="1089"/>
      <c r="Y81" s="1090"/>
      <c r="Z81" s="1407"/>
      <c r="AA81" s="1091"/>
      <c r="AB81" s="1089"/>
      <c r="AC81" s="1090"/>
      <c r="AD81" s="1091"/>
      <c r="AE81" s="1089"/>
      <c r="AF81" s="1091"/>
      <c r="AG81" s="1089"/>
      <c r="AH81" s="1091"/>
      <c r="AI81" s="1089"/>
      <c r="AJ81" s="1090"/>
      <c r="AK81" s="1090"/>
      <c r="AL81" s="1090"/>
      <c r="AM81" s="1092"/>
      <c r="AN81" s="1092"/>
      <c r="AO81" s="1091"/>
      <c r="AP81" s="1089"/>
      <c r="AQ81" s="1091"/>
      <c r="AR81" s="1089"/>
      <c r="AS81" s="1090"/>
      <c r="AT81" s="1407"/>
      <c r="AU81" s="1091"/>
      <c r="AV81" s="1089"/>
      <c r="AW81" s="1090"/>
      <c r="AX81" s="1091"/>
      <c r="AY81" s="1089"/>
      <c r="AZ81" s="1091"/>
      <c r="BA81" s="1089"/>
      <c r="BB81" s="1090"/>
      <c r="BC81" s="1091"/>
      <c r="BD81" s="1093"/>
      <c r="BE81" s="1094"/>
      <c r="BF81" s="1095"/>
      <c r="BG81" s="1096"/>
      <c r="BH81" s="1094"/>
      <c r="BI81" s="1095"/>
      <c r="BJ81" s="1095"/>
      <c r="BK81" s="1095"/>
      <c r="BL81" s="1096"/>
      <c r="BM81" s="1094"/>
      <c r="BN81" s="1095"/>
      <c r="BO81" s="1096"/>
      <c r="BP81" s="1097"/>
      <c r="BQ81" s="1098"/>
      <c r="BR81" s="1098"/>
      <c r="BS81" s="1098"/>
      <c r="BT81" s="1095"/>
      <c r="BU81" s="1096"/>
      <c r="BV81" s="1097"/>
      <c r="BW81" s="1098"/>
      <c r="BX81" s="1098"/>
      <c r="BY81" s="1098"/>
      <c r="BZ81" s="1098"/>
      <c r="CA81" s="1098"/>
      <c r="CB81" s="1095"/>
      <c r="CC81" s="1096"/>
      <c r="CD81" s="1094"/>
      <c r="CE81" s="1095"/>
      <c r="CF81" s="1095"/>
      <c r="CG81" s="1095"/>
      <c r="CH81" s="1096"/>
      <c r="CI81" s="1097"/>
      <c r="CJ81" s="1098"/>
      <c r="CK81" s="1098"/>
      <c r="CL81" s="1098"/>
      <c r="CM81" s="1098"/>
      <c r="CN81" s="1098"/>
      <c r="CO81" s="1099"/>
      <c r="CP81" s="1094"/>
      <c r="CQ81" s="1095"/>
      <c r="CR81" s="1096"/>
      <c r="CS81" s="1094"/>
      <c r="CT81" s="1095"/>
      <c r="CU81" s="1095"/>
      <c r="CV81" s="1095"/>
      <c r="CW81" s="1096"/>
      <c r="CX81" s="1094"/>
      <c r="CY81" s="1096"/>
      <c r="CZ81" s="1096"/>
      <c r="DA81" s="1105"/>
      <c r="DI81" s="1093"/>
    </row>
    <row r="82" spans="1:113" s="1134" customFormat="1">
      <c r="A82" s="1114"/>
      <c r="B82" s="1115" t="s">
        <v>906</v>
      </c>
      <c r="C82" s="1116"/>
      <c r="D82" s="1117"/>
      <c r="E82" s="1118"/>
      <c r="F82" s="1117" t="s">
        <v>816</v>
      </c>
      <c r="G82" s="1119" t="s">
        <v>816</v>
      </c>
      <c r="H82" s="1118"/>
      <c r="I82" s="1117" t="s">
        <v>816</v>
      </c>
      <c r="J82" s="1118"/>
      <c r="K82" s="1117" t="s">
        <v>816</v>
      </c>
      <c r="L82" s="1120" t="s">
        <v>816</v>
      </c>
      <c r="M82" s="1118"/>
      <c r="N82" s="1117" t="s">
        <v>816</v>
      </c>
      <c r="O82" s="1119" t="s">
        <v>816</v>
      </c>
      <c r="P82" s="1118"/>
      <c r="Q82" s="1117" t="s">
        <v>816</v>
      </c>
      <c r="R82" s="1119" t="s">
        <v>816</v>
      </c>
      <c r="S82" s="1118"/>
      <c r="T82" s="1117" t="s">
        <v>816</v>
      </c>
      <c r="U82" s="1119" t="s">
        <v>816</v>
      </c>
      <c r="V82" s="1118"/>
      <c r="W82" s="1121"/>
      <c r="X82" s="1122"/>
      <c r="Y82" s="1123"/>
      <c r="Z82" s="1407"/>
      <c r="AA82" s="1124"/>
      <c r="AB82" s="1122"/>
      <c r="AC82" s="1123"/>
      <c r="AD82" s="1124"/>
      <c r="AE82" s="1122"/>
      <c r="AF82" s="1124"/>
      <c r="AG82" s="1122"/>
      <c r="AH82" s="1124"/>
      <c r="AI82" s="1122"/>
      <c r="AJ82" s="1123"/>
      <c r="AK82" s="1123"/>
      <c r="AL82" s="1123"/>
      <c r="AM82" s="1125"/>
      <c r="AN82" s="1125"/>
      <c r="AO82" s="1124"/>
      <c r="AP82" s="1122"/>
      <c r="AQ82" s="1124"/>
      <c r="AR82" s="1122"/>
      <c r="AS82" s="1123"/>
      <c r="AT82" s="1407"/>
      <c r="AU82" s="1124"/>
      <c r="AV82" s="1122"/>
      <c r="AW82" s="1123"/>
      <c r="AX82" s="1124"/>
      <c r="AY82" s="1122"/>
      <c r="AZ82" s="1124"/>
      <c r="BA82" s="1122"/>
      <c r="BB82" s="1123"/>
      <c r="BC82" s="1124"/>
      <c r="BD82" s="1126"/>
      <c r="BE82" s="1127"/>
      <c r="BF82" s="1128"/>
      <c r="BG82" s="1129"/>
      <c r="BH82" s="1127"/>
      <c r="BI82" s="1128"/>
      <c r="BJ82" s="1128"/>
      <c r="BK82" s="1128"/>
      <c r="BL82" s="1129"/>
      <c r="BM82" s="1127"/>
      <c r="BN82" s="1128"/>
      <c r="BO82" s="1129"/>
      <c r="BP82" s="1130"/>
      <c r="BQ82" s="1131"/>
      <c r="BR82" s="1131"/>
      <c r="BS82" s="1131"/>
      <c r="BT82" s="1128"/>
      <c r="BU82" s="1129"/>
      <c r="BV82" s="1130"/>
      <c r="BW82" s="1131"/>
      <c r="BX82" s="1131"/>
      <c r="BY82" s="1131"/>
      <c r="BZ82" s="1131"/>
      <c r="CA82" s="1131"/>
      <c r="CB82" s="1128"/>
      <c r="CC82" s="1129"/>
      <c r="CD82" s="1127"/>
      <c r="CE82" s="1128"/>
      <c r="CF82" s="1128"/>
      <c r="CG82" s="1128"/>
      <c r="CH82" s="1129"/>
      <c r="CI82" s="1130"/>
      <c r="CJ82" s="1131"/>
      <c r="CK82" s="1131"/>
      <c r="CL82" s="1131"/>
      <c r="CM82" s="1131"/>
      <c r="CN82" s="1131"/>
      <c r="CO82" s="1132"/>
      <c r="CP82" s="1127"/>
      <c r="CQ82" s="1128"/>
      <c r="CR82" s="1129"/>
      <c r="CS82" s="1127"/>
      <c r="CT82" s="1128"/>
      <c r="CU82" s="1128"/>
      <c r="CV82" s="1128"/>
      <c r="CW82" s="1129"/>
      <c r="CX82" s="1127"/>
      <c r="CY82" s="1129"/>
      <c r="CZ82" s="1129"/>
      <c r="DA82" s="1133"/>
      <c r="DI82" s="1126"/>
    </row>
    <row r="83" spans="1:113" s="1055" customFormat="1">
      <c r="A83" s="955" t="s">
        <v>1377</v>
      </c>
      <c r="B83" s="1102" t="s">
        <v>1378</v>
      </c>
      <c r="C83" s="1030" t="s">
        <v>111</v>
      </c>
      <c r="D83" s="1035"/>
      <c r="E83" s="1032">
        <f t="shared" ref="E83:E151" si="191">+IF(C83="", 0,D83)</f>
        <v>0</v>
      </c>
      <c r="F83" s="1035">
        <v>0</v>
      </c>
      <c r="G83" s="1036">
        <v>0</v>
      </c>
      <c r="H83" s="1032">
        <f>+IF(C83="", 0,SUM(F83:G83))</f>
        <v>0</v>
      </c>
      <c r="I83" s="1035">
        <v>0</v>
      </c>
      <c r="J83" s="1032">
        <f>+IF(C83="", 0,I83)</f>
        <v>0</v>
      </c>
      <c r="K83" s="1035">
        <v>0</v>
      </c>
      <c r="L83" s="1074">
        <v>0</v>
      </c>
      <c r="M83" s="1032">
        <f>+IF(C83="",0,K83+L83)</f>
        <v>0</v>
      </c>
      <c r="N83" s="1035">
        <v>0</v>
      </c>
      <c r="O83" s="1036">
        <v>0</v>
      </c>
      <c r="P83" s="1032">
        <f>+IF(C83="", 0,SUM(N83:O83))</f>
        <v>0</v>
      </c>
      <c r="Q83" s="1035">
        <v>0</v>
      </c>
      <c r="R83" s="1036">
        <v>0</v>
      </c>
      <c r="S83" s="1032">
        <f>+IF(C83="",0,SUM(Q83:R83))</f>
        <v>0</v>
      </c>
      <c r="T83" s="1035">
        <v>0</v>
      </c>
      <c r="U83" s="1036">
        <v>0</v>
      </c>
      <c r="V83" s="1032">
        <f>+IF(C83="",0,SUM(T83:U83))</f>
        <v>0</v>
      </c>
      <c r="W83" s="1037">
        <f t="shared" ref="W83:W99" si="192">+IF(C83="",0,E83+H83+J83+M83+P83+S83+V83)</f>
        <v>0</v>
      </c>
      <c r="X83" s="1106">
        <v>0</v>
      </c>
      <c r="Y83" s="1107">
        <v>0</v>
      </c>
      <c r="Z83" s="1409">
        <f>(Z5-Z4)*11.85*0.45</f>
        <v>2879.55</v>
      </c>
      <c r="AA83" s="1040">
        <f t="shared" ref="AA83:AA93" si="193">SUM(Z83)</f>
        <v>2879.55</v>
      </c>
      <c r="AB83" s="1106">
        <v>0</v>
      </c>
      <c r="AC83" s="1107">
        <v>0</v>
      </c>
      <c r="AD83" s="1108">
        <f t="shared" ref="AD83:AD99" si="194">SUM(AB83:AC83)</f>
        <v>0</v>
      </c>
      <c r="AE83" s="1106">
        <v>1355.3980000000001</v>
      </c>
      <c r="AF83" s="1108">
        <f t="shared" ref="AF83:AF99" si="195">+AE83</f>
        <v>1355.3980000000001</v>
      </c>
      <c r="AG83" s="1106">
        <v>2453.748</v>
      </c>
      <c r="AH83" s="1108">
        <f t="shared" ref="AH83:AH99" si="196">+AG83</f>
        <v>2453.748</v>
      </c>
      <c r="AI83" s="1411">
        <f>(AI5-AI4)*11.85*0.45</f>
        <v>9955.7775000000001</v>
      </c>
      <c r="AJ83" s="1107">
        <v>226.54499999999999</v>
      </c>
      <c r="AK83" s="1107">
        <v>120.61499999999999</v>
      </c>
      <c r="AL83" s="1107">
        <v>112.09</v>
      </c>
      <c r="AM83" s="1109">
        <v>0</v>
      </c>
      <c r="AN83" s="1109">
        <v>0</v>
      </c>
      <c r="AO83" s="1040">
        <f t="shared" ref="AO83:AO93" si="197">AI83+AM83+AN83</f>
        <v>9955.7775000000001</v>
      </c>
      <c r="AP83" s="1106">
        <v>1832.7869999999998</v>
      </c>
      <c r="AQ83" s="1108">
        <f t="shared" ref="AQ83:AQ99" si="198">+AP83</f>
        <v>1832.7869999999998</v>
      </c>
      <c r="AR83" s="1106">
        <v>0</v>
      </c>
      <c r="AS83" s="1107">
        <v>0</v>
      </c>
      <c r="AT83" s="1409">
        <f>(AT5-AT4)*11.85*0.45</f>
        <v>4591.2825000000003</v>
      </c>
      <c r="AU83" s="1040">
        <f t="shared" ref="AU83:AU99" si="199">SUM(AT83)</f>
        <v>4591.2825000000003</v>
      </c>
      <c r="AV83" s="1106">
        <v>105.58</v>
      </c>
      <c r="AW83" s="1107">
        <v>116.13799999999999</v>
      </c>
      <c r="AX83" s="1108">
        <f t="shared" ref="AX83:AX99" si="200">SUM(AV83:AW83)</f>
        <v>221.71799999999999</v>
      </c>
      <c r="AY83" s="1409">
        <f>(AY5-AY4)*11.85*0.45</f>
        <v>2879.55</v>
      </c>
      <c r="AZ83" s="1108">
        <f t="shared" ref="AZ83:AZ99" si="201">+AY83</f>
        <v>2879.55</v>
      </c>
      <c r="BA83" s="1106">
        <v>385.11</v>
      </c>
      <c r="BB83" s="1107">
        <v>0</v>
      </c>
      <c r="BC83" s="1108">
        <f t="shared" ref="BC83:BC99" si="202">SUM(BA83:BB83)</f>
        <v>385.11</v>
      </c>
      <c r="BD83" s="1042">
        <f t="shared" ref="BD83:BD99" si="203">+IF(C83="",0,BC83+AZ83+AX83+AU83+AQ83+AO83+AH83+AF83+AD83+AA83)</f>
        <v>26554.920999999998</v>
      </c>
      <c r="BE83" s="1052"/>
      <c r="BF83" s="1053"/>
      <c r="BG83" s="1048">
        <f t="shared" ref="BG83:BG151" si="204">+BE83+BF83</f>
        <v>0</v>
      </c>
      <c r="BH83" s="1052"/>
      <c r="BI83" s="1053"/>
      <c r="BJ83" s="1053"/>
      <c r="BK83" s="1053"/>
      <c r="BL83" s="1048">
        <f t="shared" ref="BL83:BL99" si="205">+BH83+BI83+BJ83+BK83</f>
        <v>0</v>
      </c>
      <c r="BM83" s="1052"/>
      <c r="BN83" s="1053"/>
      <c r="BO83" s="1048">
        <f t="shared" ref="BO83:BO99" si="206">+BM83+BN83</f>
        <v>0</v>
      </c>
      <c r="BP83" s="1049"/>
      <c r="BQ83" s="1050"/>
      <c r="BR83" s="1050"/>
      <c r="BS83" s="1050"/>
      <c r="BT83" s="1053"/>
      <c r="BU83" s="1048">
        <f t="shared" ref="BU83:BU99" si="207">+SUM(BP83:BT83)</f>
        <v>0</v>
      </c>
      <c r="BV83" s="1052"/>
      <c r="BW83" s="1053">
        <v>637.27</v>
      </c>
      <c r="BX83" s="1053"/>
      <c r="BY83" s="1053"/>
      <c r="BZ83" s="1053"/>
      <c r="CA83" s="1053"/>
      <c r="CB83" s="1053"/>
      <c r="CC83" s="1048">
        <f t="shared" ref="CC83:CC99" si="208">+SUM(BV83:CB83)</f>
        <v>637.27</v>
      </c>
      <c r="CD83" s="1052"/>
      <c r="CE83" s="1053"/>
      <c r="CF83" s="1053"/>
      <c r="CG83" s="1053"/>
      <c r="CH83" s="1048">
        <f t="shared" ref="CH83:CH99" si="209">+SUM(CD83:CG83)</f>
        <v>0</v>
      </c>
      <c r="CI83" s="1049"/>
      <c r="CJ83" s="1050"/>
      <c r="CK83" s="1050"/>
      <c r="CL83" s="1050"/>
      <c r="CM83" s="1050"/>
      <c r="CN83" s="1050"/>
      <c r="CO83" s="1051">
        <f t="shared" ref="CO83:CO99" si="210">+SUM(CI83:CN83)</f>
        <v>0</v>
      </c>
      <c r="CP83" s="1052"/>
      <c r="CQ83" s="1053"/>
      <c r="CR83" s="1048">
        <f t="shared" ref="CR83:CR99" si="211">+SUM(CP83:CQ83)</f>
        <v>0</v>
      </c>
      <c r="CS83" s="1052"/>
      <c r="CT83" s="1053"/>
      <c r="CU83" s="1053"/>
      <c r="CV83" s="1053"/>
      <c r="CW83" s="1048">
        <f t="shared" ref="CW83:CW99" si="212">+SUM(CS83:CV83)</f>
        <v>0</v>
      </c>
      <c r="CX83" s="1052"/>
      <c r="CY83" s="1048">
        <f t="shared" ref="CY83:CY99" si="213">+CX83</f>
        <v>0</v>
      </c>
      <c r="CZ83" s="1103">
        <f t="shared" ref="CZ83:CZ101" si="214">+IF(C83="",0,CY83+CR83+CH83+BU83+BO83+BL83+CO83+CW83+CC83+BG83)</f>
        <v>637.27</v>
      </c>
      <c r="DA83" s="1104">
        <f t="shared" ref="DA83:DA101" si="215">IF(C83="",0,CZ83+BD83+W83)</f>
        <v>27192.190999999999</v>
      </c>
      <c r="DI83" s="1042">
        <f t="shared" ref="DI83:DI99" si="216">+IF(BH83="",0,DH83+DE83+DC83+CZ83+CV83+CT83+CM83+CK83+CI83+CF83)</f>
        <v>0</v>
      </c>
    </row>
    <row r="84" spans="1:113" s="1055" customFormat="1">
      <c r="A84" s="955" t="s">
        <v>1379</v>
      </c>
      <c r="B84" s="1102" t="s">
        <v>1380</v>
      </c>
      <c r="C84" s="1030" t="s">
        <v>111</v>
      </c>
      <c r="D84" s="1035"/>
      <c r="E84" s="1032">
        <f t="shared" si="191"/>
        <v>0</v>
      </c>
      <c r="F84" s="1035">
        <v>0</v>
      </c>
      <c r="G84" s="1036">
        <v>0</v>
      </c>
      <c r="H84" s="1032">
        <f>+IF(C84="", 0,SUM(F84:G84))</f>
        <v>0</v>
      </c>
      <c r="I84" s="1035">
        <v>0</v>
      </c>
      <c r="J84" s="1032">
        <f>+IF(C84="", 0,I84)</f>
        <v>0</v>
      </c>
      <c r="K84" s="1035">
        <v>0</v>
      </c>
      <c r="L84" s="1074">
        <v>0</v>
      </c>
      <c r="M84" s="1032">
        <f>+IF(C84="",0,K84+L84)</f>
        <v>0</v>
      </c>
      <c r="N84" s="1035">
        <v>0</v>
      </c>
      <c r="O84" s="1036">
        <v>0</v>
      </c>
      <c r="P84" s="1032">
        <f>+IF(C84="", 0,SUM(N84:O84))</f>
        <v>0</v>
      </c>
      <c r="Q84" s="1035">
        <v>0</v>
      </c>
      <c r="R84" s="1036">
        <v>0</v>
      </c>
      <c r="S84" s="1032">
        <f>+IF(C84="",0,SUM(Q84:R84))</f>
        <v>0</v>
      </c>
      <c r="T84" s="1035">
        <v>0</v>
      </c>
      <c r="U84" s="1036">
        <v>0</v>
      </c>
      <c r="V84" s="1032">
        <f>+IF(C84="",0,SUM(T84:U84))</f>
        <v>0</v>
      </c>
      <c r="W84" s="1037">
        <f t="shared" si="192"/>
        <v>0</v>
      </c>
      <c r="X84" s="1106">
        <v>0</v>
      </c>
      <c r="Y84" s="1107">
        <v>0</v>
      </c>
      <c r="Z84" s="1409">
        <f>(Z5-Z4)*11.8*0.3</f>
        <v>1911.6</v>
      </c>
      <c r="AA84" s="1040">
        <f t="shared" si="193"/>
        <v>1911.6</v>
      </c>
      <c r="AB84" s="1106">
        <v>0</v>
      </c>
      <c r="AC84" s="1107">
        <v>0</v>
      </c>
      <c r="AD84" s="1108">
        <f t="shared" si="194"/>
        <v>0</v>
      </c>
      <c r="AE84" s="1106">
        <v>1232.1800000000003</v>
      </c>
      <c r="AF84" s="1108">
        <f t="shared" si="195"/>
        <v>1232.1800000000003</v>
      </c>
      <c r="AG84" s="1106">
        <v>2230.6800000000003</v>
      </c>
      <c r="AH84" s="1108">
        <f t="shared" si="196"/>
        <v>2230.6800000000003</v>
      </c>
      <c r="AI84" s="1411">
        <f>(AI5-AI4)*11.8*0.3</f>
        <v>6609.18</v>
      </c>
      <c r="AJ84" s="1107">
        <v>205.95000000000002</v>
      </c>
      <c r="AK84" s="1107">
        <v>109.65</v>
      </c>
      <c r="AL84" s="1107">
        <v>101.9</v>
      </c>
      <c r="AM84" s="1109">
        <v>0</v>
      </c>
      <c r="AN84" s="1109">
        <v>0</v>
      </c>
      <c r="AO84" s="1040">
        <f t="shared" si="197"/>
        <v>6609.18</v>
      </c>
      <c r="AP84" s="1106">
        <v>1666.17</v>
      </c>
      <c r="AQ84" s="1108">
        <f t="shared" si="198"/>
        <v>1666.17</v>
      </c>
      <c r="AR84" s="1106">
        <v>0</v>
      </c>
      <c r="AS84" s="1107">
        <v>0</v>
      </c>
      <c r="AT84" s="1409">
        <f>(AT5-AT4)*11.8*0.3</f>
        <v>3047.94</v>
      </c>
      <c r="AU84" s="1040">
        <f t="shared" si="199"/>
        <v>3047.94</v>
      </c>
      <c r="AV84" s="1106">
        <v>105.58</v>
      </c>
      <c r="AW84" s="1107">
        <v>105.58</v>
      </c>
      <c r="AX84" s="1108">
        <f t="shared" si="200"/>
        <v>211.16</v>
      </c>
      <c r="AY84" s="1409">
        <f>(AY5-AY4)*11.8*0.3</f>
        <v>1911.6</v>
      </c>
      <c r="AZ84" s="1108">
        <f t="shared" si="201"/>
        <v>1911.6</v>
      </c>
      <c r="BA84" s="1106">
        <v>350.1</v>
      </c>
      <c r="BB84" s="1107">
        <v>0</v>
      </c>
      <c r="BC84" s="1108">
        <f t="shared" si="202"/>
        <v>350.1</v>
      </c>
      <c r="BD84" s="1042">
        <f t="shared" si="203"/>
        <v>19170.61</v>
      </c>
      <c r="BE84" s="1052"/>
      <c r="BF84" s="1053"/>
      <c r="BG84" s="1048">
        <f t="shared" si="204"/>
        <v>0</v>
      </c>
      <c r="BH84" s="1052"/>
      <c r="BI84" s="1053"/>
      <c r="BJ84" s="1053"/>
      <c r="BK84" s="1053"/>
      <c r="BL84" s="1048">
        <f t="shared" si="205"/>
        <v>0</v>
      </c>
      <c r="BM84" s="1052"/>
      <c r="BN84" s="1053"/>
      <c r="BO84" s="1048">
        <f t="shared" si="206"/>
        <v>0</v>
      </c>
      <c r="BP84" s="1049"/>
      <c r="BQ84" s="1050"/>
      <c r="BR84" s="1050"/>
      <c r="BS84" s="1050"/>
      <c r="BT84" s="1053"/>
      <c r="BU84" s="1048">
        <f t="shared" si="207"/>
        <v>0</v>
      </c>
      <c r="BV84" s="1052"/>
      <c r="BW84" s="1053">
        <v>579.34</v>
      </c>
      <c r="BX84" s="1053"/>
      <c r="BY84" s="1053"/>
      <c r="BZ84" s="1053"/>
      <c r="CA84" s="1053"/>
      <c r="CB84" s="1053"/>
      <c r="CC84" s="1048">
        <f t="shared" si="208"/>
        <v>579.34</v>
      </c>
      <c r="CD84" s="1052"/>
      <c r="CE84" s="1053"/>
      <c r="CF84" s="1053"/>
      <c r="CG84" s="1053"/>
      <c r="CH84" s="1048">
        <f t="shared" si="209"/>
        <v>0</v>
      </c>
      <c r="CI84" s="1049"/>
      <c r="CJ84" s="1050"/>
      <c r="CK84" s="1050"/>
      <c r="CL84" s="1050"/>
      <c r="CM84" s="1050"/>
      <c r="CN84" s="1050"/>
      <c r="CO84" s="1051">
        <f t="shared" si="210"/>
        <v>0</v>
      </c>
      <c r="CP84" s="1052"/>
      <c r="CQ84" s="1053"/>
      <c r="CR84" s="1048">
        <f t="shared" si="211"/>
        <v>0</v>
      </c>
      <c r="CS84" s="1052"/>
      <c r="CT84" s="1053"/>
      <c r="CU84" s="1053"/>
      <c r="CV84" s="1053"/>
      <c r="CW84" s="1048">
        <f t="shared" si="212"/>
        <v>0</v>
      </c>
      <c r="CX84" s="1052"/>
      <c r="CY84" s="1048">
        <f t="shared" si="213"/>
        <v>0</v>
      </c>
      <c r="CZ84" s="1103">
        <f t="shared" si="214"/>
        <v>579.34</v>
      </c>
      <c r="DA84" s="1104">
        <f t="shared" si="215"/>
        <v>19749.95</v>
      </c>
      <c r="DI84" s="1042">
        <f t="shared" si="216"/>
        <v>0</v>
      </c>
    </row>
    <row r="85" spans="1:113" s="1055" customFormat="1">
      <c r="A85" s="955" t="s">
        <v>1381</v>
      </c>
      <c r="B85" s="1102" t="s">
        <v>910</v>
      </c>
      <c r="C85" s="1030" t="s">
        <v>111</v>
      </c>
      <c r="D85" s="1035"/>
      <c r="E85" s="1032">
        <f t="shared" si="191"/>
        <v>0</v>
      </c>
      <c r="F85" s="1035">
        <v>2570.8295000000003</v>
      </c>
      <c r="G85" s="1036">
        <v>8737.2009999999991</v>
      </c>
      <c r="H85" s="1032">
        <f>+IF(C85="", 0,SUM(F85:G85))</f>
        <v>11308.030499999999</v>
      </c>
      <c r="I85" s="1035">
        <v>8040.3905208333344</v>
      </c>
      <c r="J85" s="1032">
        <f>+IF(C85="", 0,I85)</f>
        <v>8040.3905208333344</v>
      </c>
      <c r="K85" s="1035">
        <v>2305.1328000000003</v>
      </c>
      <c r="L85" s="1074">
        <v>1274.5600000000002</v>
      </c>
      <c r="M85" s="1032">
        <f>+IF(C85="",0,K85+L85)</f>
        <v>3579.6928000000007</v>
      </c>
      <c r="N85" s="1035">
        <v>8718.3937499999993</v>
      </c>
      <c r="O85" s="1036">
        <v>5581.125</v>
      </c>
      <c r="P85" s="1032">
        <f>+IF(C85="", 0,SUM(N85:O85))</f>
        <v>14299.518749999999</v>
      </c>
      <c r="Q85" s="1035">
        <v>4402.3275999987254</v>
      </c>
      <c r="R85" s="1036">
        <v>7575.509199997141</v>
      </c>
      <c r="S85" s="1032">
        <f>+IF(C85="",0,SUM(Q85:R85))</f>
        <v>11977.836799995866</v>
      </c>
      <c r="T85" s="1035">
        <v>2452.3125000009659</v>
      </c>
      <c r="U85" s="1036">
        <v>5722.0625000022537</v>
      </c>
      <c r="V85" s="1032">
        <f>+IF(C85="",0,SUM(T85:U85))</f>
        <v>8174.3750000032196</v>
      </c>
      <c r="W85" s="1037">
        <f t="shared" si="192"/>
        <v>57379.844370832419</v>
      </c>
      <c r="X85" s="1106">
        <v>248.19200000000001</v>
      </c>
      <c r="Y85" s="1107">
        <v>652.3904</v>
      </c>
      <c r="Z85" s="1410"/>
      <c r="AA85" s="1040">
        <f t="shared" si="193"/>
        <v>0</v>
      </c>
      <c r="AB85" s="1106">
        <v>1984.3756159999896</v>
      </c>
      <c r="AC85" s="1107">
        <v>240</v>
      </c>
      <c r="AD85" s="1108">
        <f t="shared" si="194"/>
        <v>2224.3756159999893</v>
      </c>
      <c r="AE85" s="1106">
        <v>10041.945510400001</v>
      </c>
      <c r="AF85" s="1108">
        <f t="shared" si="195"/>
        <v>10041.945510400001</v>
      </c>
      <c r="AG85" s="1106">
        <v>21926.360326400001</v>
      </c>
      <c r="AH85" s="1108">
        <f t="shared" si="196"/>
        <v>21926.360326400001</v>
      </c>
      <c r="AI85" s="1412"/>
      <c r="AJ85" s="1107">
        <v>932.49279999999999</v>
      </c>
      <c r="AK85" s="1107">
        <v>3446.3232000000003</v>
      </c>
      <c r="AL85" s="1107">
        <v>9651.1232000000018</v>
      </c>
      <c r="AM85" s="1109">
        <v>0</v>
      </c>
      <c r="AN85" s="1109">
        <v>0</v>
      </c>
      <c r="AO85" s="1040">
        <f t="shared" si="197"/>
        <v>0</v>
      </c>
      <c r="AP85" s="1106">
        <v>5149.7112044800415</v>
      </c>
      <c r="AQ85" s="1108">
        <f t="shared" si="198"/>
        <v>5149.7112044800415</v>
      </c>
      <c r="AR85" s="1106">
        <v>6767.9121920000243</v>
      </c>
      <c r="AS85" s="1107">
        <v>7630.1311999999998</v>
      </c>
      <c r="AT85" s="1410"/>
      <c r="AU85" s="1040">
        <f t="shared" si="199"/>
        <v>0</v>
      </c>
      <c r="AV85" s="1106">
        <v>9.6000000000000014</v>
      </c>
      <c r="AW85" s="1107">
        <v>1848.2576000000001</v>
      </c>
      <c r="AX85" s="1108">
        <f t="shared" si="200"/>
        <v>1857.8576</v>
      </c>
      <c r="AY85" s="1410"/>
      <c r="AZ85" s="1108">
        <f t="shared" si="201"/>
        <v>0</v>
      </c>
      <c r="BA85" s="1106">
        <v>2249.1296000000002</v>
      </c>
      <c r="BB85" s="1107">
        <v>315.68</v>
      </c>
      <c r="BC85" s="1108">
        <f t="shared" si="202"/>
        <v>2564.8096</v>
      </c>
      <c r="BD85" s="1042">
        <f t="shared" si="203"/>
        <v>43765.059857280037</v>
      </c>
      <c r="BE85" s="1052"/>
      <c r="BF85" s="1053"/>
      <c r="BG85" s="1048">
        <f t="shared" si="204"/>
        <v>0</v>
      </c>
      <c r="BH85" s="1052">
        <v>385</v>
      </c>
      <c r="BI85" s="1053">
        <v>780.03</v>
      </c>
      <c r="BJ85" s="1053">
        <v>3545.6</v>
      </c>
      <c r="BK85" s="1053">
        <v>709.12</v>
      </c>
      <c r="BL85" s="1048">
        <f t="shared" si="205"/>
        <v>5419.75</v>
      </c>
      <c r="BM85" s="1052">
        <v>4254.72</v>
      </c>
      <c r="BN85" s="1053">
        <v>709.12</v>
      </c>
      <c r="BO85" s="1048">
        <f t="shared" si="206"/>
        <v>4963.84</v>
      </c>
      <c r="BP85" s="1052"/>
      <c r="BQ85" s="1053"/>
      <c r="BR85" s="1053"/>
      <c r="BS85" s="1053"/>
      <c r="BT85" s="1053">
        <v>240</v>
      </c>
      <c r="BU85" s="1048">
        <f t="shared" si="207"/>
        <v>240</v>
      </c>
      <c r="BV85" s="1052">
        <v>582.66</v>
      </c>
      <c r="BW85" s="1053">
        <v>265</v>
      </c>
      <c r="BX85" s="1053"/>
      <c r="BY85" s="1053">
        <v>983.23</v>
      </c>
      <c r="BZ85" s="1053">
        <v>588.19000000000005</v>
      </c>
      <c r="CA85" s="1053">
        <v>1201.73</v>
      </c>
      <c r="CB85" s="1053">
        <v>115</v>
      </c>
      <c r="CC85" s="1048">
        <f t="shared" si="208"/>
        <v>3735.81</v>
      </c>
      <c r="CD85" s="1052">
        <v>218.49600000000001</v>
      </c>
      <c r="CE85" s="1053">
        <v>1201.7280000000001</v>
      </c>
      <c r="CF85" s="1053">
        <v>436.99200000000002</v>
      </c>
      <c r="CG85" s="1053">
        <v>436.99200000000002</v>
      </c>
      <c r="CH85" s="1048">
        <f t="shared" si="209"/>
        <v>2294.2080000000001</v>
      </c>
      <c r="CI85" s="1052">
        <v>2221.3760000000002</v>
      </c>
      <c r="CJ85" s="1053">
        <v>327.74</v>
      </c>
      <c r="CK85" s="1053">
        <v>355</v>
      </c>
      <c r="CL85" s="1053">
        <v>946.82</v>
      </c>
      <c r="CM85" s="1053">
        <v>1065</v>
      </c>
      <c r="CN85" s="1053">
        <v>827.71</v>
      </c>
      <c r="CO85" s="1051">
        <f t="shared" si="210"/>
        <v>5743.6459999999997</v>
      </c>
      <c r="CP85" s="1052">
        <v>2294.2080000000001</v>
      </c>
      <c r="CQ85" s="1053">
        <v>1386.83</v>
      </c>
      <c r="CR85" s="1048">
        <f t="shared" si="211"/>
        <v>3681.038</v>
      </c>
      <c r="CS85" s="1052">
        <v>4468.2431999999999</v>
      </c>
      <c r="CT85" s="1053">
        <v>2942.41</v>
      </c>
      <c r="CU85" s="1053">
        <v>458.84</v>
      </c>
      <c r="CV85" s="1053">
        <v>2021.09</v>
      </c>
      <c r="CW85" s="1048">
        <f t="shared" si="212"/>
        <v>9890.5831999999991</v>
      </c>
      <c r="CX85" s="1052">
        <v>120</v>
      </c>
      <c r="CY85" s="1048">
        <f t="shared" si="213"/>
        <v>120</v>
      </c>
      <c r="CZ85" s="1103">
        <f t="shared" si="214"/>
        <v>36088.875199999995</v>
      </c>
      <c r="DA85" s="1104">
        <f t="shared" si="215"/>
        <v>137233.77942811244</v>
      </c>
      <c r="DI85" s="1042">
        <f t="shared" si="216"/>
        <v>45130.743199999997</v>
      </c>
    </row>
    <row r="86" spans="1:113" s="1055" customFormat="1">
      <c r="A86" s="955" t="s">
        <v>1382</v>
      </c>
      <c r="B86" s="1102" t="s">
        <v>1383</v>
      </c>
      <c r="C86" s="1030" t="s">
        <v>1364</v>
      </c>
      <c r="D86" s="1035"/>
      <c r="E86" s="1032">
        <f t="shared" si="191"/>
        <v>0</v>
      </c>
      <c r="F86" s="1035"/>
      <c r="G86" s="1036"/>
      <c r="H86" s="1032" t="e">
        <f>+'Acarreos Tramo 2 Fase II'!Y41</f>
        <v>#REF!</v>
      </c>
      <c r="I86" s="1035"/>
      <c r="J86" s="1032" t="e">
        <f>+'Acarreos Tramo 2 Fase II'!Y55</f>
        <v>#REF!</v>
      </c>
      <c r="K86" s="1035"/>
      <c r="L86" s="1074"/>
      <c r="M86" s="1032" t="e">
        <f>+'Acarreos Tramo 2 Fase II'!Y69</f>
        <v>#REF!</v>
      </c>
      <c r="N86" s="1035"/>
      <c r="O86" s="1036"/>
      <c r="P86" s="1032" t="e">
        <f>+'Acarreos Tramo 2 Fase II'!Y82</f>
        <v>#REF!</v>
      </c>
      <c r="Q86" s="1035"/>
      <c r="R86" s="1036"/>
      <c r="S86" s="1032" t="e">
        <f>+'Acarreos Tramo 2 Fase II'!Y96</f>
        <v>#REF!</v>
      </c>
      <c r="T86" s="1035"/>
      <c r="U86" s="1036"/>
      <c r="V86" s="1032" t="e">
        <f>+'Acarreos Tramo 2 Fase II'!Y109</f>
        <v>#REF!</v>
      </c>
      <c r="W86" s="1037" t="e">
        <f t="shared" si="192"/>
        <v>#REF!</v>
      </c>
      <c r="X86" s="1106"/>
      <c r="Y86" s="1107"/>
      <c r="Z86" s="1408"/>
      <c r="AA86" s="1040">
        <f t="shared" si="193"/>
        <v>0</v>
      </c>
      <c r="AB86" s="1106"/>
      <c r="AC86" s="1107"/>
      <c r="AD86" s="1108" t="e">
        <f>+#REF!</f>
        <v>#REF!</v>
      </c>
      <c r="AE86" s="1106"/>
      <c r="AF86" s="1108" t="e">
        <f>+#REF!</f>
        <v>#REF!</v>
      </c>
      <c r="AG86" s="1106"/>
      <c r="AH86" s="1108" t="e">
        <f>+#REF!</f>
        <v>#REF!</v>
      </c>
      <c r="AI86" s="1106"/>
      <c r="AJ86" s="1107"/>
      <c r="AK86" s="1107"/>
      <c r="AL86" s="1107"/>
      <c r="AM86" s="1109"/>
      <c r="AN86" s="1109"/>
      <c r="AO86" s="1108" t="e">
        <f>+#REF!</f>
        <v>#REF!</v>
      </c>
      <c r="AP86" s="1106"/>
      <c r="AQ86" s="1108" t="e">
        <f>+#REF!</f>
        <v>#REF!</v>
      </c>
      <c r="AR86" s="1106"/>
      <c r="AS86" s="1107"/>
      <c r="AT86" s="1408"/>
      <c r="AU86" s="1040">
        <f t="shared" si="199"/>
        <v>0</v>
      </c>
      <c r="AV86" s="1106"/>
      <c r="AW86" s="1107"/>
      <c r="AX86" s="1108" t="e">
        <f>+#REF!</f>
        <v>#REF!</v>
      </c>
      <c r="AY86" s="1106"/>
      <c r="AZ86" s="1108" t="e">
        <f>+#REF!</f>
        <v>#REF!</v>
      </c>
      <c r="BA86" s="1106"/>
      <c r="BB86" s="1107"/>
      <c r="BC86" s="1108" t="e">
        <f>+#REF!</f>
        <v>#REF!</v>
      </c>
      <c r="BD86" s="1042" t="e">
        <f t="shared" si="203"/>
        <v>#REF!</v>
      </c>
      <c r="BE86" s="1052"/>
      <c r="BF86" s="1053"/>
      <c r="BG86" s="1048">
        <f t="shared" si="204"/>
        <v>0</v>
      </c>
      <c r="BH86" s="1052"/>
      <c r="BI86" s="1053"/>
      <c r="BJ86" s="1053"/>
      <c r="BK86" s="1053"/>
      <c r="BL86" s="1048" t="e">
        <f>+'Acarreos Tramo 7 Fase II'!AI27</f>
        <v>#REF!</v>
      </c>
      <c r="BM86" s="1052"/>
      <c r="BN86" s="1053"/>
      <c r="BO86" s="1048" t="e">
        <f>+'Acarreos Tramo 7 Fase II'!AI41</f>
        <v>#REF!</v>
      </c>
      <c r="BP86" s="1049"/>
      <c r="BQ86" s="1050"/>
      <c r="BR86" s="1050"/>
      <c r="BS86" s="1050"/>
      <c r="BT86" s="1053"/>
      <c r="BU86" s="1048" t="e">
        <f>+'Acarreos Tramo 7 Fase II'!AI54</f>
        <v>#REF!</v>
      </c>
      <c r="BV86" s="1052"/>
      <c r="BW86" s="1053"/>
      <c r="BX86" s="1053"/>
      <c r="BY86" s="1053"/>
      <c r="BZ86" s="1053"/>
      <c r="CA86" s="1053"/>
      <c r="CB86" s="1053"/>
      <c r="CC86" s="1048" t="e">
        <f>+'Acarreos Tramo 7 Fase II'!AI81</f>
        <v>#REF!</v>
      </c>
      <c r="CD86" s="1052"/>
      <c r="CE86" s="1053"/>
      <c r="CF86" s="1053"/>
      <c r="CG86" s="1053"/>
      <c r="CH86" s="1048" t="e">
        <f>+'Acarreos Tramo 7 Fase II'!AI68</f>
        <v>#REF!</v>
      </c>
      <c r="CI86" s="1052"/>
      <c r="CJ86" s="1053"/>
      <c r="CK86" s="1053"/>
      <c r="CL86" s="1053"/>
      <c r="CM86" s="1053"/>
      <c r="CN86" s="1053"/>
      <c r="CO86" s="1051" t="e">
        <f>+'Acarreos Tramo 7 Fase II'!AI108</f>
        <v>#REF!</v>
      </c>
      <c r="CP86" s="1052"/>
      <c r="CQ86" s="1053"/>
      <c r="CR86" s="1048" t="e">
        <f>+'Acarreos Tramo 7 Fase II'!AI95</f>
        <v>#REF!</v>
      </c>
      <c r="CS86" s="1052"/>
      <c r="CT86" s="1053"/>
      <c r="CU86" s="1053"/>
      <c r="CV86" s="1053"/>
      <c r="CW86" s="1048" t="e">
        <f>+'Acarreos Tramo 7 Fase II'!AI122</f>
        <v>#REF!</v>
      </c>
      <c r="CX86" s="1052"/>
      <c r="CY86" s="1048" t="e">
        <f>+'Acarreos Tramo 7 Fase II'!AI135</f>
        <v>#REF!</v>
      </c>
      <c r="CZ86" s="1103" t="e">
        <f t="shared" si="214"/>
        <v>#REF!</v>
      </c>
      <c r="DA86" s="1104" t="e">
        <f t="shared" si="215"/>
        <v>#REF!</v>
      </c>
      <c r="DI86" s="1042">
        <f t="shared" si="216"/>
        <v>0</v>
      </c>
    </row>
    <row r="87" spans="1:113" s="1055" customFormat="1" ht="30">
      <c r="A87" s="955" t="s">
        <v>1384</v>
      </c>
      <c r="B87" s="1102" t="s">
        <v>1385</v>
      </c>
      <c r="C87" s="1030" t="s">
        <v>79</v>
      </c>
      <c r="D87" s="1035"/>
      <c r="E87" s="1032">
        <f t="shared" si="191"/>
        <v>0</v>
      </c>
      <c r="F87" s="1035">
        <v>133549.450866</v>
      </c>
      <c r="G87" s="1036">
        <v>453880.11754799995</v>
      </c>
      <c r="H87" s="1032">
        <f t="shared" ref="H87:H94" si="217">+IF(C87="", 0,SUM(F87:G87))</f>
        <v>587429.56841399998</v>
      </c>
      <c r="I87" s="1035">
        <v>417682.20677625004</v>
      </c>
      <c r="J87" s="1032">
        <f t="shared" ref="J87:J94" si="218">+IF(C87="", 0,I87)</f>
        <v>417682.20677625004</v>
      </c>
      <c r="K87" s="1035">
        <v>119747.03869440002</v>
      </c>
      <c r="L87" s="1074">
        <v>66210.842880000011</v>
      </c>
      <c r="M87" s="1032">
        <f t="shared" ref="M87:M94" si="219">+IF(C87="",0,K87+L87)</f>
        <v>185957.88157440003</v>
      </c>
      <c r="N87" s="1035">
        <v>0</v>
      </c>
      <c r="O87" s="1036">
        <v>0</v>
      </c>
      <c r="P87" s="1032">
        <f t="shared" ref="P87:P94" si="220">+IF(C87="", 0,SUM(N87:O87))</f>
        <v>0</v>
      </c>
      <c r="Q87" s="1035">
        <v>228692.11416473376</v>
      </c>
      <c r="R87" s="1036">
        <v>393532.55192145146</v>
      </c>
      <c r="S87" s="1032">
        <f t="shared" ref="S87:S94" si="221">+IF(C87="",0,SUM(Q87:R87))</f>
        <v>622224.66608618526</v>
      </c>
      <c r="T87" s="1035">
        <v>127392.72975005017</v>
      </c>
      <c r="U87" s="1036">
        <v>297249.70275011705</v>
      </c>
      <c r="V87" s="1032">
        <f t="shared" ref="V87:V94" si="222">+IF(C87="",0,SUM(T87:U87))</f>
        <v>424642.43250016723</v>
      </c>
      <c r="W87" s="1037">
        <f t="shared" si="192"/>
        <v>2237936.7553510023</v>
      </c>
      <c r="X87" s="1106">
        <v>10945.267200000002</v>
      </c>
      <c r="Y87" s="1107">
        <v>28770.416640000003</v>
      </c>
      <c r="Z87" s="1410"/>
      <c r="AA87" s="1040">
        <f t="shared" si="193"/>
        <v>0</v>
      </c>
      <c r="AB87" s="1106">
        <v>87510.964665599546</v>
      </c>
      <c r="AC87" s="1107">
        <v>10584</v>
      </c>
      <c r="AD87" s="1108">
        <f t="shared" si="194"/>
        <v>98094.964665599546</v>
      </c>
      <c r="AE87" s="1106">
        <v>442849.79700864002</v>
      </c>
      <c r="AF87" s="1108">
        <f t="shared" si="195"/>
        <v>442849.79700864002</v>
      </c>
      <c r="AG87" s="1106">
        <v>966952.49039424025</v>
      </c>
      <c r="AH87" s="1108">
        <f t="shared" si="196"/>
        <v>966952.49039424025</v>
      </c>
      <c r="AI87" s="1412">
        <v>0</v>
      </c>
      <c r="AJ87" s="1107">
        <v>41122.932480000003</v>
      </c>
      <c r="AK87" s="1107">
        <v>151982.85312000001</v>
      </c>
      <c r="AL87" s="1107">
        <v>425614.53312000009</v>
      </c>
      <c r="AM87" s="1109">
        <v>0</v>
      </c>
      <c r="AN87" s="1109">
        <v>0</v>
      </c>
      <c r="AO87" s="1040">
        <f t="shared" si="197"/>
        <v>0</v>
      </c>
      <c r="AP87" s="1106">
        <v>227102.26411756987</v>
      </c>
      <c r="AQ87" s="1108">
        <f t="shared" si="198"/>
        <v>227102.26411756987</v>
      </c>
      <c r="AR87" s="1106">
        <v>298464.92766720109</v>
      </c>
      <c r="AS87" s="1107">
        <v>336488.78592000005</v>
      </c>
      <c r="AT87" s="1410"/>
      <c r="AU87" s="1040">
        <f t="shared" si="199"/>
        <v>0</v>
      </c>
      <c r="AV87" s="1106">
        <v>423.36000000000007</v>
      </c>
      <c r="AW87" s="1107">
        <v>81508.160160000014</v>
      </c>
      <c r="AX87" s="1108">
        <f t="shared" si="200"/>
        <v>81931.520160000015</v>
      </c>
      <c r="AY87" s="1106">
        <v>84434.918399999995</v>
      </c>
      <c r="AZ87" s="1108">
        <f t="shared" si="201"/>
        <v>84434.918399999995</v>
      </c>
      <c r="BA87" s="1106">
        <v>99186.615359999996</v>
      </c>
      <c r="BB87" s="1107">
        <v>13921.488000000001</v>
      </c>
      <c r="BC87" s="1108">
        <f t="shared" si="202"/>
        <v>113108.10335999999</v>
      </c>
      <c r="BD87" s="1042">
        <f t="shared" si="203"/>
        <v>2014474.0581060499</v>
      </c>
      <c r="BE87" s="1052"/>
      <c r="BF87" s="1053"/>
      <c r="BG87" s="1048">
        <f t="shared" si="204"/>
        <v>0</v>
      </c>
      <c r="BH87" s="1052">
        <v>17018.93</v>
      </c>
      <c r="BI87" s="1053">
        <v>34481.31</v>
      </c>
      <c r="BJ87" s="1053">
        <v>156733.25</v>
      </c>
      <c r="BK87" s="1053">
        <v>31346.65</v>
      </c>
      <c r="BL87" s="1048">
        <f t="shared" si="205"/>
        <v>239580.13999999998</v>
      </c>
      <c r="BM87" s="1052">
        <v>188079.9</v>
      </c>
      <c r="BN87" s="1053">
        <v>31346.65</v>
      </c>
      <c r="BO87" s="1048">
        <f t="shared" si="206"/>
        <v>219426.55</v>
      </c>
      <c r="BP87" s="1052"/>
      <c r="BQ87" s="1053"/>
      <c r="BR87" s="1053"/>
      <c r="BS87" s="1053"/>
      <c r="BT87" s="1053">
        <v>10609.2</v>
      </c>
      <c r="BU87" s="1048">
        <f t="shared" si="207"/>
        <v>10609.2</v>
      </c>
      <c r="BV87" s="1052">
        <v>27105.45</v>
      </c>
      <c r="BW87" s="1053">
        <v>12327.93</v>
      </c>
      <c r="BX87" s="1053"/>
      <c r="BY87" s="1053">
        <v>45740.44</v>
      </c>
      <c r="BZ87" s="1053">
        <v>27362.99</v>
      </c>
      <c r="CA87" s="1053">
        <v>55904.99</v>
      </c>
      <c r="CB87" s="1053">
        <v>5349.86</v>
      </c>
      <c r="CC87" s="1048">
        <f t="shared" si="208"/>
        <v>173791.66</v>
      </c>
      <c r="CD87" s="1052">
        <v>11021.38</v>
      </c>
      <c r="CE87" s="1053">
        <v>60617.563999999998</v>
      </c>
      <c r="CF87" s="1053">
        <v>22042.75</v>
      </c>
      <c r="CG87" s="1053">
        <v>22042.75</v>
      </c>
      <c r="CH87" s="1048">
        <f t="shared" si="209"/>
        <v>115724.444</v>
      </c>
      <c r="CI87" s="1052">
        <v>112050.65</v>
      </c>
      <c r="CJ87" s="1053">
        <v>16532.060000000001</v>
      </c>
      <c r="CK87" s="1053">
        <v>17906.91</v>
      </c>
      <c r="CL87" s="1053">
        <v>47759.29</v>
      </c>
      <c r="CM87" s="1053">
        <v>53720.73</v>
      </c>
      <c r="CN87" s="1053">
        <v>41751.339999999997</v>
      </c>
      <c r="CO87" s="1051">
        <f t="shared" si="210"/>
        <v>289720.98</v>
      </c>
      <c r="CP87" s="1052">
        <v>115724.44</v>
      </c>
      <c r="CQ87" s="1053">
        <v>69954.509999999995</v>
      </c>
      <c r="CR87" s="1048">
        <f t="shared" si="211"/>
        <v>185678.95</v>
      </c>
      <c r="CS87" s="1052">
        <v>225387.12</v>
      </c>
      <c r="CT87" s="1053">
        <v>148421.19</v>
      </c>
      <c r="CU87" s="1053">
        <v>23144.89</v>
      </c>
      <c r="CV87" s="1053">
        <v>101947.72</v>
      </c>
      <c r="CW87" s="1048">
        <f t="shared" si="212"/>
        <v>498900.92000000004</v>
      </c>
      <c r="CX87" s="1052">
        <v>6053.04</v>
      </c>
      <c r="CY87" s="1048">
        <f t="shared" si="213"/>
        <v>6053.04</v>
      </c>
      <c r="CZ87" s="1103">
        <f t="shared" si="214"/>
        <v>1739485.8839999998</v>
      </c>
      <c r="DA87" s="1104">
        <f t="shared" si="215"/>
        <v>5991896.6974570518</v>
      </c>
      <c r="DI87" s="1042">
        <f t="shared" si="216"/>
        <v>2195575.8339999998</v>
      </c>
    </row>
    <row r="88" spans="1:113" s="1055" customFormat="1">
      <c r="A88" s="955" t="s">
        <v>914</v>
      </c>
      <c r="B88" s="1102" t="s">
        <v>1386</v>
      </c>
      <c r="C88" s="1030" t="s">
        <v>28</v>
      </c>
      <c r="D88" s="1035"/>
      <c r="E88" s="1032">
        <f t="shared" si="191"/>
        <v>0</v>
      </c>
      <c r="F88" s="1035">
        <v>16067.684375000001</v>
      </c>
      <c r="G88" s="1036">
        <v>54607.506249999999</v>
      </c>
      <c r="H88" s="1032">
        <f t="shared" si="217"/>
        <v>70675.190625000003</v>
      </c>
      <c r="I88" s="1035">
        <v>0</v>
      </c>
      <c r="J88" s="1032">
        <f t="shared" si="218"/>
        <v>0</v>
      </c>
      <c r="K88" s="1035">
        <v>6899.7</v>
      </c>
      <c r="L88" s="1074">
        <v>3815</v>
      </c>
      <c r="M88" s="1032">
        <f t="shared" si="219"/>
        <v>10714.7</v>
      </c>
      <c r="N88" s="1035">
        <v>36417.9</v>
      </c>
      <c r="O88" s="1036">
        <v>23067</v>
      </c>
      <c r="P88" s="1032">
        <f t="shared" si="220"/>
        <v>59484.9</v>
      </c>
      <c r="Q88" s="1035">
        <v>29418.583591103128</v>
      </c>
      <c r="R88" s="1036">
        <v>46854.560571093192</v>
      </c>
      <c r="S88" s="1032">
        <f t="shared" si="221"/>
        <v>76273.144162196317</v>
      </c>
      <c r="T88" s="1035">
        <v>19431.208333339127</v>
      </c>
      <c r="U88" s="1036">
        <v>45339.486111124628</v>
      </c>
      <c r="V88" s="1032">
        <f t="shared" si="222"/>
        <v>64770.694444463756</v>
      </c>
      <c r="W88" s="1037">
        <f t="shared" si="192"/>
        <v>281918.62923166004</v>
      </c>
      <c r="X88" s="1106">
        <v>771.4</v>
      </c>
      <c r="Y88" s="1107">
        <v>2027.6799999999998</v>
      </c>
      <c r="Z88" s="1408">
        <v>6781</v>
      </c>
      <c r="AA88" s="1040">
        <f t="shared" si="193"/>
        <v>6781</v>
      </c>
      <c r="AB88" s="1106">
        <v>6503.4141999999683</v>
      </c>
      <c r="AC88" s="1107">
        <v>1200</v>
      </c>
      <c r="AD88" s="1108">
        <f t="shared" si="194"/>
        <v>7703.4141999999683</v>
      </c>
      <c r="AE88" s="1106">
        <v>39707.727479999987</v>
      </c>
      <c r="AF88" s="1108">
        <f t="shared" si="195"/>
        <v>39707.727479999987</v>
      </c>
      <c r="AG88" s="1106">
        <v>80511.919179999997</v>
      </c>
      <c r="AH88" s="1108">
        <f t="shared" si="196"/>
        <v>80511.919179999997</v>
      </c>
      <c r="AI88" s="1106">
        <v>22778.29</v>
      </c>
      <c r="AJ88" s="1107">
        <v>2898.2599999999998</v>
      </c>
      <c r="AK88" s="1107">
        <v>10711.439999999999</v>
      </c>
      <c r="AL88" s="1107">
        <v>31026.19</v>
      </c>
      <c r="AM88" s="1109">
        <v>0</v>
      </c>
      <c r="AN88" s="1109">
        <v>0</v>
      </c>
      <c r="AO88" s="1040">
        <f t="shared" si="197"/>
        <v>22778.29</v>
      </c>
      <c r="AP88" s="1106">
        <v>27046.247126000129</v>
      </c>
      <c r="AQ88" s="1108">
        <f t="shared" si="198"/>
        <v>27046.247126000129</v>
      </c>
      <c r="AR88" s="1106">
        <v>21035.196400000077</v>
      </c>
      <c r="AS88" s="1107">
        <v>23715.040000000001</v>
      </c>
      <c r="AT88" s="1408">
        <v>9556.4338000000243</v>
      </c>
      <c r="AU88" s="1040">
        <f t="shared" si="199"/>
        <v>9556.4338000000243</v>
      </c>
      <c r="AV88" s="1106">
        <v>575.9</v>
      </c>
      <c r="AW88" s="1107">
        <v>8146.348</v>
      </c>
      <c r="AX88" s="1108">
        <f t="shared" si="200"/>
        <v>8722.2479999999996</v>
      </c>
      <c r="AY88" s="1106">
        <v>5950.7999999999993</v>
      </c>
      <c r="AZ88" s="1108">
        <f t="shared" si="201"/>
        <v>5950.7999999999993</v>
      </c>
      <c r="BA88" s="1106">
        <v>9642.1479999999992</v>
      </c>
      <c r="BB88" s="1107">
        <v>1578.4</v>
      </c>
      <c r="BC88" s="1108">
        <f t="shared" si="202"/>
        <v>11220.547999999999</v>
      </c>
      <c r="BD88" s="1042">
        <f t="shared" si="203"/>
        <v>219978.62778600011</v>
      </c>
      <c r="BE88" s="1052"/>
      <c r="BF88" s="1053"/>
      <c r="BG88" s="1048">
        <f t="shared" si="204"/>
        <v>0</v>
      </c>
      <c r="BH88" s="1052"/>
      <c r="BI88" s="1053">
        <v>2392.5</v>
      </c>
      <c r="BJ88" s="1053">
        <v>10875</v>
      </c>
      <c r="BK88" s="1053">
        <v>2175</v>
      </c>
      <c r="BL88" s="1048">
        <f t="shared" si="205"/>
        <v>15442.5</v>
      </c>
      <c r="BM88" s="1052">
        <v>12984</v>
      </c>
      <c r="BN88" s="1053">
        <v>2164</v>
      </c>
      <c r="BO88" s="1048">
        <f t="shared" si="206"/>
        <v>15148</v>
      </c>
      <c r="BP88" s="1049"/>
      <c r="BQ88" s="1050"/>
      <c r="BR88" s="1050"/>
      <c r="BS88" s="1050"/>
      <c r="BT88" s="1053"/>
      <c r="BU88" s="1048">
        <f t="shared" si="207"/>
        <v>0</v>
      </c>
      <c r="BV88" s="1052">
        <v>1740.8</v>
      </c>
      <c r="BW88" s="1053"/>
      <c r="BX88" s="1053"/>
      <c r="BY88" s="1053">
        <v>2937.6</v>
      </c>
      <c r="BZ88" s="1053"/>
      <c r="CA88" s="1053">
        <v>3590.4</v>
      </c>
      <c r="CB88" s="1053"/>
      <c r="CC88" s="1048">
        <f t="shared" si="208"/>
        <v>8268.7999999999993</v>
      </c>
      <c r="CD88" s="1052">
        <v>652.5</v>
      </c>
      <c r="CE88" s="1053">
        <v>3588.75</v>
      </c>
      <c r="CF88" s="1053">
        <v>1305</v>
      </c>
      <c r="CG88" s="1053">
        <v>1305</v>
      </c>
      <c r="CH88" s="1048">
        <f t="shared" si="209"/>
        <v>6851.25</v>
      </c>
      <c r="CI88" s="1052">
        <v>6633.75</v>
      </c>
      <c r="CJ88" s="1053">
        <v>978.75</v>
      </c>
      <c r="CK88" s="1053">
        <v>1775</v>
      </c>
      <c r="CL88" s="1053">
        <v>2827.5</v>
      </c>
      <c r="CM88" s="1053">
        <v>5325</v>
      </c>
      <c r="CN88" s="1053">
        <v>4138.55</v>
      </c>
      <c r="CO88" s="1051">
        <f t="shared" si="210"/>
        <v>21678.55</v>
      </c>
      <c r="CP88" s="1052">
        <v>6851.25</v>
      </c>
      <c r="CQ88" s="1053">
        <v>4141.53</v>
      </c>
      <c r="CR88" s="1048">
        <f t="shared" si="211"/>
        <v>10992.779999999999</v>
      </c>
      <c r="CS88" s="1052">
        <v>13343.625</v>
      </c>
      <c r="CT88" s="1053">
        <v>8787</v>
      </c>
      <c r="CU88" s="1053">
        <v>1370.25</v>
      </c>
      <c r="CV88" s="1053">
        <v>6035.63</v>
      </c>
      <c r="CW88" s="1048">
        <f t="shared" si="212"/>
        <v>29536.505000000001</v>
      </c>
      <c r="CX88" s="1052">
        <v>600</v>
      </c>
      <c r="CY88" s="1048">
        <f t="shared" si="213"/>
        <v>600</v>
      </c>
      <c r="CZ88" s="1103">
        <f t="shared" si="214"/>
        <v>108518.38500000001</v>
      </c>
      <c r="DA88" s="1104">
        <f t="shared" si="215"/>
        <v>610415.6420176602</v>
      </c>
      <c r="DI88" s="1042">
        <f t="shared" si="216"/>
        <v>0</v>
      </c>
    </row>
    <row r="89" spans="1:113" s="1055" customFormat="1">
      <c r="A89" s="955" t="s">
        <v>411</v>
      </c>
      <c r="B89" s="1102" t="s">
        <v>1387</v>
      </c>
      <c r="C89" s="1030" t="s">
        <v>28</v>
      </c>
      <c r="D89" s="1035"/>
      <c r="E89" s="1032">
        <f t="shared" si="191"/>
        <v>0</v>
      </c>
      <c r="F89" s="1035">
        <v>0</v>
      </c>
      <c r="G89" s="1036">
        <v>0</v>
      </c>
      <c r="H89" s="1032">
        <f t="shared" si="217"/>
        <v>0</v>
      </c>
      <c r="I89" s="1035">
        <v>38131.262083333335</v>
      </c>
      <c r="J89" s="1032">
        <f t="shared" si="218"/>
        <v>38131.262083333335</v>
      </c>
      <c r="K89" s="1035">
        <v>0</v>
      </c>
      <c r="L89" s="1074">
        <v>0</v>
      </c>
      <c r="M89" s="1032">
        <f t="shared" si="219"/>
        <v>0</v>
      </c>
      <c r="N89" s="1035">
        <v>0</v>
      </c>
      <c r="O89" s="1036">
        <v>0</v>
      </c>
      <c r="P89" s="1032">
        <f t="shared" si="220"/>
        <v>0</v>
      </c>
      <c r="Q89" s="1035">
        <v>0</v>
      </c>
      <c r="R89" s="1036">
        <v>0</v>
      </c>
      <c r="S89" s="1032">
        <f t="shared" si="221"/>
        <v>0</v>
      </c>
      <c r="T89" s="1035">
        <v>0</v>
      </c>
      <c r="U89" s="1036">
        <v>0</v>
      </c>
      <c r="V89" s="1032">
        <f t="shared" si="222"/>
        <v>0</v>
      </c>
      <c r="W89" s="1037">
        <f t="shared" si="192"/>
        <v>38131.262083333335</v>
      </c>
      <c r="X89" s="1106">
        <v>0</v>
      </c>
      <c r="Y89" s="1107">
        <v>0</v>
      </c>
      <c r="Z89" s="1408">
        <v>0</v>
      </c>
      <c r="AA89" s="1040">
        <f t="shared" si="193"/>
        <v>0</v>
      </c>
      <c r="AB89" s="1106">
        <v>0</v>
      </c>
      <c r="AC89" s="1107">
        <v>0</v>
      </c>
      <c r="AD89" s="1108">
        <f t="shared" si="194"/>
        <v>0</v>
      </c>
      <c r="AE89" s="1106">
        <v>0</v>
      </c>
      <c r="AF89" s="1108">
        <f t="shared" si="195"/>
        <v>0</v>
      </c>
      <c r="AG89" s="1106">
        <v>0</v>
      </c>
      <c r="AH89" s="1108">
        <f t="shared" si="196"/>
        <v>0</v>
      </c>
      <c r="AI89" s="1106">
        <v>0</v>
      </c>
      <c r="AJ89" s="1107">
        <v>0</v>
      </c>
      <c r="AK89" s="1107">
        <v>0</v>
      </c>
      <c r="AL89" s="1107">
        <v>0</v>
      </c>
      <c r="AM89" s="1109">
        <v>0</v>
      </c>
      <c r="AN89" s="1109">
        <v>0</v>
      </c>
      <c r="AO89" s="1108">
        <f t="shared" ref="AO89:AO99" si="223">SUM(AI89:AN89)</f>
        <v>0</v>
      </c>
      <c r="AP89" s="1106">
        <v>0</v>
      </c>
      <c r="AQ89" s="1108">
        <f t="shared" si="198"/>
        <v>0</v>
      </c>
      <c r="AR89" s="1106">
        <v>0</v>
      </c>
      <c r="AS89" s="1107">
        <v>0</v>
      </c>
      <c r="AT89" s="1408">
        <v>0</v>
      </c>
      <c r="AU89" s="1040">
        <f t="shared" si="199"/>
        <v>0</v>
      </c>
      <c r="AV89" s="1106">
        <v>0</v>
      </c>
      <c r="AW89" s="1107">
        <v>0</v>
      </c>
      <c r="AX89" s="1108">
        <f t="shared" si="200"/>
        <v>0</v>
      </c>
      <c r="AY89" s="1106">
        <v>0</v>
      </c>
      <c r="AZ89" s="1108">
        <f t="shared" si="201"/>
        <v>0</v>
      </c>
      <c r="BA89" s="1106">
        <v>0</v>
      </c>
      <c r="BB89" s="1107">
        <v>0</v>
      </c>
      <c r="BC89" s="1108">
        <f t="shared" si="202"/>
        <v>0</v>
      </c>
      <c r="BD89" s="1042">
        <f t="shared" si="203"/>
        <v>0</v>
      </c>
      <c r="BE89" s="1052"/>
      <c r="BF89" s="1053"/>
      <c r="BG89" s="1048">
        <f t="shared" si="204"/>
        <v>0</v>
      </c>
      <c r="BH89" s="1052"/>
      <c r="BI89" s="1053"/>
      <c r="BJ89" s="1053"/>
      <c r="BK89" s="1053"/>
      <c r="BL89" s="1048">
        <f t="shared" si="205"/>
        <v>0</v>
      </c>
      <c r="BM89" s="1052"/>
      <c r="BN89" s="1053"/>
      <c r="BO89" s="1048">
        <f t="shared" si="206"/>
        <v>0</v>
      </c>
      <c r="BP89" s="1049"/>
      <c r="BQ89" s="1050"/>
      <c r="BR89" s="1050"/>
      <c r="BS89" s="1050"/>
      <c r="BT89" s="1053"/>
      <c r="BU89" s="1048">
        <f t="shared" si="207"/>
        <v>0</v>
      </c>
      <c r="BV89" s="1052"/>
      <c r="BW89" s="1053"/>
      <c r="BX89" s="1053"/>
      <c r="BY89" s="1053"/>
      <c r="BZ89" s="1053"/>
      <c r="CA89" s="1053"/>
      <c r="CB89" s="1053"/>
      <c r="CC89" s="1048">
        <f t="shared" si="208"/>
        <v>0</v>
      </c>
      <c r="CD89" s="1052"/>
      <c r="CE89" s="1053"/>
      <c r="CF89" s="1053"/>
      <c r="CG89" s="1053"/>
      <c r="CH89" s="1048">
        <f t="shared" si="209"/>
        <v>0</v>
      </c>
      <c r="CI89" s="1052"/>
      <c r="CJ89" s="1053"/>
      <c r="CK89" s="1053"/>
      <c r="CL89" s="1053"/>
      <c r="CM89" s="1053"/>
      <c r="CN89" s="1053"/>
      <c r="CO89" s="1051">
        <f t="shared" si="210"/>
        <v>0</v>
      </c>
      <c r="CP89" s="1052"/>
      <c r="CQ89" s="1053"/>
      <c r="CR89" s="1048">
        <f t="shared" si="211"/>
        <v>0</v>
      </c>
      <c r="CS89" s="1052"/>
      <c r="CT89" s="1053"/>
      <c r="CU89" s="1053"/>
      <c r="CV89" s="1053"/>
      <c r="CW89" s="1048">
        <f t="shared" si="212"/>
        <v>0</v>
      </c>
      <c r="CX89" s="1052"/>
      <c r="CY89" s="1048">
        <f t="shared" si="213"/>
        <v>0</v>
      </c>
      <c r="CZ89" s="1103">
        <f t="shared" si="214"/>
        <v>0</v>
      </c>
      <c r="DA89" s="1104">
        <f t="shared" si="215"/>
        <v>38131.262083333335</v>
      </c>
      <c r="DI89" s="1042">
        <f t="shared" si="216"/>
        <v>0</v>
      </c>
    </row>
    <row r="90" spans="1:113" s="1055" customFormat="1">
      <c r="A90" s="955" t="s">
        <v>325</v>
      </c>
      <c r="B90" s="1102" t="s">
        <v>1388</v>
      </c>
      <c r="C90" s="1030" t="s">
        <v>28</v>
      </c>
      <c r="D90" s="1035"/>
      <c r="E90" s="1032">
        <f t="shared" si="191"/>
        <v>0</v>
      </c>
      <c r="F90" s="1035">
        <v>38939.703249999999</v>
      </c>
      <c r="G90" s="1036">
        <v>159680.12985185185</v>
      </c>
      <c r="H90" s="1032">
        <f t="shared" si="217"/>
        <v>198619.83310185184</v>
      </c>
      <c r="I90" s="1035">
        <v>0</v>
      </c>
      <c r="J90" s="1032">
        <f t="shared" si="218"/>
        <v>0</v>
      </c>
      <c r="K90" s="1035">
        <v>6864.5052000000005</v>
      </c>
      <c r="L90" s="1074">
        <v>3795.54</v>
      </c>
      <c r="M90" s="1032">
        <f t="shared" si="219"/>
        <v>10660.0452</v>
      </c>
      <c r="N90" s="1035">
        <v>34073.4</v>
      </c>
      <c r="O90" s="1036">
        <v>21582</v>
      </c>
      <c r="P90" s="1032">
        <f t="shared" si="220"/>
        <v>55655.4</v>
      </c>
      <c r="Q90" s="1035">
        <v>15273.283591107111</v>
      </c>
      <c r="R90" s="1036">
        <v>22632.398071102129</v>
      </c>
      <c r="S90" s="1032">
        <f t="shared" si="221"/>
        <v>37905.681662209237</v>
      </c>
      <c r="T90" s="1035">
        <v>9458.8333333352639</v>
      </c>
      <c r="U90" s="1036">
        <v>22070.611111115613</v>
      </c>
      <c r="V90" s="1032">
        <f t="shared" si="222"/>
        <v>31529.444444450877</v>
      </c>
      <c r="W90" s="1037">
        <f t="shared" si="192"/>
        <v>334370.40440851194</v>
      </c>
      <c r="X90" s="1106">
        <v>756</v>
      </c>
      <c r="Y90" s="1107">
        <v>1987.2</v>
      </c>
      <c r="Z90" s="1408">
        <v>6662.2</v>
      </c>
      <c r="AA90" s="1040">
        <f t="shared" si="193"/>
        <v>6662.2</v>
      </c>
      <c r="AB90" s="1106">
        <v>25250.930000000022</v>
      </c>
      <c r="AC90" s="1107">
        <v>26700</v>
      </c>
      <c r="AD90" s="1108">
        <f t="shared" si="194"/>
        <v>51950.930000000022</v>
      </c>
      <c r="AE90" s="1106">
        <v>170332.66200000001</v>
      </c>
      <c r="AF90" s="1108">
        <f t="shared" si="195"/>
        <v>170332.66200000001</v>
      </c>
      <c r="AG90" s="1106">
        <v>147127.01700000008</v>
      </c>
      <c r="AH90" s="1108">
        <f t="shared" si="196"/>
        <v>147127.01700000008</v>
      </c>
      <c r="AI90" s="1106">
        <v>22365.35</v>
      </c>
      <c r="AJ90" s="1107">
        <v>2840.4</v>
      </c>
      <c r="AK90" s="1107">
        <v>10497.6</v>
      </c>
      <c r="AL90" s="1107">
        <v>30427.350000000002</v>
      </c>
      <c r="AM90" s="1109">
        <v>0</v>
      </c>
      <c r="AN90" s="1109">
        <v>0</v>
      </c>
      <c r="AO90" s="1040">
        <f t="shared" si="197"/>
        <v>22365.35</v>
      </c>
      <c r="AP90" s="1106">
        <v>178991.53689999995</v>
      </c>
      <c r="AQ90" s="1108">
        <f t="shared" si="198"/>
        <v>178991.53689999995</v>
      </c>
      <c r="AR90" s="1106">
        <v>20615.256000000078</v>
      </c>
      <c r="AS90" s="1107">
        <v>23241.600000000002</v>
      </c>
      <c r="AT90" s="1408">
        <v>9365.6520000000273</v>
      </c>
      <c r="AU90" s="1040">
        <f t="shared" si="199"/>
        <v>9365.6520000000273</v>
      </c>
      <c r="AV90" s="1106">
        <v>1595.9</v>
      </c>
      <c r="AW90" s="1107">
        <v>115662.018</v>
      </c>
      <c r="AX90" s="1108">
        <f t="shared" si="200"/>
        <v>117257.91799999999</v>
      </c>
      <c r="AY90" s="1106">
        <v>5832</v>
      </c>
      <c r="AZ90" s="1108">
        <f t="shared" si="201"/>
        <v>5832</v>
      </c>
      <c r="BA90" s="1106">
        <v>60142.168000000005</v>
      </c>
      <c r="BB90" s="1107">
        <v>35119.4</v>
      </c>
      <c r="BC90" s="1108">
        <f t="shared" si="202"/>
        <v>95261.567999999999</v>
      </c>
      <c r="BD90" s="1042">
        <f t="shared" si="203"/>
        <v>805146.83390000009</v>
      </c>
      <c r="BE90" s="1052"/>
      <c r="BF90" s="1053"/>
      <c r="BG90" s="1048">
        <f t="shared" si="204"/>
        <v>0</v>
      </c>
      <c r="BH90" s="1052">
        <v>15236.14</v>
      </c>
      <c r="BI90" s="1053">
        <v>2392.5</v>
      </c>
      <c r="BJ90" s="1053">
        <v>10875</v>
      </c>
      <c r="BK90" s="1053">
        <v>2175</v>
      </c>
      <c r="BL90" s="1048">
        <f t="shared" si="205"/>
        <v>30678.639999999999</v>
      </c>
      <c r="BM90" s="1052">
        <v>12984</v>
      </c>
      <c r="BN90" s="1053">
        <v>2164</v>
      </c>
      <c r="BO90" s="1048">
        <f t="shared" si="206"/>
        <v>15148</v>
      </c>
      <c r="BP90" s="1052">
        <v>7933.62</v>
      </c>
      <c r="BQ90" s="1053"/>
      <c r="BR90" s="1053"/>
      <c r="BS90" s="1053"/>
      <c r="BT90" s="1053">
        <v>11078.4</v>
      </c>
      <c r="BU90" s="1048">
        <f t="shared" si="207"/>
        <v>19012.02</v>
      </c>
      <c r="BV90" s="1052">
        <v>1740.8</v>
      </c>
      <c r="BW90" s="1053">
        <v>11697.03</v>
      </c>
      <c r="BX90" s="1053"/>
      <c r="BY90" s="1053">
        <v>2937.6</v>
      </c>
      <c r="BZ90" s="1053">
        <v>20527.55</v>
      </c>
      <c r="CA90" s="1053">
        <v>3590.4</v>
      </c>
      <c r="CB90" s="1053">
        <v>7487</v>
      </c>
      <c r="CC90" s="1048">
        <f t="shared" si="208"/>
        <v>47980.38</v>
      </c>
      <c r="CD90" s="1052">
        <v>652.5</v>
      </c>
      <c r="CE90" s="1053">
        <v>3588.75</v>
      </c>
      <c r="CF90" s="1053">
        <v>1305</v>
      </c>
      <c r="CG90" s="1053">
        <v>1305</v>
      </c>
      <c r="CH90" s="1048">
        <f t="shared" si="209"/>
        <v>6851.25</v>
      </c>
      <c r="CI90" s="1052">
        <v>6633.75</v>
      </c>
      <c r="CJ90" s="1053">
        <v>978.75</v>
      </c>
      <c r="CK90" s="1053">
        <v>1775</v>
      </c>
      <c r="CL90" s="1053">
        <v>2827.5</v>
      </c>
      <c r="CM90" s="1053">
        <v>5325</v>
      </c>
      <c r="CN90" s="1053">
        <v>4138.55</v>
      </c>
      <c r="CO90" s="1051">
        <f t="shared" si="210"/>
        <v>21678.55</v>
      </c>
      <c r="CP90" s="1052">
        <v>6851.25</v>
      </c>
      <c r="CQ90" s="1053">
        <v>4141.53</v>
      </c>
      <c r="CR90" s="1048">
        <f t="shared" si="211"/>
        <v>10992.779999999999</v>
      </c>
      <c r="CS90" s="1052">
        <v>13343.625</v>
      </c>
      <c r="CT90" s="1053">
        <v>8787</v>
      </c>
      <c r="CU90" s="1053">
        <v>1370.25</v>
      </c>
      <c r="CV90" s="1053">
        <v>6035.63</v>
      </c>
      <c r="CW90" s="1048">
        <f t="shared" si="212"/>
        <v>29536.505000000001</v>
      </c>
      <c r="CX90" s="1052">
        <v>4210.7</v>
      </c>
      <c r="CY90" s="1048">
        <f t="shared" si="213"/>
        <v>4210.7</v>
      </c>
      <c r="CZ90" s="1103">
        <f t="shared" si="214"/>
        <v>186088.82500000001</v>
      </c>
      <c r="DA90" s="1104">
        <f t="shared" si="215"/>
        <v>1325606.0633085121</v>
      </c>
      <c r="DI90" s="1042">
        <f t="shared" si="216"/>
        <v>215950.20500000002</v>
      </c>
    </row>
    <row r="91" spans="1:113" s="1055" customFormat="1">
      <c r="A91" s="955" t="s">
        <v>918</v>
      </c>
      <c r="B91" s="1102" t="s">
        <v>919</v>
      </c>
      <c r="C91" s="1030" t="s">
        <v>843</v>
      </c>
      <c r="D91" s="1035"/>
      <c r="E91" s="1032">
        <f t="shared" si="191"/>
        <v>0</v>
      </c>
      <c r="F91" s="1035">
        <v>0</v>
      </c>
      <c r="G91" s="1036">
        <v>0</v>
      </c>
      <c r="H91" s="1032">
        <f t="shared" si="217"/>
        <v>0</v>
      </c>
      <c r="I91" s="1035">
        <v>59304.137949074095</v>
      </c>
      <c r="J91" s="1032">
        <f t="shared" si="218"/>
        <v>59304.137949074095</v>
      </c>
      <c r="K91" s="1035">
        <v>0</v>
      </c>
      <c r="L91" s="1074">
        <v>0</v>
      </c>
      <c r="M91" s="1032">
        <f t="shared" si="219"/>
        <v>0</v>
      </c>
      <c r="N91" s="1035">
        <v>0</v>
      </c>
      <c r="O91" s="1036">
        <v>0</v>
      </c>
      <c r="P91" s="1032">
        <f t="shared" si="220"/>
        <v>0</v>
      </c>
      <c r="Q91" s="1035">
        <v>0</v>
      </c>
      <c r="R91" s="1036">
        <v>0</v>
      </c>
      <c r="S91" s="1032">
        <f t="shared" si="221"/>
        <v>0</v>
      </c>
      <c r="T91" s="1035">
        <v>0</v>
      </c>
      <c r="U91" s="1036">
        <v>0</v>
      </c>
      <c r="V91" s="1032">
        <f t="shared" si="222"/>
        <v>0</v>
      </c>
      <c r="W91" s="1037">
        <f t="shared" si="192"/>
        <v>59304.137949074095</v>
      </c>
      <c r="X91" s="1106">
        <v>0</v>
      </c>
      <c r="Y91" s="1107">
        <v>0</v>
      </c>
      <c r="Z91" s="1408">
        <v>0</v>
      </c>
      <c r="AA91" s="1040">
        <f t="shared" si="193"/>
        <v>0</v>
      </c>
      <c r="AB91" s="1106">
        <v>0</v>
      </c>
      <c r="AC91" s="1107">
        <v>0</v>
      </c>
      <c r="AD91" s="1108">
        <f t="shared" si="194"/>
        <v>0</v>
      </c>
      <c r="AE91" s="1106">
        <v>0</v>
      </c>
      <c r="AF91" s="1108">
        <f t="shared" si="195"/>
        <v>0</v>
      </c>
      <c r="AG91" s="1106">
        <v>0</v>
      </c>
      <c r="AH91" s="1108">
        <f t="shared" si="196"/>
        <v>0</v>
      </c>
      <c r="AI91" s="1106">
        <v>0</v>
      </c>
      <c r="AJ91" s="1107">
        <v>0</v>
      </c>
      <c r="AK91" s="1107">
        <v>0</v>
      </c>
      <c r="AL91" s="1107">
        <v>0</v>
      </c>
      <c r="AM91" s="1109">
        <v>0</v>
      </c>
      <c r="AN91" s="1109">
        <v>0</v>
      </c>
      <c r="AO91" s="1108">
        <f t="shared" si="223"/>
        <v>0</v>
      </c>
      <c r="AP91" s="1106">
        <v>0</v>
      </c>
      <c r="AQ91" s="1108">
        <f t="shared" si="198"/>
        <v>0</v>
      </c>
      <c r="AR91" s="1106">
        <v>0</v>
      </c>
      <c r="AS91" s="1107">
        <v>0</v>
      </c>
      <c r="AT91" s="1408">
        <v>0</v>
      </c>
      <c r="AU91" s="1040">
        <f t="shared" si="199"/>
        <v>0</v>
      </c>
      <c r="AV91" s="1106">
        <v>0</v>
      </c>
      <c r="AW91" s="1107">
        <v>0</v>
      </c>
      <c r="AX91" s="1108">
        <f t="shared" si="200"/>
        <v>0</v>
      </c>
      <c r="AY91" s="1106">
        <v>0</v>
      </c>
      <c r="AZ91" s="1108">
        <f t="shared" si="201"/>
        <v>0</v>
      </c>
      <c r="BA91" s="1106">
        <v>0</v>
      </c>
      <c r="BB91" s="1107">
        <v>0</v>
      </c>
      <c r="BC91" s="1108">
        <f t="shared" si="202"/>
        <v>0</v>
      </c>
      <c r="BD91" s="1042">
        <f t="shared" si="203"/>
        <v>0</v>
      </c>
      <c r="BE91" s="1052"/>
      <c r="BF91" s="1053"/>
      <c r="BG91" s="1048">
        <f t="shared" si="204"/>
        <v>0</v>
      </c>
      <c r="BH91" s="1052"/>
      <c r="BI91" s="1053"/>
      <c r="BJ91" s="1053"/>
      <c r="BK91" s="1053"/>
      <c r="BL91" s="1048">
        <f t="shared" si="205"/>
        <v>0</v>
      </c>
      <c r="BM91" s="1052"/>
      <c r="BN91" s="1053"/>
      <c r="BO91" s="1048">
        <f t="shared" si="206"/>
        <v>0</v>
      </c>
      <c r="BP91" s="1049"/>
      <c r="BQ91" s="1050"/>
      <c r="BR91" s="1050"/>
      <c r="BS91" s="1050"/>
      <c r="BT91" s="1053"/>
      <c r="BU91" s="1048">
        <f t="shared" si="207"/>
        <v>0</v>
      </c>
      <c r="BV91" s="1052"/>
      <c r="BW91" s="1053"/>
      <c r="BX91" s="1053"/>
      <c r="BY91" s="1053"/>
      <c r="BZ91" s="1053"/>
      <c r="CA91" s="1053"/>
      <c r="CB91" s="1053"/>
      <c r="CC91" s="1048">
        <f t="shared" si="208"/>
        <v>0</v>
      </c>
      <c r="CD91" s="1052"/>
      <c r="CE91" s="1053"/>
      <c r="CF91" s="1053"/>
      <c r="CG91" s="1053"/>
      <c r="CH91" s="1048">
        <f t="shared" si="209"/>
        <v>0</v>
      </c>
      <c r="CI91" s="1052"/>
      <c r="CJ91" s="1053"/>
      <c r="CK91" s="1053"/>
      <c r="CL91" s="1053"/>
      <c r="CM91" s="1053"/>
      <c r="CN91" s="1053"/>
      <c r="CO91" s="1051">
        <f t="shared" si="210"/>
        <v>0</v>
      </c>
      <c r="CP91" s="1052"/>
      <c r="CQ91" s="1053"/>
      <c r="CR91" s="1048">
        <f t="shared" si="211"/>
        <v>0</v>
      </c>
      <c r="CS91" s="1052"/>
      <c r="CT91" s="1053"/>
      <c r="CU91" s="1053"/>
      <c r="CV91" s="1053"/>
      <c r="CW91" s="1048">
        <f t="shared" si="212"/>
        <v>0</v>
      </c>
      <c r="CX91" s="1052"/>
      <c r="CY91" s="1048">
        <f t="shared" si="213"/>
        <v>0</v>
      </c>
      <c r="CZ91" s="1103">
        <f t="shared" si="214"/>
        <v>0</v>
      </c>
      <c r="DA91" s="1104">
        <f t="shared" si="215"/>
        <v>59304.137949074095</v>
      </c>
      <c r="DI91" s="1042">
        <f t="shared" si="216"/>
        <v>0</v>
      </c>
    </row>
    <row r="92" spans="1:113" s="1055" customFormat="1" ht="30">
      <c r="A92" s="955" t="s">
        <v>1389</v>
      </c>
      <c r="B92" s="1102" t="s">
        <v>1390</v>
      </c>
      <c r="C92" s="1030" t="s">
        <v>111</v>
      </c>
      <c r="D92" s="1035"/>
      <c r="E92" s="1032">
        <f t="shared" si="191"/>
        <v>0</v>
      </c>
      <c r="F92" s="1035">
        <v>0</v>
      </c>
      <c r="G92" s="1036">
        <v>0</v>
      </c>
      <c r="H92" s="1032">
        <f t="shared" si="217"/>
        <v>0</v>
      </c>
      <c r="I92" s="1035">
        <v>0</v>
      </c>
      <c r="J92" s="1032">
        <f t="shared" si="218"/>
        <v>0</v>
      </c>
      <c r="K92" s="1035">
        <v>0</v>
      </c>
      <c r="L92" s="1074">
        <v>0</v>
      </c>
      <c r="M92" s="1032">
        <f t="shared" si="219"/>
        <v>0</v>
      </c>
      <c r="N92" s="1035">
        <v>0</v>
      </c>
      <c r="O92" s="1036">
        <v>0</v>
      </c>
      <c r="P92" s="1032">
        <f t="shared" si="220"/>
        <v>0</v>
      </c>
      <c r="Q92" s="1035">
        <v>0</v>
      </c>
      <c r="R92" s="1036">
        <v>0</v>
      </c>
      <c r="S92" s="1032">
        <f t="shared" si="221"/>
        <v>0</v>
      </c>
      <c r="T92" s="1035">
        <v>0</v>
      </c>
      <c r="U92" s="1036">
        <v>0</v>
      </c>
      <c r="V92" s="1032">
        <f t="shared" si="222"/>
        <v>0</v>
      </c>
      <c r="W92" s="1037">
        <f t="shared" si="192"/>
        <v>0</v>
      </c>
      <c r="X92" s="1106">
        <v>0</v>
      </c>
      <c r="Y92" s="1107">
        <v>0</v>
      </c>
      <c r="Z92" s="1408">
        <v>58.114000000000011</v>
      </c>
      <c r="AA92" s="1040">
        <f t="shared" si="193"/>
        <v>58.114000000000011</v>
      </c>
      <c r="AB92" s="1106">
        <v>596.85182000000168</v>
      </c>
      <c r="AC92" s="1107">
        <v>807.00000000000011</v>
      </c>
      <c r="AD92" s="1108">
        <f t="shared" si="194"/>
        <v>1403.8518200000017</v>
      </c>
      <c r="AE92" s="1106">
        <v>4582.4527079999998</v>
      </c>
      <c r="AF92" s="1108">
        <f t="shared" si="195"/>
        <v>4582.4527079999998</v>
      </c>
      <c r="AG92" s="1106">
        <v>2930.7102779999996</v>
      </c>
      <c r="AH92" s="1108">
        <f t="shared" si="196"/>
        <v>2930.7102779999996</v>
      </c>
      <c r="AI92" s="1106">
        <v>72.52000000000001</v>
      </c>
      <c r="AJ92" s="1107">
        <v>72.08250000000001</v>
      </c>
      <c r="AK92" s="1107">
        <v>38.377500000000005</v>
      </c>
      <c r="AL92" s="1107">
        <v>35.665000000000006</v>
      </c>
      <c r="AM92" s="1109">
        <v>0</v>
      </c>
      <c r="AN92" s="1109">
        <v>0</v>
      </c>
      <c r="AO92" s="1040">
        <f t="shared" si="197"/>
        <v>72.52000000000001</v>
      </c>
      <c r="AP92" s="1106">
        <v>5399.0808645999941</v>
      </c>
      <c r="AQ92" s="1108">
        <f t="shared" si="198"/>
        <v>5399.0808645999941</v>
      </c>
      <c r="AR92" s="1106">
        <v>0</v>
      </c>
      <c r="AS92" s="1107">
        <v>0</v>
      </c>
      <c r="AT92" s="1408">
        <v>0</v>
      </c>
      <c r="AU92" s="1040">
        <f t="shared" si="199"/>
        <v>0</v>
      </c>
      <c r="AV92" s="1106">
        <v>69.233000000000004</v>
      </c>
      <c r="AW92" s="1107">
        <v>3450.1057800000008</v>
      </c>
      <c r="AX92" s="1108">
        <f t="shared" si="200"/>
        <v>3519.338780000001</v>
      </c>
      <c r="AY92" s="1106">
        <v>0</v>
      </c>
      <c r="AZ92" s="1108">
        <f t="shared" si="201"/>
        <v>0</v>
      </c>
      <c r="BA92" s="1106">
        <v>1724.1932800000004</v>
      </c>
      <c r="BB92" s="1107">
        <v>1061.4740000000002</v>
      </c>
      <c r="BC92" s="1108">
        <f t="shared" si="202"/>
        <v>2785.6672800000006</v>
      </c>
      <c r="BD92" s="1042">
        <f t="shared" si="203"/>
        <v>20751.735730599998</v>
      </c>
      <c r="BE92" s="1052"/>
      <c r="BF92" s="1053"/>
      <c r="BG92" s="1048">
        <f t="shared" si="204"/>
        <v>0</v>
      </c>
      <c r="BH92" s="1052">
        <v>115.6</v>
      </c>
      <c r="BI92" s="1053"/>
      <c r="BJ92" s="1053"/>
      <c r="BK92" s="1053"/>
      <c r="BL92" s="1048">
        <f t="shared" si="205"/>
        <v>115.6</v>
      </c>
      <c r="BM92" s="1052"/>
      <c r="BN92" s="1053"/>
      <c r="BO92" s="1048">
        <f t="shared" si="206"/>
        <v>0</v>
      </c>
      <c r="BP92" s="1052">
        <v>424</v>
      </c>
      <c r="BQ92" s="1053"/>
      <c r="BR92" s="1053"/>
      <c r="BS92" s="1053"/>
      <c r="BT92" s="1053">
        <v>72</v>
      </c>
      <c r="BU92" s="1048">
        <f t="shared" si="207"/>
        <v>496</v>
      </c>
      <c r="BV92" s="1052"/>
      <c r="BW92" s="1053">
        <v>282.27</v>
      </c>
      <c r="BX92" s="1053"/>
      <c r="BY92" s="1053"/>
      <c r="BZ92" s="1053">
        <v>96</v>
      </c>
      <c r="CA92" s="1053"/>
      <c r="CB92" s="1053">
        <v>34.5</v>
      </c>
      <c r="CC92" s="1048">
        <f t="shared" si="208"/>
        <v>412.77</v>
      </c>
      <c r="CD92" s="1052"/>
      <c r="CE92" s="1053"/>
      <c r="CF92" s="1053"/>
      <c r="CG92" s="1053"/>
      <c r="CH92" s="1048">
        <f t="shared" si="209"/>
        <v>0</v>
      </c>
      <c r="CI92" s="1052"/>
      <c r="CJ92" s="1053"/>
      <c r="CK92" s="1053"/>
      <c r="CL92" s="1053"/>
      <c r="CM92" s="1053"/>
      <c r="CN92" s="1053"/>
      <c r="CO92" s="1051">
        <f t="shared" si="210"/>
        <v>0</v>
      </c>
      <c r="CP92" s="1052"/>
      <c r="CQ92" s="1053"/>
      <c r="CR92" s="1048">
        <f t="shared" si="211"/>
        <v>0</v>
      </c>
      <c r="CS92" s="1052"/>
      <c r="CT92" s="1053"/>
      <c r="CU92" s="1053"/>
      <c r="CV92" s="1053"/>
      <c r="CW92" s="1048">
        <f t="shared" si="212"/>
        <v>0</v>
      </c>
      <c r="CX92" s="1052"/>
      <c r="CY92" s="1048">
        <f t="shared" si="213"/>
        <v>0</v>
      </c>
      <c r="CZ92" s="1103">
        <f t="shared" si="214"/>
        <v>1024.3699999999999</v>
      </c>
      <c r="DA92" s="1104">
        <f t="shared" si="215"/>
        <v>21776.105730599997</v>
      </c>
      <c r="DI92" s="1042">
        <f t="shared" si="216"/>
        <v>1024.3699999999999</v>
      </c>
    </row>
    <row r="93" spans="1:113" s="1055" customFormat="1" ht="30">
      <c r="A93" s="955" t="s">
        <v>1391</v>
      </c>
      <c r="B93" s="1102" t="s">
        <v>1392</v>
      </c>
      <c r="C93" s="1030" t="s">
        <v>111</v>
      </c>
      <c r="D93" s="1035"/>
      <c r="E93" s="1032">
        <f t="shared" si="191"/>
        <v>0</v>
      </c>
      <c r="F93" s="1035">
        <v>1481.1997456018519</v>
      </c>
      <c r="G93" s="1036">
        <v>6339.5058696759261</v>
      </c>
      <c r="H93" s="1032">
        <f t="shared" si="217"/>
        <v>7820.7056152777777</v>
      </c>
      <c r="I93" s="1035">
        <v>7420.6689807870398</v>
      </c>
      <c r="J93" s="1032">
        <f t="shared" si="218"/>
        <v>7420.6689807870398</v>
      </c>
      <c r="K93" s="1035">
        <v>618.11816999999996</v>
      </c>
      <c r="L93" s="1074">
        <v>341.77150000000006</v>
      </c>
      <c r="M93" s="1032">
        <f t="shared" si="219"/>
        <v>959.88967000000002</v>
      </c>
      <c r="N93" s="1035">
        <v>1533.3029999999999</v>
      </c>
      <c r="O93" s="1036">
        <v>971.18999999999994</v>
      </c>
      <c r="P93" s="1032">
        <f t="shared" si="220"/>
        <v>2504.4929999999999</v>
      </c>
      <c r="Q93" s="1035">
        <v>1368.9041499997197</v>
      </c>
      <c r="R93" s="1036">
        <v>2032.4545499993706</v>
      </c>
      <c r="S93" s="1032">
        <f t="shared" si="221"/>
        <v>3401.3586999990903</v>
      </c>
      <c r="T93" s="1035">
        <v>849.55500000009647</v>
      </c>
      <c r="U93" s="1036">
        <v>1982.2950000002249</v>
      </c>
      <c r="V93" s="1032">
        <f t="shared" si="222"/>
        <v>2831.8500000003214</v>
      </c>
      <c r="W93" s="1037">
        <f t="shared" si="192"/>
        <v>24938.965966064232</v>
      </c>
      <c r="X93" s="1106">
        <v>68.040000000000006</v>
      </c>
      <c r="Y93" s="1107">
        <v>178.84799999999998</v>
      </c>
      <c r="Z93" s="1409">
        <f>(Z5-Z4)*10.8*0.15</f>
        <v>874.8</v>
      </c>
      <c r="AA93" s="1040">
        <f t="shared" si="193"/>
        <v>874.8</v>
      </c>
      <c r="AB93" s="1106">
        <v>1160.9749199999987</v>
      </c>
      <c r="AC93" s="1107">
        <v>900</v>
      </c>
      <c r="AD93" s="1108">
        <f t="shared" si="194"/>
        <v>2060.9749199999987</v>
      </c>
      <c r="AE93" s="1106">
        <v>7044.0606479999997</v>
      </c>
      <c r="AF93" s="1108">
        <f t="shared" si="195"/>
        <v>7044.0606479999997</v>
      </c>
      <c r="AG93" s="1106">
        <v>8233.4020679999994</v>
      </c>
      <c r="AH93" s="1108">
        <f t="shared" si="196"/>
        <v>8233.4020679999994</v>
      </c>
      <c r="AI93" s="1411">
        <f>(AI5-AI4)*10.8*0.15</f>
        <v>3024.5400000000004</v>
      </c>
      <c r="AJ93" s="1107">
        <v>255.636</v>
      </c>
      <c r="AK93" s="1107">
        <v>944.78400000000011</v>
      </c>
      <c r="AL93" s="1107">
        <v>2645.7839999999997</v>
      </c>
      <c r="AM93" s="1109">
        <v>0</v>
      </c>
      <c r="AN93" s="1109">
        <v>0</v>
      </c>
      <c r="AO93" s="1040">
        <f t="shared" si="197"/>
        <v>3024.5400000000004</v>
      </c>
      <c r="AP93" s="1106">
        <v>6390.0320676000056</v>
      </c>
      <c r="AQ93" s="1108">
        <f t="shared" si="198"/>
        <v>6390.0320676000056</v>
      </c>
      <c r="AR93" s="1106">
        <v>1855.3730400000068</v>
      </c>
      <c r="AS93" s="1107">
        <v>2091.7440000000001</v>
      </c>
      <c r="AT93" s="1409">
        <f>(AT5-AT4)*10.8*0.15</f>
        <v>1394.8200000000002</v>
      </c>
      <c r="AU93" s="1040">
        <f t="shared" si="199"/>
        <v>1394.8200000000002</v>
      </c>
      <c r="AV93" s="1106">
        <v>36</v>
      </c>
      <c r="AW93" s="1107">
        <v>4023.5459999999998</v>
      </c>
      <c r="AX93" s="1108">
        <f t="shared" si="200"/>
        <v>4059.5459999999998</v>
      </c>
      <c r="AY93" s="1409">
        <f>(AY5-AY4)*10.8*0.15</f>
        <v>874.8</v>
      </c>
      <c r="AZ93" s="1108">
        <f t="shared" si="201"/>
        <v>874.8</v>
      </c>
      <c r="BA93" s="1106">
        <v>2272.2359999999999</v>
      </c>
      <c r="BB93" s="1107">
        <v>1183.8</v>
      </c>
      <c r="BC93" s="1108">
        <f t="shared" si="202"/>
        <v>3456.0360000000001</v>
      </c>
      <c r="BD93" s="1042">
        <f t="shared" si="203"/>
        <v>37413.011703600008</v>
      </c>
      <c r="BE93" s="1052"/>
      <c r="BF93" s="1053"/>
      <c r="BG93" s="1048">
        <f t="shared" si="204"/>
        <v>0</v>
      </c>
      <c r="BH93" s="1052">
        <v>396.17</v>
      </c>
      <c r="BI93" s="1053">
        <v>214.89</v>
      </c>
      <c r="BJ93" s="1053">
        <v>976.75</v>
      </c>
      <c r="BK93" s="1053">
        <v>195.35</v>
      </c>
      <c r="BL93" s="1048">
        <f t="shared" si="205"/>
        <v>1783.1599999999999</v>
      </c>
      <c r="BM93" s="1052">
        <v>1168.56</v>
      </c>
      <c r="BN93" s="1053">
        <v>195.69</v>
      </c>
      <c r="BO93" s="1048">
        <f t="shared" si="206"/>
        <v>1364.25</v>
      </c>
      <c r="BP93" s="1052"/>
      <c r="BQ93" s="1053"/>
      <c r="BR93" s="1053"/>
      <c r="BS93" s="1053"/>
      <c r="BT93" s="1053">
        <v>197.57</v>
      </c>
      <c r="BU93" s="1048">
        <f t="shared" si="207"/>
        <v>197.57</v>
      </c>
      <c r="BV93" s="1052">
        <v>242.99</v>
      </c>
      <c r="BW93" s="1053">
        <v>202.04</v>
      </c>
      <c r="BX93" s="1053"/>
      <c r="BY93" s="1053">
        <v>410.05</v>
      </c>
      <c r="BZ93" s="1053">
        <v>353.86</v>
      </c>
      <c r="CA93" s="1053">
        <v>501.17</v>
      </c>
      <c r="CB93" s="1053">
        <v>184.32</v>
      </c>
      <c r="CC93" s="1048">
        <f t="shared" si="208"/>
        <v>1894.43</v>
      </c>
      <c r="CD93" s="1052">
        <v>58.604999999999997</v>
      </c>
      <c r="CE93" s="1053">
        <v>322.33</v>
      </c>
      <c r="CF93" s="1053">
        <v>117.21</v>
      </c>
      <c r="CG93" s="1053">
        <v>117.21</v>
      </c>
      <c r="CH93" s="1048">
        <f t="shared" si="209"/>
        <v>615.35500000000002</v>
      </c>
      <c r="CI93" s="1052">
        <v>595.8175</v>
      </c>
      <c r="CJ93" s="1053">
        <v>87.91</v>
      </c>
      <c r="CK93" s="1053">
        <v>538.25</v>
      </c>
      <c r="CL93" s="1053">
        <v>253.96</v>
      </c>
      <c r="CM93" s="1053">
        <v>1622.21</v>
      </c>
      <c r="CN93" s="1053">
        <v>1272.3599999999999</v>
      </c>
      <c r="CO93" s="1051">
        <f t="shared" si="210"/>
        <v>4370.5074999999997</v>
      </c>
      <c r="CP93" s="1052">
        <v>615.35249999999996</v>
      </c>
      <c r="CQ93" s="1053">
        <v>371.98</v>
      </c>
      <c r="CR93" s="1048">
        <f t="shared" si="211"/>
        <v>987.33249999999998</v>
      </c>
      <c r="CS93" s="1052">
        <v>1198.47225</v>
      </c>
      <c r="CT93" s="1053">
        <v>789.21</v>
      </c>
      <c r="CU93" s="1053">
        <v>123.07</v>
      </c>
      <c r="CV93" s="1053">
        <v>542.1</v>
      </c>
      <c r="CW93" s="1048">
        <f t="shared" si="212"/>
        <v>2652.8522499999999</v>
      </c>
      <c r="CX93" s="1052">
        <v>181.94</v>
      </c>
      <c r="CY93" s="1048">
        <f t="shared" si="213"/>
        <v>181.94</v>
      </c>
      <c r="CZ93" s="1103">
        <f t="shared" si="214"/>
        <v>14047.39725</v>
      </c>
      <c r="DA93" s="1104">
        <f t="shared" si="215"/>
        <v>76399.374919664246</v>
      </c>
      <c r="DI93" s="1042">
        <f t="shared" si="216"/>
        <v>18252.194749999999</v>
      </c>
    </row>
    <row r="94" spans="1:113" s="1055" customFormat="1">
      <c r="A94" s="955" t="s">
        <v>924</v>
      </c>
      <c r="B94" s="1102" t="s">
        <v>925</v>
      </c>
      <c r="C94" s="1030" t="s">
        <v>829</v>
      </c>
      <c r="D94" s="1035"/>
      <c r="E94" s="1032">
        <f t="shared" si="191"/>
        <v>0</v>
      </c>
      <c r="F94" s="1035">
        <v>0</v>
      </c>
      <c r="G94" s="1036">
        <v>0</v>
      </c>
      <c r="H94" s="1032">
        <f t="shared" si="217"/>
        <v>0</v>
      </c>
      <c r="I94" s="1035">
        <v>0</v>
      </c>
      <c r="J94" s="1032">
        <f t="shared" si="218"/>
        <v>0</v>
      </c>
      <c r="K94" s="1035">
        <v>0</v>
      </c>
      <c r="L94" s="1074">
        <v>0</v>
      </c>
      <c r="M94" s="1032">
        <f t="shared" si="219"/>
        <v>0</v>
      </c>
      <c r="N94" s="1035">
        <v>0</v>
      </c>
      <c r="O94" s="1036">
        <v>0</v>
      </c>
      <c r="P94" s="1032">
        <f t="shared" si="220"/>
        <v>0</v>
      </c>
      <c r="Q94" s="1035">
        <v>0</v>
      </c>
      <c r="R94" s="1036">
        <v>0</v>
      </c>
      <c r="S94" s="1032">
        <f t="shared" si="221"/>
        <v>0</v>
      </c>
      <c r="T94" s="1035">
        <v>0</v>
      </c>
      <c r="U94" s="1036">
        <v>0</v>
      </c>
      <c r="V94" s="1032">
        <f t="shared" si="222"/>
        <v>0</v>
      </c>
      <c r="W94" s="1037">
        <f t="shared" si="192"/>
        <v>0</v>
      </c>
      <c r="X94" s="1106">
        <v>0</v>
      </c>
      <c r="Y94" s="1107">
        <v>0</v>
      </c>
      <c r="Z94" s="1408">
        <v>0</v>
      </c>
      <c r="AA94" s="1108">
        <f t="shared" ref="AA94:AA99" si="224">SUM(X94:Z94)</f>
        <v>0</v>
      </c>
      <c r="AB94" s="1106">
        <v>0</v>
      </c>
      <c r="AC94" s="1107">
        <v>0</v>
      </c>
      <c r="AD94" s="1108">
        <f t="shared" si="194"/>
        <v>0</v>
      </c>
      <c r="AE94" s="1106">
        <v>0</v>
      </c>
      <c r="AF94" s="1108">
        <f t="shared" si="195"/>
        <v>0</v>
      </c>
      <c r="AG94" s="1106">
        <v>0</v>
      </c>
      <c r="AH94" s="1108">
        <f t="shared" si="196"/>
        <v>0</v>
      </c>
      <c r="AI94" s="1106">
        <v>0</v>
      </c>
      <c r="AJ94" s="1107">
        <v>0</v>
      </c>
      <c r="AK94" s="1107">
        <v>0</v>
      </c>
      <c r="AL94" s="1107">
        <v>0</v>
      </c>
      <c r="AM94" s="1109">
        <v>0</v>
      </c>
      <c r="AN94" s="1109">
        <v>0</v>
      </c>
      <c r="AO94" s="1108">
        <f t="shared" si="223"/>
        <v>0</v>
      </c>
      <c r="AP94" s="1106">
        <v>0</v>
      </c>
      <c r="AQ94" s="1108">
        <f t="shared" si="198"/>
        <v>0</v>
      </c>
      <c r="AR94" s="1106">
        <v>0</v>
      </c>
      <c r="AS94" s="1107">
        <v>0</v>
      </c>
      <c r="AT94" s="1408">
        <v>0</v>
      </c>
      <c r="AU94" s="1040">
        <f t="shared" si="199"/>
        <v>0</v>
      </c>
      <c r="AV94" s="1106">
        <v>0</v>
      </c>
      <c r="AW94" s="1107">
        <v>0</v>
      </c>
      <c r="AX94" s="1108">
        <f t="shared" si="200"/>
        <v>0</v>
      </c>
      <c r="AY94" s="1106">
        <v>0</v>
      </c>
      <c r="AZ94" s="1108">
        <f t="shared" si="201"/>
        <v>0</v>
      </c>
      <c r="BA94" s="1106">
        <v>0</v>
      </c>
      <c r="BB94" s="1107">
        <v>0</v>
      </c>
      <c r="BC94" s="1108">
        <f t="shared" si="202"/>
        <v>0</v>
      </c>
      <c r="BD94" s="1042">
        <f t="shared" si="203"/>
        <v>0</v>
      </c>
      <c r="BE94" s="1052"/>
      <c r="BF94" s="1053"/>
      <c r="BG94" s="1048">
        <f t="shared" si="204"/>
        <v>0</v>
      </c>
      <c r="BH94" s="1052"/>
      <c r="BI94" s="1053"/>
      <c r="BJ94" s="1053"/>
      <c r="BK94" s="1053"/>
      <c r="BL94" s="1048">
        <f t="shared" si="205"/>
        <v>0</v>
      </c>
      <c r="BM94" s="1052"/>
      <c r="BN94" s="1053"/>
      <c r="BO94" s="1048">
        <f t="shared" si="206"/>
        <v>0</v>
      </c>
      <c r="BP94" s="1049"/>
      <c r="BQ94" s="1050"/>
      <c r="BR94" s="1050"/>
      <c r="BS94" s="1050"/>
      <c r="BT94" s="1053"/>
      <c r="BU94" s="1048">
        <f t="shared" si="207"/>
        <v>0</v>
      </c>
      <c r="BV94" s="1049"/>
      <c r="BW94" s="1050"/>
      <c r="BX94" s="1050"/>
      <c r="BY94" s="1050"/>
      <c r="BZ94" s="1050"/>
      <c r="CA94" s="1050"/>
      <c r="CB94" s="1053"/>
      <c r="CC94" s="1048">
        <f t="shared" si="208"/>
        <v>0</v>
      </c>
      <c r="CD94" s="1052"/>
      <c r="CE94" s="1053"/>
      <c r="CF94" s="1053"/>
      <c r="CG94" s="1053"/>
      <c r="CH94" s="1048">
        <f t="shared" si="209"/>
        <v>0</v>
      </c>
      <c r="CI94" s="1052"/>
      <c r="CJ94" s="1053"/>
      <c r="CK94" s="1053"/>
      <c r="CL94" s="1053"/>
      <c r="CM94" s="1053"/>
      <c r="CN94" s="1053"/>
      <c r="CO94" s="1051">
        <f t="shared" si="210"/>
        <v>0</v>
      </c>
      <c r="CP94" s="1052"/>
      <c r="CQ94" s="1053"/>
      <c r="CR94" s="1048">
        <f t="shared" si="211"/>
        <v>0</v>
      </c>
      <c r="CS94" s="1052"/>
      <c r="CT94" s="1053"/>
      <c r="CU94" s="1053"/>
      <c r="CV94" s="1053"/>
      <c r="CW94" s="1048">
        <f t="shared" si="212"/>
        <v>0</v>
      </c>
      <c r="CX94" s="1052"/>
      <c r="CY94" s="1048">
        <f t="shared" si="213"/>
        <v>0</v>
      </c>
      <c r="CZ94" s="1103">
        <f t="shared" si="214"/>
        <v>0</v>
      </c>
      <c r="DA94" s="1104">
        <f t="shared" si="215"/>
        <v>0</v>
      </c>
      <c r="DI94" s="1042">
        <f t="shared" si="216"/>
        <v>0</v>
      </c>
    </row>
    <row r="95" spans="1:113" s="1113" customFormat="1">
      <c r="A95" s="955" t="s">
        <v>1393</v>
      </c>
      <c r="B95" s="1102" t="s">
        <v>1394</v>
      </c>
      <c r="C95" s="1030" t="s">
        <v>1364</v>
      </c>
      <c r="D95" s="1035"/>
      <c r="E95" s="1032">
        <f t="shared" si="191"/>
        <v>0</v>
      </c>
      <c r="F95" s="1035"/>
      <c r="G95" s="1036"/>
      <c r="H95" s="1032" t="e">
        <f>+'Acarreos Tramo 2 Fase II'!Y42</f>
        <v>#REF!</v>
      </c>
      <c r="I95" s="1035"/>
      <c r="J95" s="1032" t="e">
        <f>+'Acarreos Tramo 2 Fase II'!Y56</f>
        <v>#REF!</v>
      </c>
      <c r="K95" s="1035"/>
      <c r="L95" s="1074"/>
      <c r="M95" s="1032" t="e">
        <f>+'Acarreos Tramo 2 Fase II'!Y70</f>
        <v>#REF!</v>
      </c>
      <c r="N95" s="1035"/>
      <c r="O95" s="1036"/>
      <c r="P95" s="1032" t="e">
        <f>+'Acarreos Tramo 2 Fase II'!Y83</f>
        <v>#REF!</v>
      </c>
      <c r="Q95" s="1035"/>
      <c r="R95" s="1036"/>
      <c r="S95" s="1032" t="e">
        <f>+'Acarreos Tramo 2 Fase II'!Y97</f>
        <v>#REF!</v>
      </c>
      <c r="T95" s="1035"/>
      <c r="U95" s="1036"/>
      <c r="V95" s="1032" t="e">
        <f>+'Acarreos Tramo 2 Fase II'!Y110</f>
        <v>#REF!</v>
      </c>
      <c r="W95" s="1037" t="e">
        <f t="shared" si="192"/>
        <v>#REF!</v>
      </c>
      <c r="X95" s="1106"/>
      <c r="Y95" s="1107"/>
      <c r="Z95" s="1408"/>
      <c r="AA95" s="1108" t="e">
        <f>+#REF!</f>
        <v>#REF!</v>
      </c>
      <c r="AB95" s="1106"/>
      <c r="AC95" s="1107"/>
      <c r="AD95" s="1108" t="e">
        <f>+#REF!</f>
        <v>#REF!</v>
      </c>
      <c r="AE95" s="1106"/>
      <c r="AF95" s="1108" t="e">
        <f>+#REF!</f>
        <v>#REF!</v>
      </c>
      <c r="AG95" s="1106"/>
      <c r="AH95" s="1108" t="e">
        <f>+#REF!</f>
        <v>#REF!</v>
      </c>
      <c r="AI95" s="1106"/>
      <c r="AJ95" s="1107"/>
      <c r="AK95" s="1107"/>
      <c r="AL95" s="1107"/>
      <c r="AM95" s="1109"/>
      <c r="AN95" s="1109"/>
      <c r="AO95" s="1108" t="e">
        <f>+#REF!</f>
        <v>#REF!</v>
      </c>
      <c r="AP95" s="1106"/>
      <c r="AQ95" s="1108" t="e">
        <f>+#REF!</f>
        <v>#REF!</v>
      </c>
      <c r="AR95" s="1106"/>
      <c r="AS95" s="1107"/>
      <c r="AT95" s="1408"/>
      <c r="AU95" s="1040">
        <f t="shared" si="199"/>
        <v>0</v>
      </c>
      <c r="AV95" s="1106"/>
      <c r="AW95" s="1107"/>
      <c r="AX95" s="1108" t="e">
        <f>+#REF!</f>
        <v>#REF!</v>
      </c>
      <c r="AY95" s="1106"/>
      <c r="AZ95" s="1108" t="e">
        <f>+#REF!</f>
        <v>#REF!</v>
      </c>
      <c r="BA95" s="1106"/>
      <c r="BB95" s="1107"/>
      <c r="BC95" s="1108" t="e">
        <f>+#REF!</f>
        <v>#REF!</v>
      </c>
      <c r="BD95" s="1042" t="e">
        <f t="shared" si="203"/>
        <v>#REF!</v>
      </c>
      <c r="BE95" s="1035"/>
      <c r="BF95" s="1036"/>
      <c r="BG95" s="1032">
        <f t="shared" si="204"/>
        <v>0</v>
      </c>
      <c r="BH95" s="1035"/>
      <c r="BI95" s="1036"/>
      <c r="BJ95" s="1036"/>
      <c r="BK95" s="1036"/>
      <c r="BL95" s="1032" t="e">
        <f>+'Acarreos Tramo 7 Fase II'!AI28</f>
        <v>#REF!</v>
      </c>
      <c r="BM95" s="1035"/>
      <c r="BN95" s="1036"/>
      <c r="BO95" s="1032" t="e">
        <f>+'Acarreos Tramo 7 Fase II'!AI42</f>
        <v>#REF!</v>
      </c>
      <c r="BP95" s="1135"/>
      <c r="BQ95" s="1136"/>
      <c r="BR95" s="1136"/>
      <c r="BS95" s="1136"/>
      <c r="BT95" s="1036"/>
      <c r="BU95" s="1032" t="e">
        <f>+'Acarreos Tramo 7 Fase II'!AI55</f>
        <v>#REF!</v>
      </c>
      <c r="BV95" s="1135"/>
      <c r="BW95" s="1136"/>
      <c r="BX95" s="1136"/>
      <c r="BY95" s="1136"/>
      <c r="BZ95" s="1136"/>
      <c r="CA95" s="1136"/>
      <c r="CB95" s="1036"/>
      <c r="CC95" s="1032" t="e">
        <f>+'Acarreos Tramo 7 Fase II'!AI82</f>
        <v>#REF!</v>
      </c>
      <c r="CD95" s="1035"/>
      <c r="CE95" s="1036"/>
      <c r="CF95" s="1036"/>
      <c r="CG95" s="1036"/>
      <c r="CH95" s="1032" t="e">
        <f>+'Acarreos Tramo 7 Fase II'!AI69</f>
        <v>#REF!</v>
      </c>
      <c r="CI95" s="1035"/>
      <c r="CJ95" s="1036"/>
      <c r="CK95" s="1036"/>
      <c r="CL95" s="1036"/>
      <c r="CM95" s="1036"/>
      <c r="CN95" s="1036"/>
      <c r="CO95" s="1051" t="e">
        <f>+'Acarreos Tramo 7 Fase II'!AI109</f>
        <v>#REF!</v>
      </c>
      <c r="CP95" s="1035"/>
      <c r="CQ95" s="1036"/>
      <c r="CR95" s="1032" t="e">
        <f>+'Acarreos Tramo 7 Fase II'!AI96</f>
        <v>#REF!</v>
      </c>
      <c r="CS95" s="1035"/>
      <c r="CT95" s="1036"/>
      <c r="CU95" s="1036"/>
      <c r="CV95" s="1036"/>
      <c r="CW95" s="1032" t="e">
        <f>+'Acarreos Tramo 7 Fase II'!AI123</f>
        <v>#REF!</v>
      </c>
      <c r="CX95" s="1035"/>
      <c r="CY95" s="1032" t="e">
        <f>+'Acarreos Tramo 7 Fase II'!AI136</f>
        <v>#REF!</v>
      </c>
      <c r="CZ95" s="1103" t="e">
        <f t="shared" si="214"/>
        <v>#REF!</v>
      </c>
      <c r="DA95" s="1112" t="e">
        <f t="shared" si="215"/>
        <v>#REF!</v>
      </c>
      <c r="DI95" s="1042">
        <f t="shared" si="216"/>
        <v>0</v>
      </c>
    </row>
    <row r="96" spans="1:113" s="1055" customFormat="1" ht="30">
      <c r="A96" s="955" t="s">
        <v>1395</v>
      </c>
      <c r="B96" s="1102" t="s">
        <v>1396</v>
      </c>
      <c r="C96" s="1030" t="s">
        <v>28</v>
      </c>
      <c r="D96" s="1035"/>
      <c r="E96" s="1032">
        <f t="shared" si="191"/>
        <v>0</v>
      </c>
      <c r="F96" s="1035">
        <v>0</v>
      </c>
      <c r="G96" s="1036">
        <v>0</v>
      </c>
      <c r="H96" s="1032">
        <f>+IF(C96="", 0,SUM(F96:G96))</f>
        <v>0</v>
      </c>
      <c r="I96" s="1035">
        <v>0</v>
      </c>
      <c r="J96" s="1032">
        <f>+IF(C96="", 0,I96)</f>
        <v>0</v>
      </c>
      <c r="K96" s="1035">
        <v>0</v>
      </c>
      <c r="L96" s="1074">
        <v>0</v>
      </c>
      <c r="M96" s="1032">
        <f t="shared" ref="M96:M101" si="225">+IF(C96="",0,K96+L96)</f>
        <v>0</v>
      </c>
      <c r="N96" s="1035">
        <v>33760.800000000003</v>
      </c>
      <c r="O96" s="1036">
        <v>21384</v>
      </c>
      <c r="P96" s="1032">
        <f>+IF(C96="", 0,SUM(N96:O96))</f>
        <v>55144.800000000003</v>
      </c>
      <c r="Q96" s="1035">
        <v>0</v>
      </c>
      <c r="R96" s="1036">
        <v>0</v>
      </c>
      <c r="S96" s="1032">
        <f>+IF(C96="",0,SUM(Q96:R96))</f>
        <v>0</v>
      </c>
      <c r="T96" s="1035">
        <v>0</v>
      </c>
      <c r="U96" s="1036">
        <v>0</v>
      </c>
      <c r="V96" s="1032">
        <f>+IF(C96="",0,SUM(T96:U96))</f>
        <v>0</v>
      </c>
      <c r="W96" s="1037">
        <f t="shared" si="192"/>
        <v>55144.800000000003</v>
      </c>
      <c r="X96" s="1106">
        <v>0</v>
      </c>
      <c r="Y96" s="1107">
        <v>0</v>
      </c>
      <c r="Z96" s="1408">
        <v>0</v>
      </c>
      <c r="AA96" s="1108">
        <f t="shared" si="224"/>
        <v>0</v>
      </c>
      <c r="AB96" s="1106">
        <v>0</v>
      </c>
      <c r="AC96" s="1107">
        <v>0</v>
      </c>
      <c r="AD96" s="1108">
        <f t="shared" si="194"/>
        <v>0</v>
      </c>
      <c r="AE96" s="1106">
        <v>0</v>
      </c>
      <c r="AF96" s="1108">
        <f t="shared" si="195"/>
        <v>0</v>
      </c>
      <c r="AG96" s="1106">
        <v>0</v>
      </c>
      <c r="AH96" s="1108">
        <f t="shared" si="196"/>
        <v>0</v>
      </c>
      <c r="AI96" s="1106">
        <v>0</v>
      </c>
      <c r="AJ96" s="1107">
        <v>0</v>
      </c>
      <c r="AK96" s="1107">
        <v>0</v>
      </c>
      <c r="AL96" s="1107">
        <v>0</v>
      </c>
      <c r="AM96" s="1109">
        <v>0</v>
      </c>
      <c r="AN96" s="1109">
        <v>0</v>
      </c>
      <c r="AO96" s="1108">
        <f t="shared" si="223"/>
        <v>0</v>
      </c>
      <c r="AP96" s="1106">
        <v>0</v>
      </c>
      <c r="AQ96" s="1108">
        <f t="shared" si="198"/>
        <v>0</v>
      </c>
      <c r="AR96" s="1106">
        <v>0</v>
      </c>
      <c r="AS96" s="1107">
        <v>0</v>
      </c>
      <c r="AT96" s="1408">
        <v>0</v>
      </c>
      <c r="AU96" s="1040">
        <f t="shared" si="199"/>
        <v>0</v>
      </c>
      <c r="AV96" s="1106">
        <v>0</v>
      </c>
      <c r="AW96" s="1107">
        <v>0</v>
      </c>
      <c r="AX96" s="1108">
        <f t="shared" si="200"/>
        <v>0</v>
      </c>
      <c r="AY96" s="1106">
        <v>0</v>
      </c>
      <c r="AZ96" s="1108">
        <f t="shared" si="201"/>
        <v>0</v>
      </c>
      <c r="BA96" s="1106">
        <v>0</v>
      </c>
      <c r="BB96" s="1107">
        <v>0</v>
      </c>
      <c r="BC96" s="1108">
        <f t="shared" si="202"/>
        <v>0</v>
      </c>
      <c r="BD96" s="1042">
        <f t="shared" si="203"/>
        <v>0</v>
      </c>
      <c r="BE96" s="1052"/>
      <c r="BF96" s="1053"/>
      <c r="BG96" s="1048">
        <f t="shared" si="204"/>
        <v>0</v>
      </c>
      <c r="BH96" s="1052"/>
      <c r="BI96" s="1053"/>
      <c r="BJ96" s="1053"/>
      <c r="BK96" s="1053"/>
      <c r="BL96" s="1048">
        <f t="shared" si="205"/>
        <v>0</v>
      </c>
      <c r="BM96" s="1052"/>
      <c r="BN96" s="1053"/>
      <c r="BO96" s="1048">
        <f t="shared" si="206"/>
        <v>0</v>
      </c>
      <c r="BP96" s="1052"/>
      <c r="BQ96" s="1053"/>
      <c r="BR96" s="1053"/>
      <c r="BS96" s="1053"/>
      <c r="BT96" s="1053"/>
      <c r="BU96" s="1048">
        <f t="shared" si="207"/>
        <v>0</v>
      </c>
      <c r="BV96" s="1049"/>
      <c r="BW96" s="1050"/>
      <c r="BX96" s="1050"/>
      <c r="BY96" s="1050"/>
      <c r="BZ96" s="1050"/>
      <c r="CA96" s="1053"/>
      <c r="CB96" s="1053"/>
      <c r="CC96" s="1048">
        <f t="shared" si="208"/>
        <v>0</v>
      </c>
      <c r="CD96" s="1052"/>
      <c r="CE96" s="1053"/>
      <c r="CF96" s="1053"/>
      <c r="CG96" s="1053"/>
      <c r="CH96" s="1048">
        <f t="shared" si="209"/>
        <v>0</v>
      </c>
      <c r="CI96" s="1052"/>
      <c r="CJ96" s="1053"/>
      <c r="CK96" s="1053"/>
      <c r="CL96" s="1053"/>
      <c r="CM96" s="1053"/>
      <c r="CN96" s="1053"/>
      <c r="CO96" s="1051">
        <f t="shared" si="210"/>
        <v>0</v>
      </c>
      <c r="CP96" s="1052"/>
      <c r="CQ96" s="1053"/>
      <c r="CR96" s="1048">
        <f t="shared" si="211"/>
        <v>0</v>
      </c>
      <c r="CS96" s="1052"/>
      <c r="CT96" s="1053"/>
      <c r="CU96" s="1053"/>
      <c r="CV96" s="1053"/>
      <c r="CW96" s="1048">
        <f t="shared" si="212"/>
        <v>0</v>
      </c>
      <c r="CX96" s="1052"/>
      <c r="CY96" s="1048">
        <f t="shared" si="213"/>
        <v>0</v>
      </c>
      <c r="CZ96" s="1103">
        <f t="shared" si="214"/>
        <v>0</v>
      </c>
      <c r="DA96" s="1104">
        <f t="shared" si="215"/>
        <v>55144.800000000003</v>
      </c>
      <c r="DI96" s="1042">
        <f t="shared" si="216"/>
        <v>0</v>
      </c>
    </row>
    <row r="97" spans="1:113" s="1055" customFormat="1" ht="30">
      <c r="A97" s="955" t="s">
        <v>1395</v>
      </c>
      <c r="B97" s="1102" t="s">
        <v>1396</v>
      </c>
      <c r="C97" s="1030" t="s">
        <v>28</v>
      </c>
      <c r="D97" s="1035"/>
      <c r="E97" s="1032">
        <f t="shared" si="191"/>
        <v>0</v>
      </c>
      <c r="F97" s="1035">
        <v>0</v>
      </c>
      <c r="G97" s="1036">
        <v>0</v>
      </c>
      <c r="H97" s="1032">
        <f>+IF(C97="", 0,SUM(F97:G97))</f>
        <v>0</v>
      </c>
      <c r="I97" s="1035">
        <v>0</v>
      </c>
      <c r="J97" s="1032">
        <f>+IF(C97="", 0,I97)</f>
        <v>0</v>
      </c>
      <c r="K97" s="1035">
        <v>0</v>
      </c>
      <c r="L97" s="1074">
        <v>0</v>
      </c>
      <c r="M97" s="1032">
        <f t="shared" si="225"/>
        <v>0</v>
      </c>
      <c r="N97" s="1035">
        <v>0</v>
      </c>
      <c r="O97" s="1036">
        <v>0</v>
      </c>
      <c r="P97" s="1032">
        <f>+IF(C97="", 0,SUM(N97:O97))</f>
        <v>0</v>
      </c>
      <c r="Q97" s="1035">
        <v>0</v>
      </c>
      <c r="R97" s="1036">
        <v>0</v>
      </c>
      <c r="S97" s="1032">
        <f>+IF(C97="",0,SUM(Q97:R97))</f>
        <v>0</v>
      </c>
      <c r="T97" s="1035">
        <v>0</v>
      </c>
      <c r="U97" s="1036">
        <v>0</v>
      </c>
      <c r="V97" s="1032">
        <f>+IF(C97="",0,SUM(T97:U97))</f>
        <v>0</v>
      </c>
      <c r="W97" s="1037">
        <f t="shared" si="192"/>
        <v>0</v>
      </c>
      <c r="X97" s="1106">
        <v>0</v>
      </c>
      <c r="Y97" s="1107">
        <v>0</v>
      </c>
      <c r="Z97" s="1408">
        <v>0</v>
      </c>
      <c r="AA97" s="1108">
        <f t="shared" si="224"/>
        <v>0</v>
      </c>
      <c r="AB97" s="1106">
        <v>0</v>
      </c>
      <c r="AC97" s="1107">
        <v>0</v>
      </c>
      <c r="AD97" s="1108">
        <f t="shared" si="194"/>
        <v>0</v>
      </c>
      <c r="AE97" s="1106">
        <v>0</v>
      </c>
      <c r="AF97" s="1108">
        <f t="shared" si="195"/>
        <v>0</v>
      </c>
      <c r="AG97" s="1106">
        <v>0</v>
      </c>
      <c r="AH97" s="1108">
        <f t="shared" si="196"/>
        <v>0</v>
      </c>
      <c r="AI97" s="1106">
        <v>0</v>
      </c>
      <c r="AJ97" s="1107">
        <v>0</v>
      </c>
      <c r="AK97" s="1107">
        <v>0</v>
      </c>
      <c r="AL97" s="1107">
        <v>0</v>
      </c>
      <c r="AM97" s="1109">
        <v>0</v>
      </c>
      <c r="AN97" s="1109">
        <v>0</v>
      </c>
      <c r="AO97" s="1108">
        <f t="shared" si="223"/>
        <v>0</v>
      </c>
      <c r="AP97" s="1106">
        <v>0</v>
      </c>
      <c r="AQ97" s="1108">
        <f t="shared" si="198"/>
        <v>0</v>
      </c>
      <c r="AR97" s="1106">
        <v>0</v>
      </c>
      <c r="AS97" s="1107">
        <v>0</v>
      </c>
      <c r="AT97" s="1408">
        <v>0</v>
      </c>
      <c r="AU97" s="1040">
        <f t="shared" si="199"/>
        <v>0</v>
      </c>
      <c r="AV97" s="1106">
        <v>0</v>
      </c>
      <c r="AW97" s="1107">
        <v>0</v>
      </c>
      <c r="AX97" s="1108">
        <f t="shared" si="200"/>
        <v>0</v>
      </c>
      <c r="AY97" s="1106">
        <v>0</v>
      </c>
      <c r="AZ97" s="1108">
        <f t="shared" si="201"/>
        <v>0</v>
      </c>
      <c r="BA97" s="1106">
        <v>0</v>
      </c>
      <c r="BB97" s="1107">
        <v>0</v>
      </c>
      <c r="BC97" s="1108">
        <f t="shared" si="202"/>
        <v>0</v>
      </c>
      <c r="BD97" s="1042">
        <f t="shared" si="203"/>
        <v>0</v>
      </c>
      <c r="BE97" s="1052"/>
      <c r="BF97" s="1053"/>
      <c r="BG97" s="1048">
        <f t="shared" si="204"/>
        <v>0</v>
      </c>
      <c r="BH97" s="1052"/>
      <c r="BI97" s="1053"/>
      <c r="BJ97" s="1053"/>
      <c r="BK97" s="1053"/>
      <c r="BL97" s="1048">
        <f t="shared" si="205"/>
        <v>0</v>
      </c>
      <c r="BM97" s="1052"/>
      <c r="BN97" s="1053"/>
      <c r="BO97" s="1048">
        <f t="shared" si="206"/>
        <v>0</v>
      </c>
      <c r="BP97" s="1049"/>
      <c r="BQ97" s="1050"/>
      <c r="BR97" s="1050"/>
      <c r="BS97" s="1050"/>
      <c r="BT97" s="1053"/>
      <c r="BU97" s="1048">
        <f t="shared" si="207"/>
        <v>0</v>
      </c>
      <c r="BV97" s="1049"/>
      <c r="BW97" s="1050"/>
      <c r="BX97" s="1050"/>
      <c r="BY97" s="1050"/>
      <c r="BZ97" s="1050"/>
      <c r="CA97" s="1050"/>
      <c r="CB97" s="1053"/>
      <c r="CC97" s="1048">
        <f t="shared" si="208"/>
        <v>0</v>
      </c>
      <c r="CD97" s="1052"/>
      <c r="CE97" s="1053"/>
      <c r="CF97" s="1053"/>
      <c r="CG97" s="1053"/>
      <c r="CH97" s="1048">
        <f t="shared" si="209"/>
        <v>0</v>
      </c>
      <c r="CI97" s="1052"/>
      <c r="CJ97" s="1053"/>
      <c r="CK97" s="1053"/>
      <c r="CL97" s="1053"/>
      <c r="CM97" s="1053"/>
      <c r="CN97" s="1053"/>
      <c r="CO97" s="1051">
        <f t="shared" si="210"/>
        <v>0</v>
      </c>
      <c r="CP97" s="1052"/>
      <c r="CQ97" s="1053"/>
      <c r="CR97" s="1048">
        <f t="shared" si="211"/>
        <v>0</v>
      </c>
      <c r="CS97" s="1052"/>
      <c r="CT97" s="1053"/>
      <c r="CU97" s="1053"/>
      <c r="CV97" s="1053"/>
      <c r="CW97" s="1048">
        <f t="shared" si="212"/>
        <v>0</v>
      </c>
      <c r="CX97" s="1052"/>
      <c r="CY97" s="1048">
        <f t="shared" si="213"/>
        <v>0</v>
      </c>
      <c r="CZ97" s="1103">
        <f t="shared" si="214"/>
        <v>0</v>
      </c>
      <c r="DA97" s="1104">
        <f t="shared" si="215"/>
        <v>0</v>
      </c>
      <c r="DI97" s="1042">
        <f t="shared" si="216"/>
        <v>0</v>
      </c>
    </row>
    <row r="98" spans="1:113" s="1055" customFormat="1">
      <c r="A98" s="955" t="s">
        <v>1397</v>
      </c>
      <c r="B98" s="1102" t="s">
        <v>931</v>
      </c>
      <c r="C98" s="1030" t="s">
        <v>1364</v>
      </c>
      <c r="D98" s="1035"/>
      <c r="E98" s="1032">
        <f t="shared" si="191"/>
        <v>0</v>
      </c>
      <c r="F98" s="1035">
        <v>0</v>
      </c>
      <c r="G98" s="1036">
        <v>0</v>
      </c>
      <c r="H98" s="1032" t="e">
        <f>+'Acarreos Tramo 2 Fase II'!Y43</f>
        <v>#REF!</v>
      </c>
      <c r="I98" s="1035"/>
      <c r="J98" s="1032" t="e">
        <f>+'Acarreos Tramo 2 Fase II'!Y57</f>
        <v>#REF!</v>
      </c>
      <c r="K98" s="1035"/>
      <c r="L98" s="1074"/>
      <c r="M98" s="1032">
        <f t="shared" si="225"/>
        <v>0</v>
      </c>
      <c r="N98" s="1035"/>
      <c r="O98" s="1036"/>
      <c r="P98" s="1032" t="e">
        <f>+'Acarreos Tramo 2 Fase II'!Y84</f>
        <v>#REF!</v>
      </c>
      <c r="Q98" s="1035"/>
      <c r="R98" s="1036"/>
      <c r="S98" s="1032">
        <f>+IF(C98="",0,SUM(Q98:R98))</f>
        <v>0</v>
      </c>
      <c r="T98" s="1035"/>
      <c r="U98" s="1036"/>
      <c r="V98" s="1032" t="e">
        <f>+'Acarreos Tramo 2 Fase II'!Y111</f>
        <v>#REF!</v>
      </c>
      <c r="W98" s="1037" t="e">
        <f t="shared" si="192"/>
        <v>#REF!</v>
      </c>
      <c r="X98" s="1106"/>
      <c r="Y98" s="1107"/>
      <c r="Z98" s="1408"/>
      <c r="AA98" s="1108">
        <f t="shared" si="224"/>
        <v>0</v>
      </c>
      <c r="AB98" s="1106"/>
      <c r="AC98" s="1107"/>
      <c r="AD98" s="1108" t="e">
        <f>+#REF!</f>
        <v>#REF!</v>
      </c>
      <c r="AE98" s="1106"/>
      <c r="AF98" s="1108" t="e">
        <f>+#REF!</f>
        <v>#REF!</v>
      </c>
      <c r="AG98" s="1106"/>
      <c r="AH98" s="1108" t="e">
        <f>+#REF!</f>
        <v>#REF!</v>
      </c>
      <c r="AI98" s="1106"/>
      <c r="AJ98" s="1107"/>
      <c r="AK98" s="1107"/>
      <c r="AL98" s="1107"/>
      <c r="AM98" s="1109"/>
      <c r="AN98" s="1109"/>
      <c r="AO98" s="1108">
        <f t="shared" si="223"/>
        <v>0</v>
      </c>
      <c r="AP98" s="1106"/>
      <c r="AQ98" s="1108" t="e">
        <f>+#REF!</f>
        <v>#REF!</v>
      </c>
      <c r="AR98" s="1106"/>
      <c r="AS98" s="1107"/>
      <c r="AT98" s="1408"/>
      <c r="AU98" s="1040">
        <f t="shared" si="199"/>
        <v>0</v>
      </c>
      <c r="AV98" s="1106"/>
      <c r="AW98" s="1107"/>
      <c r="AX98" s="1108" t="e">
        <f>+#REF!</f>
        <v>#REF!</v>
      </c>
      <c r="AY98" s="1106"/>
      <c r="AZ98" s="1108">
        <f t="shared" si="201"/>
        <v>0</v>
      </c>
      <c r="BA98" s="1106"/>
      <c r="BB98" s="1107"/>
      <c r="BC98" s="1108" t="e">
        <f>+#REF!</f>
        <v>#REF!</v>
      </c>
      <c r="BD98" s="1042" t="e">
        <f t="shared" si="203"/>
        <v>#REF!</v>
      </c>
      <c r="BE98" s="1052"/>
      <c r="BF98" s="1053"/>
      <c r="BG98" s="1048">
        <f t="shared" si="204"/>
        <v>0</v>
      </c>
      <c r="BH98" s="1052"/>
      <c r="BI98" s="1053"/>
      <c r="BJ98" s="1053"/>
      <c r="BK98" s="1053"/>
      <c r="BL98" s="1048" t="e">
        <f>+'Acarreos Tramo 7 Fase II'!AI29</f>
        <v>#REF!</v>
      </c>
      <c r="BM98" s="1052"/>
      <c r="BN98" s="1053"/>
      <c r="BO98" s="1048">
        <f t="shared" si="206"/>
        <v>0</v>
      </c>
      <c r="BP98" s="1049"/>
      <c r="BQ98" s="1050"/>
      <c r="BR98" s="1050"/>
      <c r="BS98" s="1050"/>
      <c r="BT98" s="1053"/>
      <c r="BU98" s="1048" t="e">
        <f>+'Acarreos Tramo 7 Fase II'!AI56</f>
        <v>#REF!</v>
      </c>
      <c r="BV98" s="1049"/>
      <c r="BW98" s="1050"/>
      <c r="BX98" s="1050"/>
      <c r="BY98" s="1050"/>
      <c r="BZ98" s="1050"/>
      <c r="CA98" s="1050"/>
      <c r="CB98" s="1053"/>
      <c r="CC98" s="1048" t="e">
        <f>+'Acarreos Tramo 7 Fase II'!AI83</f>
        <v>#REF!</v>
      </c>
      <c r="CD98" s="1052"/>
      <c r="CE98" s="1053"/>
      <c r="CF98" s="1053"/>
      <c r="CG98" s="1053"/>
      <c r="CH98" s="1048">
        <f t="shared" si="209"/>
        <v>0</v>
      </c>
      <c r="CI98" s="1052"/>
      <c r="CJ98" s="1053"/>
      <c r="CK98" s="1053"/>
      <c r="CL98" s="1053"/>
      <c r="CM98" s="1053"/>
      <c r="CN98" s="1053"/>
      <c r="CO98" s="1051" t="e">
        <f>+'Acarreos Tramo 7 Fase II'!AI110</f>
        <v>#REF!</v>
      </c>
      <c r="CP98" s="1052"/>
      <c r="CQ98" s="1053"/>
      <c r="CR98" s="1048">
        <f t="shared" si="211"/>
        <v>0</v>
      </c>
      <c r="CS98" s="1052"/>
      <c r="CT98" s="1053"/>
      <c r="CU98" s="1053"/>
      <c r="CV98" s="1053"/>
      <c r="CW98" s="1048">
        <f t="shared" si="212"/>
        <v>0</v>
      </c>
      <c r="CX98" s="1052"/>
      <c r="CY98" s="1048" t="e">
        <f>+'Acarreos Tramo 7 Fase II'!AI137</f>
        <v>#REF!</v>
      </c>
      <c r="CZ98" s="1103" t="e">
        <f t="shared" si="214"/>
        <v>#REF!</v>
      </c>
      <c r="DA98" s="1104" t="e">
        <f t="shared" si="215"/>
        <v>#REF!</v>
      </c>
      <c r="DI98" s="1042">
        <f t="shared" si="216"/>
        <v>0</v>
      </c>
    </row>
    <row r="99" spans="1:113" s="1055" customFormat="1" ht="30">
      <c r="A99" s="955" t="s">
        <v>1398</v>
      </c>
      <c r="B99" s="1102" t="s">
        <v>1396</v>
      </c>
      <c r="C99" s="1030" t="s">
        <v>111</v>
      </c>
      <c r="D99" s="1035"/>
      <c r="E99" s="1032">
        <f t="shared" si="191"/>
        <v>0</v>
      </c>
      <c r="F99" s="1035">
        <v>465.78541689814824</v>
      </c>
      <c r="G99" s="1036">
        <v>1644.5006229166668</v>
      </c>
      <c r="H99" s="1032">
        <f>+IF(C99="", 0,SUM(F99:G99))</f>
        <v>2110.286039814815</v>
      </c>
      <c r="I99" s="1035">
        <v>1164.0210891203706</v>
      </c>
      <c r="J99" s="1032">
        <f>+IF(C99="", 0,I99)</f>
        <v>1164.0210891203706</v>
      </c>
      <c r="K99" s="1035">
        <v>0</v>
      </c>
      <c r="L99" s="1074">
        <v>0</v>
      </c>
      <c r="M99" s="1032">
        <f t="shared" si="225"/>
        <v>0</v>
      </c>
      <c r="N99" s="1035">
        <v>0</v>
      </c>
      <c r="O99" s="1036">
        <v>0</v>
      </c>
      <c r="P99" s="1032">
        <f>+IF(C99="", 0,SUM(N99:O99))</f>
        <v>0</v>
      </c>
      <c r="Q99" s="1035">
        <v>0</v>
      </c>
      <c r="R99" s="1036">
        <v>0</v>
      </c>
      <c r="S99" s="1032">
        <f>+IF(C99="",0,SUM(Q99:R99))</f>
        <v>0</v>
      </c>
      <c r="T99" s="1035">
        <v>327.12</v>
      </c>
      <c r="U99" s="1036">
        <v>829.255</v>
      </c>
      <c r="V99" s="1032">
        <f>+IF(C99="",0,SUM(T99:U99))</f>
        <v>1156.375</v>
      </c>
      <c r="W99" s="1037">
        <f t="shared" si="192"/>
        <v>4430.6821289351856</v>
      </c>
      <c r="X99" s="1106">
        <v>0</v>
      </c>
      <c r="Y99" s="1107">
        <v>0</v>
      </c>
      <c r="Z99" s="1408">
        <v>0</v>
      </c>
      <c r="AA99" s="1108">
        <f t="shared" si="224"/>
        <v>0</v>
      </c>
      <c r="AB99" s="1106">
        <v>543.60110000000157</v>
      </c>
      <c r="AC99" s="1107">
        <v>735.00000000000011</v>
      </c>
      <c r="AD99" s="1108">
        <f t="shared" si="194"/>
        <v>1278.6011000000017</v>
      </c>
      <c r="AE99" s="1106">
        <v>3780.8233400000004</v>
      </c>
      <c r="AF99" s="1108">
        <f t="shared" si="195"/>
        <v>3780.8233400000004</v>
      </c>
      <c r="AG99" s="1106">
        <v>1958.1531899999995</v>
      </c>
      <c r="AH99" s="1108">
        <f t="shared" si="196"/>
        <v>1958.1531899999995</v>
      </c>
      <c r="AI99" s="1106">
        <v>0</v>
      </c>
      <c r="AJ99" s="1107">
        <v>0</v>
      </c>
      <c r="AK99" s="1107">
        <v>0</v>
      </c>
      <c r="AL99" s="1107">
        <v>0</v>
      </c>
      <c r="AM99" s="1109">
        <v>0</v>
      </c>
      <c r="AN99" s="1109">
        <v>0</v>
      </c>
      <c r="AO99" s="1108">
        <f t="shared" si="223"/>
        <v>0</v>
      </c>
      <c r="AP99" s="1106">
        <v>4386.248082999994</v>
      </c>
      <c r="AQ99" s="1108">
        <f t="shared" si="198"/>
        <v>4386.248082999994</v>
      </c>
      <c r="AR99" s="1106">
        <v>0</v>
      </c>
      <c r="AS99" s="1107">
        <v>0</v>
      </c>
      <c r="AT99" s="1408">
        <v>0</v>
      </c>
      <c r="AU99" s="1040">
        <f t="shared" si="199"/>
        <v>0</v>
      </c>
      <c r="AV99" s="1106">
        <v>29.400000000000002</v>
      </c>
      <c r="AW99" s="1107">
        <v>3103.3219000000008</v>
      </c>
      <c r="AX99" s="1108">
        <f t="shared" si="200"/>
        <v>3132.7219000000009</v>
      </c>
      <c r="AY99" s="1106">
        <v>0</v>
      </c>
      <c r="AZ99" s="1108">
        <f t="shared" si="201"/>
        <v>0</v>
      </c>
      <c r="BA99" s="1106">
        <v>1458.7594000000004</v>
      </c>
      <c r="BB99" s="1107">
        <v>966.7700000000001</v>
      </c>
      <c r="BC99" s="1108">
        <f t="shared" si="202"/>
        <v>2425.5294000000004</v>
      </c>
      <c r="BD99" s="1042">
        <f t="shared" si="203"/>
        <v>16962.077012999995</v>
      </c>
      <c r="BE99" s="1052"/>
      <c r="BF99" s="1053"/>
      <c r="BG99" s="1048">
        <f t="shared" si="204"/>
        <v>0</v>
      </c>
      <c r="BH99" s="1052">
        <v>269.39</v>
      </c>
      <c r="BI99" s="1053"/>
      <c r="BJ99" s="1053"/>
      <c r="BK99" s="1053"/>
      <c r="BL99" s="1048">
        <f t="shared" si="205"/>
        <v>269.39</v>
      </c>
      <c r="BM99" s="1052"/>
      <c r="BN99" s="1053"/>
      <c r="BO99" s="1048">
        <f t="shared" si="206"/>
        <v>0</v>
      </c>
      <c r="BP99" s="1049"/>
      <c r="BQ99" s="1050"/>
      <c r="BR99" s="1050"/>
      <c r="BS99" s="1050"/>
      <c r="BT99" s="1053">
        <v>246.96</v>
      </c>
      <c r="BU99" s="1048">
        <f t="shared" si="207"/>
        <v>246.96</v>
      </c>
      <c r="BV99" s="1049"/>
      <c r="BW99" s="1053">
        <v>121.22</v>
      </c>
      <c r="BX99" s="1053"/>
      <c r="BY99" s="1053"/>
      <c r="BZ99" s="1053">
        <v>186.06</v>
      </c>
      <c r="CA99" s="1050"/>
      <c r="CB99" s="1053">
        <v>115.2</v>
      </c>
      <c r="CC99" s="1048">
        <f t="shared" si="208"/>
        <v>422.47999999999996</v>
      </c>
      <c r="CD99" s="1052"/>
      <c r="CE99" s="1053"/>
      <c r="CF99" s="1053"/>
      <c r="CG99" s="1053"/>
      <c r="CH99" s="1048">
        <f t="shared" si="209"/>
        <v>0</v>
      </c>
      <c r="CI99" s="1052"/>
      <c r="CJ99" s="1053"/>
      <c r="CK99" s="1053">
        <v>238.37</v>
      </c>
      <c r="CL99" s="1053"/>
      <c r="CM99" s="1053">
        <v>718.41</v>
      </c>
      <c r="CN99" s="1053">
        <v>563.47</v>
      </c>
      <c r="CO99" s="1051">
        <f t="shared" si="210"/>
        <v>1520.25</v>
      </c>
      <c r="CP99" s="1052"/>
      <c r="CQ99" s="1053"/>
      <c r="CR99" s="1048">
        <f t="shared" si="211"/>
        <v>0</v>
      </c>
      <c r="CS99" s="1052"/>
      <c r="CT99" s="1053"/>
      <c r="CU99" s="1053"/>
      <c r="CV99" s="1053"/>
      <c r="CW99" s="1048">
        <f t="shared" si="212"/>
        <v>0</v>
      </c>
      <c r="CX99" s="1052">
        <v>80.58</v>
      </c>
      <c r="CY99" s="1048">
        <f t="shared" si="213"/>
        <v>80.58</v>
      </c>
      <c r="CZ99" s="1103">
        <f t="shared" si="214"/>
        <v>2539.6600000000003</v>
      </c>
      <c r="DA99" s="1104">
        <f t="shared" si="215"/>
        <v>23932.419141935181</v>
      </c>
      <c r="DI99" s="1042">
        <f t="shared" si="216"/>
        <v>3496.44</v>
      </c>
    </row>
    <row r="100" spans="1:113" s="1158" customFormat="1">
      <c r="A100" s="1137">
        <v>464</v>
      </c>
      <c r="B100" s="1138" t="s">
        <v>1455</v>
      </c>
      <c r="C100" s="1139" t="s">
        <v>843</v>
      </c>
      <c r="D100" s="1140"/>
      <c r="E100" s="1141"/>
      <c r="F100" s="1140" t="s">
        <v>816</v>
      </c>
      <c r="G100" s="1142" t="s">
        <v>816</v>
      </c>
      <c r="H100" s="1141">
        <f>+IF(C100="", 0,SUM(F100:G100))</f>
        <v>0</v>
      </c>
      <c r="I100" s="1140" t="s">
        <v>816</v>
      </c>
      <c r="J100" s="1141" t="str">
        <f>+IF(C100="", 0,I100)</f>
        <v/>
      </c>
      <c r="K100" s="1140"/>
      <c r="L100" s="1143"/>
      <c r="M100" s="1141">
        <f t="shared" si="225"/>
        <v>0</v>
      </c>
      <c r="N100" s="1140"/>
      <c r="O100" s="1142"/>
      <c r="P100" s="1141"/>
      <c r="Q100" s="1140"/>
      <c r="R100" s="1142"/>
      <c r="S100" s="1141"/>
      <c r="T100" s="1140"/>
      <c r="U100" s="1142"/>
      <c r="V100" s="1141"/>
      <c r="W100" s="1144"/>
      <c r="X100" s="1145">
        <v>0</v>
      </c>
      <c r="Y100" s="1146">
        <v>0</v>
      </c>
      <c r="Z100" s="1408">
        <v>0</v>
      </c>
      <c r="AA100" s="1147"/>
      <c r="AB100" s="1145">
        <v>1619</v>
      </c>
      <c r="AC100" s="1146">
        <v>1500</v>
      </c>
      <c r="AD100" s="1147"/>
      <c r="AE100" s="1145">
        <v>10100</v>
      </c>
      <c r="AF100" s="1147"/>
      <c r="AG100" s="1145">
        <v>10000</v>
      </c>
      <c r="AH100" s="1147"/>
      <c r="AI100" s="1145">
        <v>0</v>
      </c>
      <c r="AJ100" s="1146">
        <v>0</v>
      </c>
      <c r="AK100" s="1146">
        <v>0</v>
      </c>
      <c r="AL100" s="1146">
        <v>0</v>
      </c>
      <c r="AM100" s="1148">
        <v>0</v>
      </c>
      <c r="AN100" s="1148">
        <v>0</v>
      </c>
      <c r="AO100" s="1147">
        <f>SUM(AI100:AN100)</f>
        <v>0</v>
      </c>
      <c r="AP100" s="1145">
        <v>10000</v>
      </c>
      <c r="AQ100" s="1147"/>
      <c r="AR100" s="1145">
        <v>0</v>
      </c>
      <c r="AS100" s="1146">
        <v>0</v>
      </c>
      <c r="AT100" s="1408">
        <v>0</v>
      </c>
      <c r="AU100" s="1147"/>
      <c r="AV100" s="1145">
        <v>60</v>
      </c>
      <c r="AW100" s="1146">
        <v>6626</v>
      </c>
      <c r="AX100" s="1147"/>
      <c r="AY100" s="1145">
        <v>0</v>
      </c>
      <c r="AZ100" s="1147"/>
      <c r="BA100" s="1145">
        <v>3477.06</v>
      </c>
      <c r="BB100" s="1146">
        <v>1973</v>
      </c>
      <c r="BC100" s="1147"/>
      <c r="BD100" s="1149"/>
      <c r="BE100" s="1150"/>
      <c r="BF100" s="1151"/>
      <c r="BG100" s="1152">
        <f>+BE100+BF100</f>
        <v>0</v>
      </c>
      <c r="BH100" s="1150">
        <v>770</v>
      </c>
      <c r="BI100" s="1151"/>
      <c r="BJ100" s="1151"/>
      <c r="BK100" s="1151"/>
      <c r="BL100" s="1152">
        <f>+BH100+BI100+BJ100+BK100</f>
        <v>770</v>
      </c>
      <c r="BM100" s="1150"/>
      <c r="BN100" s="1151"/>
      <c r="BO100" s="1152">
        <f>+BM100+BN100</f>
        <v>0</v>
      </c>
      <c r="BP100" s="1153"/>
      <c r="BQ100" s="1154"/>
      <c r="BR100" s="1154"/>
      <c r="BS100" s="1154"/>
      <c r="BT100" s="1151"/>
      <c r="BU100" s="1152">
        <f>+SUM(BP100:BT100)</f>
        <v>0</v>
      </c>
      <c r="BV100" s="1153"/>
      <c r="BW100" s="1154">
        <v>536</v>
      </c>
      <c r="BX100" s="1154"/>
      <c r="BY100" s="1154"/>
      <c r="BZ100" s="1154">
        <v>870</v>
      </c>
      <c r="CA100" s="1154"/>
      <c r="CB100" s="1151">
        <v>480</v>
      </c>
      <c r="CC100" s="1152">
        <f>+SUM(BV100:CB100)</f>
        <v>1886</v>
      </c>
      <c r="CD100" s="1150"/>
      <c r="CE100" s="1151"/>
      <c r="CF100" s="1151"/>
      <c r="CG100" s="1151"/>
      <c r="CH100" s="1152">
        <f>+SUM(CD100:CG100)</f>
        <v>0</v>
      </c>
      <c r="CI100" s="1150"/>
      <c r="CJ100" s="1151"/>
      <c r="CK100" s="1151">
        <v>710</v>
      </c>
      <c r="CL100" s="1151"/>
      <c r="CM100" s="1151">
        <v>2130</v>
      </c>
      <c r="CN100" s="1151">
        <v>1655.42</v>
      </c>
      <c r="CO100" s="1155">
        <f>+SUM(CI100:CN100)</f>
        <v>4495.42</v>
      </c>
      <c r="CP100" s="1150"/>
      <c r="CQ100" s="1151"/>
      <c r="CR100" s="1152">
        <f>+SUM(CP100:CQ100)</f>
        <v>0</v>
      </c>
      <c r="CS100" s="1150"/>
      <c r="CT100" s="1151"/>
      <c r="CU100" s="1151"/>
      <c r="CV100" s="1151"/>
      <c r="CW100" s="1152">
        <f>+SUM(CS100:CV100)</f>
        <v>0</v>
      </c>
      <c r="CX100" s="1150">
        <v>240</v>
      </c>
      <c r="CY100" s="1152">
        <f>+CX100</f>
        <v>240</v>
      </c>
      <c r="CZ100" s="1156">
        <f t="shared" si="214"/>
        <v>7391.42</v>
      </c>
      <c r="DA100" s="1157">
        <f t="shared" si="215"/>
        <v>7391.42</v>
      </c>
      <c r="DI100" s="1149"/>
    </row>
    <row r="101" spans="1:113" s="1158" customFormat="1">
      <c r="A101" s="1137">
        <v>430.1</v>
      </c>
      <c r="B101" s="1138" t="s">
        <v>1456</v>
      </c>
      <c r="C101" s="1139" t="s">
        <v>843</v>
      </c>
      <c r="D101" s="1140"/>
      <c r="E101" s="1141"/>
      <c r="F101" s="1140" t="s">
        <v>816</v>
      </c>
      <c r="G101" s="1142" t="s">
        <v>816</v>
      </c>
      <c r="H101" s="1141">
        <f>+IF(C101="", 0,SUM(F101:G101))</f>
        <v>0</v>
      </c>
      <c r="I101" s="1140" t="s">
        <v>816</v>
      </c>
      <c r="J101" s="1141" t="str">
        <f>+IF(C101="", 0,I101)</f>
        <v/>
      </c>
      <c r="K101" s="1140"/>
      <c r="L101" s="1143"/>
      <c r="M101" s="1141">
        <f t="shared" si="225"/>
        <v>0</v>
      </c>
      <c r="N101" s="1140"/>
      <c r="O101" s="1142"/>
      <c r="P101" s="1141"/>
      <c r="Q101" s="1140"/>
      <c r="R101" s="1142"/>
      <c r="S101" s="1141"/>
      <c r="T101" s="1140"/>
      <c r="U101" s="1142"/>
      <c r="V101" s="1141"/>
      <c r="W101" s="1144"/>
      <c r="X101" s="1145"/>
      <c r="Y101" s="1146"/>
      <c r="Z101" s="1408"/>
      <c r="AA101" s="1147"/>
      <c r="AB101" s="1145"/>
      <c r="AC101" s="1146"/>
      <c r="AD101" s="1147"/>
      <c r="AE101" s="1145"/>
      <c r="AF101" s="1147"/>
      <c r="AG101" s="1145"/>
      <c r="AH101" s="1147"/>
      <c r="AI101" s="1145"/>
      <c r="AJ101" s="1146"/>
      <c r="AK101" s="1146"/>
      <c r="AL101" s="1146"/>
      <c r="AM101" s="1148"/>
      <c r="AN101" s="1148"/>
      <c r="AO101" s="1147">
        <f>SUM(AI101:AN101)</f>
        <v>0</v>
      </c>
      <c r="AP101" s="1145"/>
      <c r="AQ101" s="1147"/>
      <c r="AR101" s="1145"/>
      <c r="AS101" s="1146"/>
      <c r="AT101" s="1408"/>
      <c r="AU101" s="1147"/>
      <c r="AV101" s="1145"/>
      <c r="AW101" s="1146"/>
      <c r="AX101" s="1147"/>
      <c r="AY101" s="1145"/>
      <c r="AZ101" s="1147"/>
      <c r="BA101" s="1145"/>
      <c r="BB101" s="1146"/>
      <c r="BC101" s="1147"/>
      <c r="BD101" s="1149"/>
      <c r="BE101" s="1150"/>
      <c r="BF101" s="1151"/>
      <c r="BG101" s="1152">
        <f>+BE101+BF101</f>
        <v>0</v>
      </c>
      <c r="BH101" s="1150"/>
      <c r="BI101" s="1151"/>
      <c r="BJ101" s="1151"/>
      <c r="BK101" s="1151"/>
      <c r="BL101" s="1152">
        <f>+BH101+BI101+BJ101+BK101</f>
        <v>0</v>
      </c>
      <c r="BM101" s="1150"/>
      <c r="BN101" s="1151"/>
      <c r="BO101" s="1152">
        <f>+BM101+BN101</f>
        <v>0</v>
      </c>
      <c r="BP101" s="1153"/>
      <c r="BQ101" s="1154"/>
      <c r="BR101" s="1154"/>
      <c r="BS101" s="1154"/>
      <c r="BT101" s="1151"/>
      <c r="BU101" s="1152">
        <f>+SUM(BP101:BT101)</f>
        <v>0</v>
      </c>
      <c r="BV101" s="1153"/>
      <c r="BW101" s="1154"/>
      <c r="BX101" s="1154"/>
      <c r="BY101" s="1154"/>
      <c r="BZ101" s="1154"/>
      <c r="CA101" s="1154"/>
      <c r="CB101" s="1151"/>
      <c r="CC101" s="1152">
        <f>+SUM(BV101:CB101)</f>
        <v>0</v>
      </c>
      <c r="CD101" s="1150"/>
      <c r="CE101" s="1151"/>
      <c r="CF101" s="1151"/>
      <c r="CG101" s="1151"/>
      <c r="CH101" s="1152">
        <f>+SUM(CD101:CG101)</f>
        <v>0</v>
      </c>
      <c r="CI101" s="1150"/>
      <c r="CJ101" s="1151"/>
      <c r="CK101" s="1151"/>
      <c r="CL101" s="1151"/>
      <c r="CM101" s="1151"/>
      <c r="CN101" s="1151"/>
      <c r="CO101" s="1155">
        <f>+SUM(CI101:CN101)</f>
        <v>0</v>
      </c>
      <c r="CP101" s="1150"/>
      <c r="CQ101" s="1151"/>
      <c r="CR101" s="1152">
        <f>+SUM(CP101:CQ101)</f>
        <v>0</v>
      </c>
      <c r="CS101" s="1150"/>
      <c r="CT101" s="1151"/>
      <c r="CU101" s="1151"/>
      <c r="CV101" s="1151"/>
      <c r="CW101" s="1152">
        <f>+SUM(CS101:CV101)</f>
        <v>0</v>
      </c>
      <c r="CX101" s="1150"/>
      <c r="CY101" s="1152">
        <f>+CX101</f>
        <v>0</v>
      </c>
      <c r="CZ101" s="1156">
        <f t="shared" si="214"/>
        <v>0</v>
      </c>
      <c r="DA101" s="1157">
        <f t="shared" si="215"/>
        <v>0</v>
      </c>
      <c r="DI101" s="1149"/>
    </row>
    <row r="102" spans="1:113" s="1101" customFormat="1">
      <c r="A102" s="1081"/>
      <c r="B102" s="1082" t="s">
        <v>932</v>
      </c>
      <c r="C102" s="1083"/>
      <c r="D102" s="1084"/>
      <c r="E102" s="1085"/>
      <c r="F102" s="1084" t="s">
        <v>816</v>
      </c>
      <c r="G102" s="1086" t="s">
        <v>816</v>
      </c>
      <c r="H102" s="1085"/>
      <c r="I102" s="1084" t="s">
        <v>816</v>
      </c>
      <c r="J102" s="1085"/>
      <c r="K102" s="1084" t="s">
        <v>816</v>
      </c>
      <c r="L102" s="1087" t="s">
        <v>816</v>
      </c>
      <c r="M102" s="1085"/>
      <c r="N102" s="1084" t="s">
        <v>816</v>
      </c>
      <c r="O102" s="1086" t="s">
        <v>816</v>
      </c>
      <c r="P102" s="1085"/>
      <c r="Q102" s="1084" t="s">
        <v>816</v>
      </c>
      <c r="R102" s="1086" t="s">
        <v>816</v>
      </c>
      <c r="S102" s="1085"/>
      <c r="T102" s="1084" t="s">
        <v>816</v>
      </c>
      <c r="U102" s="1086" t="s">
        <v>816</v>
      </c>
      <c r="V102" s="1085"/>
      <c r="W102" s="1088"/>
      <c r="X102" s="1089"/>
      <c r="Y102" s="1090"/>
      <c r="Z102" s="1407"/>
      <c r="AA102" s="1091"/>
      <c r="AB102" s="1089"/>
      <c r="AC102" s="1090"/>
      <c r="AD102" s="1091"/>
      <c r="AE102" s="1089"/>
      <c r="AF102" s="1091"/>
      <c r="AG102" s="1089"/>
      <c r="AH102" s="1091"/>
      <c r="AI102" s="1089"/>
      <c r="AJ102" s="1090"/>
      <c r="AK102" s="1090"/>
      <c r="AL102" s="1090"/>
      <c r="AM102" s="1092"/>
      <c r="AN102" s="1092"/>
      <c r="AO102" s="1091"/>
      <c r="AP102" s="1089"/>
      <c r="AQ102" s="1091"/>
      <c r="AR102" s="1089"/>
      <c r="AS102" s="1090"/>
      <c r="AT102" s="1407"/>
      <c r="AU102" s="1091"/>
      <c r="AV102" s="1089"/>
      <c r="AW102" s="1090"/>
      <c r="AX102" s="1091"/>
      <c r="AY102" s="1089"/>
      <c r="AZ102" s="1091"/>
      <c r="BA102" s="1089"/>
      <c r="BB102" s="1090"/>
      <c r="BC102" s="1091"/>
      <c r="BD102" s="1093"/>
      <c r="BE102" s="1094"/>
      <c r="BF102" s="1095"/>
      <c r="BG102" s="1096"/>
      <c r="BH102" s="1094"/>
      <c r="BI102" s="1095"/>
      <c r="BJ102" s="1095"/>
      <c r="BK102" s="1095"/>
      <c r="BL102" s="1096"/>
      <c r="BM102" s="1094"/>
      <c r="BN102" s="1095"/>
      <c r="BO102" s="1096"/>
      <c r="BP102" s="1097"/>
      <c r="BQ102" s="1098"/>
      <c r="BR102" s="1098"/>
      <c r="BS102" s="1098"/>
      <c r="BT102" s="1095"/>
      <c r="BU102" s="1096"/>
      <c r="BV102" s="1097"/>
      <c r="BW102" s="1098"/>
      <c r="BX102" s="1098"/>
      <c r="BY102" s="1098"/>
      <c r="BZ102" s="1098"/>
      <c r="CA102" s="1098"/>
      <c r="CB102" s="1095"/>
      <c r="CC102" s="1096"/>
      <c r="CD102" s="1094"/>
      <c r="CE102" s="1095"/>
      <c r="CF102" s="1095"/>
      <c r="CG102" s="1095"/>
      <c r="CH102" s="1096"/>
      <c r="CI102" s="1097"/>
      <c r="CJ102" s="1098"/>
      <c r="CK102" s="1098"/>
      <c r="CL102" s="1098"/>
      <c r="CM102" s="1098"/>
      <c r="CN102" s="1098"/>
      <c r="CO102" s="1099"/>
      <c r="CP102" s="1094"/>
      <c r="CQ102" s="1095"/>
      <c r="CR102" s="1096"/>
      <c r="CS102" s="1094"/>
      <c r="CT102" s="1095"/>
      <c r="CU102" s="1095"/>
      <c r="CV102" s="1095"/>
      <c r="CW102" s="1096"/>
      <c r="CX102" s="1094"/>
      <c r="CY102" s="1096"/>
      <c r="CZ102" s="1096"/>
      <c r="DA102" s="1105"/>
      <c r="DI102" s="1093"/>
    </row>
    <row r="103" spans="1:113" s="1134" customFormat="1">
      <c r="A103" s="1114"/>
      <c r="B103" s="1115" t="s">
        <v>933</v>
      </c>
      <c r="C103" s="1116"/>
      <c r="D103" s="1117"/>
      <c r="E103" s="1118"/>
      <c r="F103" s="1117" t="s">
        <v>816</v>
      </c>
      <c r="G103" s="1119" t="s">
        <v>816</v>
      </c>
      <c r="H103" s="1118"/>
      <c r="I103" s="1117" t="s">
        <v>816</v>
      </c>
      <c r="J103" s="1118"/>
      <c r="K103" s="1117" t="s">
        <v>816</v>
      </c>
      <c r="L103" s="1120" t="s">
        <v>816</v>
      </c>
      <c r="M103" s="1118"/>
      <c r="N103" s="1117" t="s">
        <v>816</v>
      </c>
      <c r="O103" s="1119" t="s">
        <v>816</v>
      </c>
      <c r="P103" s="1118"/>
      <c r="Q103" s="1117" t="s">
        <v>816</v>
      </c>
      <c r="R103" s="1119" t="s">
        <v>816</v>
      </c>
      <c r="S103" s="1118"/>
      <c r="T103" s="1117" t="s">
        <v>816</v>
      </c>
      <c r="U103" s="1119" t="s">
        <v>816</v>
      </c>
      <c r="V103" s="1118"/>
      <c r="W103" s="1121"/>
      <c r="X103" s="1122"/>
      <c r="Y103" s="1123"/>
      <c r="Z103" s="1407"/>
      <c r="AA103" s="1124"/>
      <c r="AB103" s="1122"/>
      <c r="AC103" s="1123"/>
      <c r="AD103" s="1124"/>
      <c r="AE103" s="1122"/>
      <c r="AF103" s="1124"/>
      <c r="AG103" s="1122"/>
      <c r="AH103" s="1124"/>
      <c r="AI103" s="1122"/>
      <c r="AJ103" s="1123"/>
      <c r="AK103" s="1123"/>
      <c r="AL103" s="1123"/>
      <c r="AM103" s="1125"/>
      <c r="AN103" s="1125"/>
      <c r="AO103" s="1124"/>
      <c r="AP103" s="1122"/>
      <c r="AQ103" s="1124"/>
      <c r="AR103" s="1122"/>
      <c r="AS103" s="1123"/>
      <c r="AT103" s="1407"/>
      <c r="AU103" s="1124"/>
      <c r="AV103" s="1122"/>
      <c r="AW103" s="1123"/>
      <c r="AX103" s="1124"/>
      <c r="AY103" s="1122"/>
      <c r="AZ103" s="1124"/>
      <c r="BA103" s="1122"/>
      <c r="BB103" s="1123"/>
      <c r="BC103" s="1124"/>
      <c r="BD103" s="1126"/>
      <c r="BE103" s="1127"/>
      <c r="BF103" s="1128"/>
      <c r="BG103" s="1129"/>
      <c r="BH103" s="1127"/>
      <c r="BI103" s="1128"/>
      <c r="BJ103" s="1128"/>
      <c r="BK103" s="1128"/>
      <c r="BL103" s="1129"/>
      <c r="BM103" s="1127"/>
      <c r="BN103" s="1128"/>
      <c r="BO103" s="1129"/>
      <c r="BP103" s="1130"/>
      <c r="BQ103" s="1131"/>
      <c r="BR103" s="1131"/>
      <c r="BS103" s="1131"/>
      <c r="BT103" s="1128"/>
      <c r="BU103" s="1129"/>
      <c r="BV103" s="1130"/>
      <c r="BW103" s="1131"/>
      <c r="BX103" s="1131"/>
      <c r="BY103" s="1131"/>
      <c r="BZ103" s="1131"/>
      <c r="CA103" s="1131"/>
      <c r="CB103" s="1128"/>
      <c r="CC103" s="1129"/>
      <c r="CD103" s="1127"/>
      <c r="CE103" s="1128"/>
      <c r="CF103" s="1128"/>
      <c r="CG103" s="1128"/>
      <c r="CH103" s="1129"/>
      <c r="CI103" s="1130"/>
      <c r="CJ103" s="1131"/>
      <c r="CK103" s="1131"/>
      <c r="CL103" s="1131"/>
      <c r="CM103" s="1131"/>
      <c r="CN103" s="1131"/>
      <c r="CO103" s="1132"/>
      <c r="CP103" s="1127"/>
      <c r="CQ103" s="1128"/>
      <c r="CR103" s="1129"/>
      <c r="CS103" s="1127"/>
      <c r="CT103" s="1128"/>
      <c r="CU103" s="1128"/>
      <c r="CV103" s="1128"/>
      <c r="CW103" s="1129"/>
      <c r="CX103" s="1127"/>
      <c r="CY103" s="1129"/>
      <c r="CZ103" s="1129"/>
      <c r="DA103" s="1133"/>
      <c r="DI103" s="1126"/>
    </row>
    <row r="104" spans="1:113" s="1055" customFormat="1">
      <c r="A104" s="955" t="s">
        <v>415</v>
      </c>
      <c r="B104" s="1102" t="s">
        <v>858</v>
      </c>
      <c r="C104" s="1030" t="s">
        <v>111</v>
      </c>
      <c r="D104" s="1035"/>
      <c r="E104" s="1032">
        <f t="shared" si="191"/>
        <v>0</v>
      </c>
      <c r="F104" s="1035">
        <v>0</v>
      </c>
      <c r="G104" s="1036">
        <v>0</v>
      </c>
      <c r="H104" s="1032">
        <f t="shared" ref="H104:H118" si="226">+IF(C104="", 0,SUM(F104:G104))</f>
        <v>0</v>
      </c>
      <c r="I104" s="1035">
        <v>48</v>
      </c>
      <c r="J104" s="1032">
        <f t="shared" ref="J104:J118" si="227">+IF(C104="", 0,I104)</f>
        <v>48</v>
      </c>
      <c r="K104" s="1035">
        <v>0</v>
      </c>
      <c r="L104" s="1074">
        <v>0</v>
      </c>
      <c r="M104" s="1032">
        <f t="shared" ref="M104:M118" si="228">+IF(C104="",0,K104+L104)</f>
        <v>0</v>
      </c>
      <c r="N104" s="1035">
        <v>0</v>
      </c>
      <c r="O104" s="1036">
        <v>0</v>
      </c>
      <c r="P104" s="1032">
        <f t="shared" ref="P104:P118" si="229">+IF(C104="", 0,SUM(N104:O104))</f>
        <v>0</v>
      </c>
      <c r="Q104" s="1035">
        <v>0</v>
      </c>
      <c r="R104" s="1036">
        <v>0</v>
      </c>
      <c r="S104" s="1032">
        <f t="shared" ref="S104:S118" si="230">+IF(C104="",0,SUM(Q104:R104))</f>
        <v>0</v>
      </c>
      <c r="T104" s="1035">
        <v>0</v>
      </c>
      <c r="U104" s="1036">
        <v>488.78155141611444</v>
      </c>
      <c r="V104" s="1032">
        <f t="shared" ref="V104:V118" si="231">+IF(C104="",0,SUM(T104:U104))</f>
        <v>488.78155141611444</v>
      </c>
      <c r="W104" s="1037">
        <f t="shared" ref="W104:W118" si="232">+IF(C104="",0,E104+H104+J104+M104+P104+S104+V104)</f>
        <v>536.78155141611444</v>
      </c>
      <c r="X104" s="1038">
        <v>0</v>
      </c>
      <c r="Y104" s="1039">
        <v>0</v>
      </c>
      <c r="Z104" s="1408">
        <v>0</v>
      </c>
      <c r="AA104" s="1040">
        <f t="shared" ref="AA104:AA118" si="233">SUM(X104:Z104)</f>
        <v>0</v>
      </c>
      <c r="AB104" s="1038">
        <v>0</v>
      </c>
      <c r="AC104" s="1039">
        <v>0</v>
      </c>
      <c r="AD104" s="1040">
        <f t="shared" ref="AD104:AD118" si="234">SUM(AB104:AC104)</f>
        <v>0</v>
      </c>
      <c r="AE104" s="1038">
        <v>216.07874271390597</v>
      </c>
      <c r="AF104" s="1040">
        <f t="shared" ref="AF104:AF118" si="235">+AE104</f>
        <v>216.07874271390597</v>
      </c>
      <c r="AG104" s="1038">
        <v>0</v>
      </c>
      <c r="AH104" s="1040">
        <f t="shared" ref="AH104:AH118" si="236">+AG104</f>
        <v>0</v>
      </c>
      <c r="AI104" s="1038">
        <v>202.072</v>
      </c>
      <c r="AJ104" s="1039">
        <v>0</v>
      </c>
      <c r="AK104" s="1039">
        <v>0</v>
      </c>
      <c r="AL104" s="1039">
        <v>222.42475987415736</v>
      </c>
      <c r="AM104" s="1041">
        <v>0</v>
      </c>
      <c r="AN104" s="1041">
        <v>0</v>
      </c>
      <c r="AO104" s="1040">
        <f t="shared" ref="AO104" si="237">AI104+AM104+AN104</f>
        <v>202.072</v>
      </c>
      <c r="AP104" s="1038">
        <v>0</v>
      </c>
      <c r="AQ104" s="1040">
        <f t="shared" ref="AQ104:AQ118" si="238">+AP104</f>
        <v>0</v>
      </c>
      <c r="AR104" s="1038">
        <v>0</v>
      </c>
      <c r="AS104" s="1039">
        <v>0</v>
      </c>
      <c r="AT104" s="1408">
        <v>0</v>
      </c>
      <c r="AU104" s="1040">
        <f t="shared" ref="AU104:AU118" si="239">SUM(AR104:AT104)</f>
        <v>0</v>
      </c>
      <c r="AV104" s="1038">
        <v>0</v>
      </c>
      <c r="AW104" s="1039">
        <v>0</v>
      </c>
      <c r="AX104" s="1040">
        <f t="shared" ref="AX104:AX118" si="240">SUM(AV104:AW104)</f>
        <v>0</v>
      </c>
      <c r="AY104" s="1038">
        <v>0</v>
      </c>
      <c r="AZ104" s="1040">
        <f t="shared" ref="AZ104:AZ118" si="241">+AY104</f>
        <v>0</v>
      </c>
      <c r="BA104" s="1038">
        <v>0</v>
      </c>
      <c r="BB104" s="1039">
        <v>0</v>
      </c>
      <c r="BC104" s="1040">
        <f t="shared" ref="BC104:BC118" si="242">SUM(BA104:BB104)</f>
        <v>0</v>
      </c>
      <c r="BD104" s="1042">
        <f t="shared" ref="BD104:BD118" si="243">+IF(C104="",0,BC104+AZ104+AX104+AU104+AQ104+AO104+AH104+AF104+AD104+AA104)</f>
        <v>418.15074271390597</v>
      </c>
      <c r="BE104" s="1052"/>
      <c r="BF104" s="1053"/>
      <c r="BG104" s="1048">
        <f t="shared" si="204"/>
        <v>0</v>
      </c>
      <c r="BH104" s="1052"/>
      <c r="BI104" s="1053"/>
      <c r="BJ104" s="1053"/>
      <c r="BK104" s="1053"/>
      <c r="BL104" s="1048">
        <f t="shared" ref="BL104:BL118" si="244">+BH104+BI104+BJ104+BK104</f>
        <v>0</v>
      </c>
      <c r="BM104" s="1052"/>
      <c r="BN104" s="1053"/>
      <c r="BO104" s="1048">
        <f t="shared" ref="BO104:BO118" si="245">+BM104+BN104</f>
        <v>0</v>
      </c>
      <c r="BP104" s="1049"/>
      <c r="BQ104" s="1050"/>
      <c r="BR104" s="1050"/>
      <c r="BS104" s="1050"/>
      <c r="BT104" s="1053"/>
      <c r="BU104" s="1048">
        <f t="shared" ref="BU104:BU118" si="246">+SUM(BP104:BT104)</f>
        <v>0</v>
      </c>
      <c r="BV104" s="1049"/>
      <c r="BW104" s="1050"/>
      <c r="BX104" s="1050"/>
      <c r="BY104" s="1050"/>
      <c r="BZ104" s="1050"/>
      <c r="CA104" s="1050"/>
      <c r="CB104" s="1053"/>
      <c r="CC104" s="1048">
        <f t="shared" ref="CC104:CC118" si="247">+SUM(BV104:CB104)</f>
        <v>0</v>
      </c>
      <c r="CD104" s="1052"/>
      <c r="CE104" s="1053"/>
      <c r="CF104" s="1053"/>
      <c r="CG104" s="1053"/>
      <c r="CH104" s="1048">
        <f t="shared" ref="CH104:CH118" si="248">+SUM(CD104:CG104)</f>
        <v>0</v>
      </c>
      <c r="CI104" s="1049"/>
      <c r="CJ104" s="1050"/>
      <c r="CK104" s="1050"/>
      <c r="CL104" s="1050"/>
      <c r="CM104" s="1050"/>
      <c r="CN104" s="1050"/>
      <c r="CO104" s="1051">
        <f t="shared" ref="CO104:CO118" si="249">+SUM(CI104:CN104)</f>
        <v>0</v>
      </c>
      <c r="CP104" s="1052"/>
      <c r="CQ104" s="1053"/>
      <c r="CR104" s="1048">
        <f t="shared" ref="CR104:CR118" si="250">+SUM(CP104:CQ104)</f>
        <v>0</v>
      </c>
      <c r="CS104" s="1052"/>
      <c r="CT104" s="1053"/>
      <c r="CU104" s="1053"/>
      <c r="CV104" s="1053"/>
      <c r="CW104" s="1048">
        <f t="shared" ref="CW104:CW118" si="251">+SUM(CS104:CV104)</f>
        <v>0</v>
      </c>
      <c r="CX104" s="1052"/>
      <c r="CY104" s="1048">
        <f t="shared" ref="CY104:CY118" si="252">+CX104</f>
        <v>0</v>
      </c>
      <c r="CZ104" s="1103">
        <f t="shared" ref="CZ104:CZ123" si="253">+IF(C104="",0,CY104+CR104+CH104+BU104+BO104+BL104+CO104+CW104+CC104+BG104)</f>
        <v>0</v>
      </c>
      <c r="DA104" s="1104">
        <f t="shared" ref="DA104:DA123" si="254">IF(C104="",0,CZ104+BD104+W104)</f>
        <v>954.93229413002041</v>
      </c>
      <c r="DI104" s="1042">
        <f t="shared" ref="DI104:DI118" si="255">+IF(BH104="",0,DH104+DE104+DC104+CZ104+CV104+CT104+CM104+CK104+CI104+CF104)</f>
        <v>0</v>
      </c>
    </row>
    <row r="105" spans="1:113" s="1055" customFormat="1">
      <c r="A105" s="955" t="s">
        <v>416</v>
      </c>
      <c r="B105" s="1102" t="s">
        <v>1365</v>
      </c>
      <c r="C105" s="1030" t="s">
        <v>111</v>
      </c>
      <c r="D105" s="1035"/>
      <c r="E105" s="1032">
        <f t="shared" si="191"/>
        <v>0</v>
      </c>
      <c r="F105" s="1035">
        <v>0</v>
      </c>
      <c r="G105" s="1036">
        <v>0</v>
      </c>
      <c r="H105" s="1032">
        <f t="shared" si="226"/>
        <v>0</v>
      </c>
      <c r="I105" s="1035">
        <v>0</v>
      </c>
      <c r="J105" s="1032">
        <f t="shared" si="227"/>
        <v>0</v>
      </c>
      <c r="K105" s="1035">
        <v>0</v>
      </c>
      <c r="L105" s="1074">
        <v>0</v>
      </c>
      <c r="M105" s="1032">
        <f t="shared" si="228"/>
        <v>0</v>
      </c>
      <c r="N105" s="1035">
        <v>0</v>
      </c>
      <c r="O105" s="1036">
        <v>0</v>
      </c>
      <c r="P105" s="1032">
        <f t="shared" si="229"/>
        <v>0</v>
      </c>
      <c r="Q105" s="1035">
        <v>0</v>
      </c>
      <c r="R105" s="1036">
        <v>0</v>
      </c>
      <c r="S105" s="1032">
        <f t="shared" si="230"/>
        <v>0</v>
      </c>
      <c r="T105" s="1035">
        <v>0</v>
      </c>
      <c r="U105" s="1036">
        <v>0</v>
      </c>
      <c r="V105" s="1032">
        <f t="shared" si="231"/>
        <v>0</v>
      </c>
      <c r="W105" s="1037">
        <f t="shared" si="232"/>
        <v>0</v>
      </c>
      <c r="X105" s="1038">
        <v>0</v>
      </c>
      <c r="Y105" s="1039">
        <v>0</v>
      </c>
      <c r="Z105" s="1408">
        <v>0</v>
      </c>
      <c r="AA105" s="1040">
        <f t="shared" si="233"/>
        <v>0</v>
      </c>
      <c r="AB105" s="1038">
        <v>0</v>
      </c>
      <c r="AC105" s="1039">
        <v>0</v>
      </c>
      <c r="AD105" s="1040">
        <f t="shared" si="234"/>
        <v>0</v>
      </c>
      <c r="AE105" s="1038">
        <v>0</v>
      </c>
      <c r="AF105" s="1040">
        <f t="shared" si="235"/>
        <v>0</v>
      </c>
      <c r="AG105" s="1038">
        <v>0</v>
      </c>
      <c r="AH105" s="1040">
        <f t="shared" si="236"/>
        <v>0</v>
      </c>
      <c r="AI105" s="1038">
        <v>0</v>
      </c>
      <c r="AJ105" s="1039">
        <v>0</v>
      </c>
      <c r="AK105" s="1039">
        <v>0</v>
      </c>
      <c r="AL105" s="1039">
        <v>0</v>
      </c>
      <c r="AM105" s="1041">
        <v>0</v>
      </c>
      <c r="AN105" s="1041">
        <v>0</v>
      </c>
      <c r="AO105" s="1040">
        <f t="shared" ref="AO105:AO118" si="256">SUM(AI105:AN105)</f>
        <v>0</v>
      </c>
      <c r="AP105" s="1038">
        <v>0</v>
      </c>
      <c r="AQ105" s="1040">
        <f t="shared" si="238"/>
        <v>0</v>
      </c>
      <c r="AR105" s="1038">
        <v>0</v>
      </c>
      <c r="AS105" s="1039">
        <v>0</v>
      </c>
      <c r="AT105" s="1408">
        <v>0</v>
      </c>
      <c r="AU105" s="1040">
        <f t="shared" si="239"/>
        <v>0</v>
      </c>
      <c r="AV105" s="1038">
        <v>0</v>
      </c>
      <c r="AW105" s="1039">
        <v>0</v>
      </c>
      <c r="AX105" s="1040">
        <f t="shared" si="240"/>
        <v>0</v>
      </c>
      <c r="AY105" s="1038">
        <v>0</v>
      </c>
      <c r="AZ105" s="1040">
        <f t="shared" si="241"/>
        <v>0</v>
      </c>
      <c r="BA105" s="1038">
        <v>0</v>
      </c>
      <c r="BB105" s="1039">
        <v>0</v>
      </c>
      <c r="BC105" s="1040">
        <f t="shared" si="242"/>
        <v>0</v>
      </c>
      <c r="BD105" s="1042">
        <f t="shared" si="243"/>
        <v>0</v>
      </c>
      <c r="BE105" s="1052"/>
      <c r="BF105" s="1053"/>
      <c r="BG105" s="1048">
        <f t="shared" si="204"/>
        <v>0</v>
      </c>
      <c r="BH105" s="1052"/>
      <c r="BI105" s="1053"/>
      <c r="BJ105" s="1053"/>
      <c r="BK105" s="1053"/>
      <c r="BL105" s="1048">
        <f t="shared" si="244"/>
        <v>0</v>
      </c>
      <c r="BM105" s="1052"/>
      <c r="BN105" s="1053"/>
      <c r="BO105" s="1048">
        <f t="shared" si="245"/>
        <v>0</v>
      </c>
      <c r="BP105" s="1049"/>
      <c r="BQ105" s="1050"/>
      <c r="BR105" s="1050"/>
      <c r="BS105" s="1050"/>
      <c r="BT105" s="1053"/>
      <c r="BU105" s="1048">
        <f t="shared" si="246"/>
        <v>0</v>
      </c>
      <c r="BV105" s="1049"/>
      <c r="BW105" s="1050"/>
      <c r="BX105" s="1050"/>
      <c r="BY105" s="1050"/>
      <c r="BZ105" s="1050"/>
      <c r="CA105" s="1050"/>
      <c r="CB105" s="1053"/>
      <c r="CC105" s="1048">
        <f t="shared" si="247"/>
        <v>0</v>
      </c>
      <c r="CD105" s="1052"/>
      <c r="CE105" s="1053"/>
      <c r="CF105" s="1053"/>
      <c r="CG105" s="1053"/>
      <c r="CH105" s="1048">
        <f t="shared" si="248"/>
        <v>0</v>
      </c>
      <c r="CI105" s="1049"/>
      <c r="CJ105" s="1050"/>
      <c r="CK105" s="1050"/>
      <c r="CL105" s="1050"/>
      <c r="CM105" s="1050"/>
      <c r="CN105" s="1050"/>
      <c r="CO105" s="1051">
        <f t="shared" si="249"/>
        <v>0</v>
      </c>
      <c r="CP105" s="1052"/>
      <c r="CQ105" s="1053"/>
      <c r="CR105" s="1048">
        <f t="shared" si="250"/>
        <v>0</v>
      </c>
      <c r="CS105" s="1052"/>
      <c r="CT105" s="1053"/>
      <c r="CU105" s="1053"/>
      <c r="CV105" s="1053"/>
      <c r="CW105" s="1048">
        <f t="shared" si="251"/>
        <v>0</v>
      </c>
      <c r="CX105" s="1052"/>
      <c r="CY105" s="1048">
        <f t="shared" si="252"/>
        <v>0</v>
      </c>
      <c r="CZ105" s="1103">
        <f t="shared" si="253"/>
        <v>0</v>
      </c>
      <c r="DA105" s="1104">
        <f t="shared" si="254"/>
        <v>0</v>
      </c>
      <c r="DI105" s="1042">
        <f t="shared" si="255"/>
        <v>0</v>
      </c>
    </row>
    <row r="106" spans="1:113" s="1055" customFormat="1">
      <c r="A106" s="955" t="s">
        <v>506</v>
      </c>
      <c r="B106" s="1102" t="s">
        <v>934</v>
      </c>
      <c r="C106" s="1030" t="s">
        <v>827</v>
      </c>
      <c r="D106" s="1035"/>
      <c r="E106" s="1032">
        <f t="shared" si="191"/>
        <v>0</v>
      </c>
      <c r="F106" s="1035">
        <v>0</v>
      </c>
      <c r="G106" s="1036">
        <v>0</v>
      </c>
      <c r="H106" s="1032">
        <f t="shared" si="226"/>
        <v>0</v>
      </c>
      <c r="I106" s="1035">
        <v>44</v>
      </c>
      <c r="J106" s="1032">
        <f t="shared" si="227"/>
        <v>44</v>
      </c>
      <c r="K106" s="1035">
        <v>0</v>
      </c>
      <c r="L106" s="1074">
        <v>0</v>
      </c>
      <c r="M106" s="1032">
        <f t="shared" si="228"/>
        <v>0</v>
      </c>
      <c r="N106" s="1035">
        <v>24</v>
      </c>
      <c r="O106" s="1036">
        <v>0</v>
      </c>
      <c r="P106" s="1032">
        <f t="shared" si="229"/>
        <v>24</v>
      </c>
      <c r="Q106" s="1035">
        <v>0</v>
      </c>
      <c r="R106" s="1036">
        <v>0</v>
      </c>
      <c r="S106" s="1032">
        <f t="shared" si="230"/>
        <v>0</v>
      </c>
      <c r="T106" s="1035">
        <v>0</v>
      </c>
      <c r="U106" s="1036">
        <v>0</v>
      </c>
      <c r="V106" s="1032">
        <f t="shared" si="231"/>
        <v>0</v>
      </c>
      <c r="W106" s="1037">
        <f t="shared" si="232"/>
        <v>68</v>
      </c>
      <c r="X106" s="1038">
        <v>0</v>
      </c>
      <c r="Y106" s="1039">
        <v>0</v>
      </c>
      <c r="Z106" s="1408">
        <v>0</v>
      </c>
      <c r="AA106" s="1040">
        <f t="shared" si="233"/>
        <v>0</v>
      </c>
      <c r="AB106" s="1038">
        <v>0</v>
      </c>
      <c r="AC106" s="1039">
        <v>0</v>
      </c>
      <c r="AD106" s="1040">
        <f t="shared" si="234"/>
        <v>0</v>
      </c>
      <c r="AE106" s="1038">
        <v>0</v>
      </c>
      <c r="AF106" s="1040">
        <f t="shared" si="235"/>
        <v>0</v>
      </c>
      <c r="AG106" s="1038">
        <v>0</v>
      </c>
      <c r="AH106" s="1040">
        <f t="shared" si="236"/>
        <v>0</v>
      </c>
      <c r="AI106" s="1038">
        <v>0</v>
      </c>
      <c r="AJ106" s="1039">
        <v>0</v>
      </c>
      <c r="AK106" s="1039">
        <v>0</v>
      </c>
      <c r="AL106" s="1039">
        <v>0</v>
      </c>
      <c r="AM106" s="1041">
        <v>0</v>
      </c>
      <c r="AN106" s="1041">
        <v>0</v>
      </c>
      <c r="AO106" s="1040">
        <f t="shared" si="256"/>
        <v>0</v>
      </c>
      <c r="AP106" s="1038">
        <v>0</v>
      </c>
      <c r="AQ106" s="1040">
        <f t="shared" si="238"/>
        <v>0</v>
      </c>
      <c r="AR106" s="1038">
        <v>0</v>
      </c>
      <c r="AS106" s="1039">
        <v>0</v>
      </c>
      <c r="AT106" s="1408">
        <v>0</v>
      </c>
      <c r="AU106" s="1040">
        <f t="shared" si="239"/>
        <v>0</v>
      </c>
      <c r="AV106" s="1038">
        <v>0</v>
      </c>
      <c r="AW106" s="1039">
        <v>0</v>
      </c>
      <c r="AX106" s="1040">
        <f t="shared" si="240"/>
        <v>0</v>
      </c>
      <c r="AY106" s="1038">
        <v>0</v>
      </c>
      <c r="AZ106" s="1040">
        <f t="shared" si="241"/>
        <v>0</v>
      </c>
      <c r="BA106" s="1038">
        <v>0</v>
      </c>
      <c r="BB106" s="1039">
        <v>0</v>
      </c>
      <c r="BC106" s="1040">
        <f t="shared" si="242"/>
        <v>0</v>
      </c>
      <c r="BD106" s="1042">
        <f t="shared" si="243"/>
        <v>0</v>
      </c>
      <c r="BE106" s="1052"/>
      <c r="BF106" s="1053"/>
      <c r="BG106" s="1048">
        <f t="shared" si="204"/>
        <v>0</v>
      </c>
      <c r="BH106" s="1052"/>
      <c r="BI106" s="1053"/>
      <c r="BJ106" s="1053"/>
      <c r="BK106" s="1053"/>
      <c r="BL106" s="1048">
        <f t="shared" si="244"/>
        <v>0</v>
      </c>
      <c r="BM106" s="1052"/>
      <c r="BN106" s="1053"/>
      <c r="BO106" s="1048">
        <f t="shared" si="245"/>
        <v>0</v>
      </c>
      <c r="BP106" s="1049"/>
      <c r="BQ106" s="1050"/>
      <c r="BR106" s="1050"/>
      <c r="BS106" s="1050"/>
      <c r="BT106" s="1053"/>
      <c r="BU106" s="1048">
        <f t="shared" si="246"/>
        <v>0</v>
      </c>
      <c r="BV106" s="1049"/>
      <c r="BW106" s="1050"/>
      <c r="BX106" s="1050"/>
      <c r="BY106" s="1050"/>
      <c r="BZ106" s="1050"/>
      <c r="CA106" s="1050"/>
      <c r="CB106" s="1053"/>
      <c r="CC106" s="1048">
        <f t="shared" si="247"/>
        <v>0</v>
      </c>
      <c r="CD106" s="1052"/>
      <c r="CE106" s="1053"/>
      <c r="CF106" s="1053"/>
      <c r="CG106" s="1053">
        <v>6</v>
      </c>
      <c r="CH106" s="1048">
        <f t="shared" si="248"/>
        <v>6</v>
      </c>
      <c r="CI106" s="1052">
        <v>8</v>
      </c>
      <c r="CJ106" s="1053"/>
      <c r="CK106" s="1053">
        <v>8</v>
      </c>
      <c r="CL106" s="1050"/>
      <c r="CM106" s="1050"/>
      <c r="CN106" s="1050"/>
      <c r="CO106" s="1051">
        <f t="shared" si="249"/>
        <v>16</v>
      </c>
      <c r="CP106" s="1052">
        <v>8</v>
      </c>
      <c r="CQ106" s="1053"/>
      <c r="CR106" s="1048">
        <f t="shared" si="250"/>
        <v>8</v>
      </c>
      <c r="CS106" s="1052"/>
      <c r="CT106" s="1053"/>
      <c r="CU106" s="1053"/>
      <c r="CV106" s="1053"/>
      <c r="CW106" s="1048">
        <f t="shared" si="251"/>
        <v>0</v>
      </c>
      <c r="CX106" s="1052"/>
      <c r="CY106" s="1048">
        <f t="shared" si="252"/>
        <v>0</v>
      </c>
      <c r="CZ106" s="1103">
        <f t="shared" si="253"/>
        <v>30</v>
      </c>
      <c r="DA106" s="1104">
        <f t="shared" si="254"/>
        <v>98</v>
      </c>
      <c r="DI106" s="1042">
        <f t="shared" si="255"/>
        <v>0</v>
      </c>
    </row>
    <row r="107" spans="1:113" s="1055" customFormat="1" ht="30">
      <c r="A107" s="955" t="s">
        <v>1366</v>
      </c>
      <c r="B107" s="1102" t="s">
        <v>863</v>
      </c>
      <c r="C107" s="1030" t="s">
        <v>111</v>
      </c>
      <c r="D107" s="1035"/>
      <c r="E107" s="1032">
        <f t="shared" si="191"/>
        <v>0</v>
      </c>
      <c r="F107" s="1035">
        <v>0</v>
      </c>
      <c r="G107" s="1036">
        <v>0</v>
      </c>
      <c r="H107" s="1032">
        <f t="shared" si="226"/>
        <v>0</v>
      </c>
      <c r="I107" s="1035">
        <v>0</v>
      </c>
      <c r="J107" s="1032">
        <f t="shared" si="227"/>
        <v>0</v>
      </c>
      <c r="K107" s="1035">
        <v>0</v>
      </c>
      <c r="L107" s="1074">
        <v>0</v>
      </c>
      <c r="M107" s="1032">
        <f t="shared" si="228"/>
        <v>0</v>
      </c>
      <c r="N107" s="1035">
        <v>0</v>
      </c>
      <c r="O107" s="1036">
        <v>0</v>
      </c>
      <c r="P107" s="1032">
        <f t="shared" si="229"/>
        <v>0</v>
      </c>
      <c r="Q107" s="1035">
        <v>0</v>
      </c>
      <c r="R107" s="1036">
        <v>0</v>
      </c>
      <c r="S107" s="1032">
        <f t="shared" si="230"/>
        <v>0</v>
      </c>
      <c r="T107" s="1035">
        <v>0</v>
      </c>
      <c r="U107" s="1036">
        <v>0</v>
      </c>
      <c r="V107" s="1032">
        <f t="shared" si="231"/>
        <v>0</v>
      </c>
      <c r="W107" s="1037">
        <f t="shared" si="232"/>
        <v>0</v>
      </c>
      <c r="X107" s="1038">
        <v>0</v>
      </c>
      <c r="Y107" s="1039">
        <v>0</v>
      </c>
      <c r="Z107" s="1408">
        <v>0</v>
      </c>
      <c r="AA107" s="1040">
        <f t="shared" si="233"/>
        <v>0</v>
      </c>
      <c r="AB107" s="1038">
        <v>0</v>
      </c>
      <c r="AC107" s="1039">
        <v>0</v>
      </c>
      <c r="AD107" s="1040">
        <f t="shared" si="234"/>
        <v>0</v>
      </c>
      <c r="AE107" s="1038">
        <v>0</v>
      </c>
      <c r="AF107" s="1040">
        <f t="shared" si="235"/>
        <v>0</v>
      </c>
      <c r="AG107" s="1038">
        <v>0</v>
      </c>
      <c r="AH107" s="1040">
        <f t="shared" si="236"/>
        <v>0</v>
      </c>
      <c r="AI107" s="1038">
        <v>125.62799999999999</v>
      </c>
      <c r="AJ107" s="1039">
        <v>0</v>
      </c>
      <c r="AK107" s="1039">
        <v>0</v>
      </c>
      <c r="AL107" s="1039">
        <v>0</v>
      </c>
      <c r="AM107" s="1041">
        <v>0</v>
      </c>
      <c r="AN107" s="1041">
        <v>0</v>
      </c>
      <c r="AO107" s="1040">
        <f t="shared" ref="AO107" si="257">AI107+AM107+AN107</f>
        <v>125.62799999999999</v>
      </c>
      <c r="AP107" s="1038">
        <v>0</v>
      </c>
      <c r="AQ107" s="1040">
        <f t="shared" si="238"/>
        <v>0</v>
      </c>
      <c r="AR107" s="1038">
        <v>0</v>
      </c>
      <c r="AS107" s="1039">
        <v>0</v>
      </c>
      <c r="AT107" s="1408">
        <v>0</v>
      </c>
      <c r="AU107" s="1040">
        <f t="shared" si="239"/>
        <v>0</v>
      </c>
      <c r="AV107" s="1038">
        <v>0</v>
      </c>
      <c r="AW107" s="1039">
        <v>0</v>
      </c>
      <c r="AX107" s="1040">
        <f t="shared" si="240"/>
        <v>0</v>
      </c>
      <c r="AY107" s="1038">
        <v>0</v>
      </c>
      <c r="AZ107" s="1040">
        <f t="shared" si="241"/>
        <v>0</v>
      </c>
      <c r="BA107" s="1038">
        <v>0</v>
      </c>
      <c r="BB107" s="1039">
        <v>0</v>
      </c>
      <c r="BC107" s="1040">
        <f t="shared" si="242"/>
        <v>0</v>
      </c>
      <c r="BD107" s="1042">
        <f t="shared" si="243"/>
        <v>125.62799999999999</v>
      </c>
      <c r="BE107" s="1052"/>
      <c r="BF107" s="1053"/>
      <c r="BG107" s="1048">
        <f t="shared" si="204"/>
        <v>0</v>
      </c>
      <c r="BH107" s="1052"/>
      <c r="BI107" s="1053"/>
      <c r="BJ107" s="1053"/>
      <c r="BK107" s="1053"/>
      <c r="BL107" s="1048">
        <f t="shared" si="244"/>
        <v>0</v>
      </c>
      <c r="BM107" s="1052"/>
      <c r="BN107" s="1053"/>
      <c r="BO107" s="1048">
        <f t="shared" si="245"/>
        <v>0</v>
      </c>
      <c r="BP107" s="1049"/>
      <c r="BQ107" s="1050"/>
      <c r="BR107" s="1050"/>
      <c r="BS107" s="1050"/>
      <c r="BT107" s="1053"/>
      <c r="BU107" s="1048">
        <f t="shared" si="246"/>
        <v>0</v>
      </c>
      <c r="BV107" s="1049"/>
      <c r="BW107" s="1050"/>
      <c r="BX107" s="1050"/>
      <c r="BY107" s="1050"/>
      <c r="BZ107" s="1050"/>
      <c r="CA107" s="1050"/>
      <c r="CB107" s="1053"/>
      <c r="CC107" s="1048">
        <f t="shared" si="247"/>
        <v>0</v>
      </c>
      <c r="CD107" s="1052"/>
      <c r="CE107" s="1053"/>
      <c r="CF107" s="1053"/>
      <c r="CG107" s="1053"/>
      <c r="CH107" s="1048">
        <f t="shared" si="248"/>
        <v>0</v>
      </c>
      <c r="CI107" s="1049"/>
      <c r="CJ107" s="1050"/>
      <c r="CK107" s="1050"/>
      <c r="CL107" s="1050"/>
      <c r="CM107" s="1050"/>
      <c r="CN107" s="1050"/>
      <c r="CO107" s="1051">
        <f t="shared" si="249"/>
        <v>0</v>
      </c>
      <c r="CP107" s="1052"/>
      <c r="CQ107" s="1053"/>
      <c r="CR107" s="1048">
        <f t="shared" si="250"/>
        <v>0</v>
      </c>
      <c r="CS107" s="1052"/>
      <c r="CT107" s="1053"/>
      <c r="CU107" s="1053"/>
      <c r="CV107" s="1053"/>
      <c r="CW107" s="1048">
        <f t="shared" si="251"/>
        <v>0</v>
      </c>
      <c r="CX107" s="1052"/>
      <c r="CY107" s="1048">
        <f t="shared" si="252"/>
        <v>0</v>
      </c>
      <c r="CZ107" s="1103">
        <f t="shared" si="253"/>
        <v>0</v>
      </c>
      <c r="DA107" s="1104">
        <f t="shared" si="254"/>
        <v>125.62799999999999</v>
      </c>
      <c r="DI107" s="1042">
        <f t="shared" si="255"/>
        <v>0</v>
      </c>
    </row>
    <row r="108" spans="1:113" s="1055" customFormat="1" ht="30">
      <c r="A108" s="955" t="s">
        <v>1399</v>
      </c>
      <c r="B108" s="1102" t="s">
        <v>1400</v>
      </c>
      <c r="C108" s="1030" t="s">
        <v>81</v>
      </c>
      <c r="D108" s="1035"/>
      <c r="E108" s="1032">
        <f t="shared" si="191"/>
        <v>0</v>
      </c>
      <c r="F108" s="1035">
        <v>0</v>
      </c>
      <c r="G108" s="1036">
        <v>0</v>
      </c>
      <c r="H108" s="1032">
        <f t="shared" si="226"/>
        <v>0</v>
      </c>
      <c r="I108" s="1035">
        <v>0</v>
      </c>
      <c r="J108" s="1032">
        <f t="shared" si="227"/>
        <v>0</v>
      </c>
      <c r="K108" s="1035">
        <v>0</v>
      </c>
      <c r="L108" s="1074">
        <v>0</v>
      </c>
      <c r="M108" s="1032">
        <f t="shared" si="228"/>
        <v>0</v>
      </c>
      <c r="N108" s="1035">
        <v>0</v>
      </c>
      <c r="O108" s="1036">
        <v>0</v>
      </c>
      <c r="P108" s="1032">
        <f t="shared" si="229"/>
        <v>0</v>
      </c>
      <c r="Q108" s="1035">
        <v>0</v>
      </c>
      <c r="R108" s="1036">
        <v>0</v>
      </c>
      <c r="S108" s="1032">
        <f t="shared" si="230"/>
        <v>0</v>
      </c>
      <c r="T108" s="1035">
        <v>0</v>
      </c>
      <c r="U108" s="1036">
        <v>243.1</v>
      </c>
      <c r="V108" s="1032">
        <f t="shared" si="231"/>
        <v>243.1</v>
      </c>
      <c r="W108" s="1037">
        <f t="shared" si="232"/>
        <v>243.1</v>
      </c>
      <c r="X108" s="1038">
        <v>0</v>
      </c>
      <c r="Y108" s="1039">
        <v>0</v>
      </c>
      <c r="Z108" s="1408">
        <v>0</v>
      </c>
      <c r="AA108" s="1040">
        <f t="shared" si="233"/>
        <v>0</v>
      </c>
      <c r="AB108" s="1038">
        <v>0</v>
      </c>
      <c r="AC108" s="1039">
        <v>0</v>
      </c>
      <c r="AD108" s="1040">
        <f t="shared" si="234"/>
        <v>0</v>
      </c>
      <c r="AE108" s="1038">
        <v>0</v>
      </c>
      <c r="AF108" s="1040">
        <f t="shared" si="235"/>
        <v>0</v>
      </c>
      <c r="AG108" s="1038">
        <v>0</v>
      </c>
      <c r="AH108" s="1040">
        <f t="shared" si="236"/>
        <v>0</v>
      </c>
      <c r="AI108" s="1038">
        <v>0</v>
      </c>
      <c r="AJ108" s="1039">
        <v>0</v>
      </c>
      <c r="AK108" s="1039">
        <v>0</v>
      </c>
      <c r="AL108" s="1039">
        <v>0</v>
      </c>
      <c r="AM108" s="1041">
        <v>0</v>
      </c>
      <c r="AN108" s="1041">
        <v>0</v>
      </c>
      <c r="AO108" s="1040">
        <f t="shared" si="256"/>
        <v>0</v>
      </c>
      <c r="AP108" s="1038">
        <v>0</v>
      </c>
      <c r="AQ108" s="1040">
        <f t="shared" si="238"/>
        <v>0</v>
      </c>
      <c r="AR108" s="1038">
        <v>0</v>
      </c>
      <c r="AS108" s="1039">
        <v>0</v>
      </c>
      <c r="AT108" s="1408">
        <v>0</v>
      </c>
      <c r="AU108" s="1040">
        <f t="shared" si="239"/>
        <v>0</v>
      </c>
      <c r="AV108" s="1038">
        <v>0</v>
      </c>
      <c r="AW108" s="1039">
        <v>0</v>
      </c>
      <c r="AX108" s="1040">
        <f t="shared" si="240"/>
        <v>0</v>
      </c>
      <c r="AY108" s="1038">
        <v>0</v>
      </c>
      <c r="AZ108" s="1040">
        <f t="shared" si="241"/>
        <v>0</v>
      </c>
      <c r="BA108" s="1038">
        <v>0</v>
      </c>
      <c r="BB108" s="1039">
        <v>0</v>
      </c>
      <c r="BC108" s="1040">
        <f t="shared" si="242"/>
        <v>0</v>
      </c>
      <c r="BD108" s="1042">
        <f t="shared" si="243"/>
        <v>0</v>
      </c>
      <c r="BE108" s="1052"/>
      <c r="BF108" s="1053"/>
      <c r="BG108" s="1048">
        <f t="shared" si="204"/>
        <v>0</v>
      </c>
      <c r="BH108" s="1052"/>
      <c r="BI108" s="1053"/>
      <c r="BJ108" s="1053"/>
      <c r="BK108" s="1053"/>
      <c r="BL108" s="1048">
        <f t="shared" si="244"/>
        <v>0</v>
      </c>
      <c r="BM108" s="1052"/>
      <c r="BN108" s="1053"/>
      <c r="BO108" s="1048">
        <f t="shared" si="245"/>
        <v>0</v>
      </c>
      <c r="BP108" s="1049"/>
      <c r="BQ108" s="1050"/>
      <c r="BR108" s="1050"/>
      <c r="BS108" s="1050"/>
      <c r="BT108" s="1053"/>
      <c r="BU108" s="1048">
        <f t="shared" si="246"/>
        <v>0</v>
      </c>
      <c r="BV108" s="1049"/>
      <c r="BW108" s="1050"/>
      <c r="BX108" s="1050"/>
      <c r="BY108" s="1050"/>
      <c r="BZ108" s="1050"/>
      <c r="CA108" s="1050"/>
      <c r="CB108" s="1053"/>
      <c r="CC108" s="1048">
        <f t="shared" si="247"/>
        <v>0</v>
      </c>
      <c r="CD108" s="1052"/>
      <c r="CE108" s="1053"/>
      <c r="CF108" s="1053"/>
      <c r="CG108" s="1053"/>
      <c r="CH108" s="1048">
        <f t="shared" si="248"/>
        <v>0</v>
      </c>
      <c r="CI108" s="1049"/>
      <c r="CJ108" s="1050"/>
      <c r="CK108" s="1050"/>
      <c r="CL108" s="1050"/>
      <c r="CM108" s="1050"/>
      <c r="CN108" s="1050"/>
      <c r="CO108" s="1051">
        <f t="shared" si="249"/>
        <v>0</v>
      </c>
      <c r="CP108" s="1052"/>
      <c r="CQ108" s="1053"/>
      <c r="CR108" s="1048">
        <f t="shared" si="250"/>
        <v>0</v>
      </c>
      <c r="CS108" s="1052"/>
      <c r="CT108" s="1053"/>
      <c r="CU108" s="1053"/>
      <c r="CV108" s="1053"/>
      <c r="CW108" s="1048">
        <f t="shared" si="251"/>
        <v>0</v>
      </c>
      <c r="CX108" s="1052"/>
      <c r="CY108" s="1048">
        <f t="shared" si="252"/>
        <v>0</v>
      </c>
      <c r="CZ108" s="1103">
        <f t="shared" si="253"/>
        <v>0</v>
      </c>
      <c r="DA108" s="1104">
        <f t="shared" si="254"/>
        <v>243.1</v>
      </c>
      <c r="DI108" s="1042">
        <f t="shared" si="255"/>
        <v>0</v>
      </c>
    </row>
    <row r="109" spans="1:113" s="1055" customFormat="1" ht="30">
      <c r="A109" s="955" t="s">
        <v>1401</v>
      </c>
      <c r="B109" s="1102" t="s">
        <v>1402</v>
      </c>
      <c r="C109" s="1030" t="s">
        <v>829</v>
      </c>
      <c r="D109" s="1035"/>
      <c r="E109" s="1032">
        <f t="shared" si="191"/>
        <v>0</v>
      </c>
      <c r="F109" s="1035">
        <v>0</v>
      </c>
      <c r="G109" s="1036">
        <v>0</v>
      </c>
      <c r="H109" s="1032">
        <f t="shared" si="226"/>
        <v>0</v>
      </c>
      <c r="I109" s="1035">
        <v>0</v>
      </c>
      <c r="J109" s="1032">
        <f t="shared" si="227"/>
        <v>0</v>
      </c>
      <c r="K109" s="1035">
        <v>0</v>
      </c>
      <c r="L109" s="1074">
        <v>0</v>
      </c>
      <c r="M109" s="1032">
        <f t="shared" si="228"/>
        <v>0</v>
      </c>
      <c r="N109" s="1035">
        <v>0</v>
      </c>
      <c r="O109" s="1036">
        <v>0</v>
      </c>
      <c r="P109" s="1032">
        <f t="shared" si="229"/>
        <v>0</v>
      </c>
      <c r="Q109" s="1035">
        <v>0</v>
      </c>
      <c r="R109" s="1036">
        <v>0</v>
      </c>
      <c r="S109" s="1032">
        <f t="shared" si="230"/>
        <v>0</v>
      </c>
      <c r="T109" s="1035">
        <v>0</v>
      </c>
      <c r="U109" s="1036">
        <v>397.13501052559297</v>
      </c>
      <c r="V109" s="1032">
        <f t="shared" si="231"/>
        <v>397.13501052559297</v>
      </c>
      <c r="W109" s="1037">
        <f t="shared" si="232"/>
        <v>397.13501052559297</v>
      </c>
      <c r="X109" s="1038">
        <v>0</v>
      </c>
      <c r="Y109" s="1039">
        <v>0</v>
      </c>
      <c r="Z109" s="1408">
        <v>0</v>
      </c>
      <c r="AA109" s="1040">
        <f t="shared" si="233"/>
        <v>0</v>
      </c>
      <c r="AB109" s="1038">
        <v>0</v>
      </c>
      <c r="AC109" s="1039">
        <v>0</v>
      </c>
      <c r="AD109" s="1040">
        <f t="shared" si="234"/>
        <v>0</v>
      </c>
      <c r="AE109" s="1038">
        <v>0</v>
      </c>
      <c r="AF109" s="1040">
        <f t="shared" si="235"/>
        <v>0</v>
      </c>
      <c r="AG109" s="1038">
        <v>0</v>
      </c>
      <c r="AH109" s="1040">
        <f t="shared" si="236"/>
        <v>0</v>
      </c>
      <c r="AI109" s="1038">
        <v>0</v>
      </c>
      <c r="AJ109" s="1039">
        <v>0</v>
      </c>
      <c r="AK109" s="1039">
        <v>0</v>
      </c>
      <c r="AL109" s="1039">
        <v>0</v>
      </c>
      <c r="AM109" s="1041">
        <v>0</v>
      </c>
      <c r="AN109" s="1041">
        <v>0</v>
      </c>
      <c r="AO109" s="1040">
        <f t="shared" si="256"/>
        <v>0</v>
      </c>
      <c r="AP109" s="1038">
        <v>0</v>
      </c>
      <c r="AQ109" s="1040">
        <f t="shared" si="238"/>
        <v>0</v>
      </c>
      <c r="AR109" s="1038">
        <v>0</v>
      </c>
      <c r="AS109" s="1039">
        <v>0</v>
      </c>
      <c r="AT109" s="1408">
        <v>0</v>
      </c>
      <c r="AU109" s="1040">
        <f t="shared" si="239"/>
        <v>0</v>
      </c>
      <c r="AV109" s="1038">
        <v>0</v>
      </c>
      <c r="AW109" s="1039">
        <v>0</v>
      </c>
      <c r="AX109" s="1040">
        <f t="shared" si="240"/>
        <v>0</v>
      </c>
      <c r="AY109" s="1038">
        <v>0</v>
      </c>
      <c r="AZ109" s="1040">
        <f t="shared" si="241"/>
        <v>0</v>
      </c>
      <c r="BA109" s="1038">
        <v>0</v>
      </c>
      <c r="BB109" s="1039">
        <v>0</v>
      </c>
      <c r="BC109" s="1040">
        <f t="shared" si="242"/>
        <v>0</v>
      </c>
      <c r="BD109" s="1042">
        <f t="shared" si="243"/>
        <v>0</v>
      </c>
      <c r="BE109" s="1052"/>
      <c r="BF109" s="1053"/>
      <c r="BG109" s="1048">
        <f t="shared" si="204"/>
        <v>0</v>
      </c>
      <c r="BH109" s="1052"/>
      <c r="BI109" s="1053"/>
      <c r="BJ109" s="1053"/>
      <c r="BK109" s="1053"/>
      <c r="BL109" s="1048">
        <f t="shared" si="244"/>
        <v>0</v>
      </c>
      <c r="BM109" s="1052"/>
      <c r="BN109" s="1053"/>
      <c r="BO109" s="1048">
        <f t="shared" si="245"/>
        <v>0</v>
      </c>
      <c r="BP109" s="1049"/>
      <c r="BQ109" s="1050"/>
      <c r="BR109" s="1050"/>
      <c r="BS109" s="1050"/>
      <c r="BT109" s="1053"/>
      <c r="BU109" s="1048">
        <f t="shared" si="246"/>
        <v>0</v>
      </c>
      <c r="BV109" s="1049"/>
      <c r="BW109" s="1050"/>
      <c r="BX109" s="1050"/>
      <c r="BY109" s="1050"/>
      <c r="BZ109" s="1050"/>
      <c r="CA109" s="1050"/>
      <c r="CB109" s="1053"/>
      <c r="CC109" s="1048">
        <f t="shared" si="247"/>
        <v>0</v>
      </c>
      <c r="CD109" s="1052"/>
      <c r="CE109" s="1053"/>
      <c r="CF109" s="1053"/>
      <c r="CG109" s="1053"/>
      <c r="CH109" s="1048">
        <f t="shared" si="248"/>
        <v>0</v>
      </c>
      <c r="CI109" s="1049"/>
      <c r="CJ109" s="1050"/>
      <c r="CK109" s="1050"/>
      <c r="CL109" s="1050"/>
      <c r="CM109" s="1050"/>
      <c r="CN109" s="1050"/>
      <c r="CO109" s="1051">
        <f t="shared" si="249"/>
        <v>0</v>
      </c>
      <c r="CP109" s="1052"/>
      <c r="CQ109" s="1053"/>
      <c r="CR109" s="1048">
        <f t="shared" si="250"/>
        <v>0</v>
      </c>
      <c r="CS109" s="1052"/>
      <c r="CT109" s="1053"/>
      <c r="CU109" s="1053"/>
      <c r="CV109" s="1053"/>
      <c r="CW109" s="1048">
        <f t="shared" si="251"/>
        <v>0</v>
      </c>
      <c r="CX109" s="1052"/>
      <c r="CY109" s="1048">
        <f t="shared" si="252"/>
        <v>0</v>
      </c>
      <c r="CZ109" s="1103">
        <f t="shared" si="253"/>
        <v>0</v>
      </c>
      <c r="DA109" s="1104">
        <f t="shared" si="254"/>
        <v>397.13501052559297</v>
      </c>
      <c r="DI109" s="1042">
        <f t="shared" si="255"/>
        <v>0</v>
      </c>
    </row>
    <row r="110" spans="1:113" s="1055" customFormat="1">
      <c r="A110" s="955" t="s">
        <v>85</v>
      </c>
      <c r="B110" s="1102" t="s">
        <v>1347</v>
      </c>
      <c r="C110" s="1030" t="s">
        <v>111</v>
      </c>
      <c r="D110" s="1035"/>
      <c r="E110" s="1032">
        <f t="shared" si="191"/>
        <v>0</v>
      </c>
      <c r="F110" s="1035">
        <v>0</v>
      </c>
      <c r="G110" s="1036">
        <v>0</v>
      </c>
      <c r="H110" s="1032">
        <f t="shared" si="226"/>
        <v>0</v>
      </c>
      <c r="I110" s="1035">
        <v>463.40333969999995</v>
      </c>
      <c r="J110" s="1032">
        <f t="shared" si="227"/>
        <v>463.40333969999995</v>
      </c>
      <c r="K110" s="1035">
        <v>0</v>
      </c>
      <c r="L110" s="1074">
        <v>0</v>
      </c>
      <c r="M110" s="1032">
        <f t="shared" si="228"/>
        <v>0</v>
      </c>
      <c r="N110" s="1035">
        <v>0</v>
      </c>
      <c r="O110" s="1036">
        <v>0</v>
      </c>
      <c r="P110" s="1032">
        <f t="shared" si="229"/>
        <v>0</v>
      </c>
      <c r="Q110" s="1035">
        <v>0</v>
      </c>
      <c r="R110" s="1036">
        <v>0</v>
      </c>
      <c r="S110" s="1032">
        <f t="shared" si="230"/>
        <v>0</v>
      </c>
      <c r="T110" s="1035">
        <v>0</v>
      </c>
      <c r="U110" s="1036">
        <v>567.74368463301005</v>
      </c>
      <c r="V110" s="1032">
        <f t="shared" si="231"/>
        <v>567.74368463301005</v>
      </c>
      <c r="W110" s="1037">
        <f t="shared" si="232"/>
        <v>1031.14702433301</v>
      </c>
      <c r="X110" s="1038">
        <v>0</v>
      </c>
      <c r="Y110" s="1039">
        <v>0</v>
      </c>
      <c r="Z110" s="1408">
        <v>0</v>
      </c>
      <c r="AA110" s="1040">
        <f t="shared" si="233"/>
        <v>0</v>
      </c>
      <c r="AB110" s="1038">
        <v>0</v>
      </c>
      <c r="AC110" s="1039">
        <v>0</v>
      </c>
      <c r="AD110" s="1040">
        <f t="shared" si="234"/>
        <v>0</v>
      </c>
      <c r="AE110" s="1038">
        <v>0</v>
      </c>
      <c r="AF110" s="1040">
        <f t="shared" si="235"/>
        <v>0</v>
      </c>
      <c r="AG110" s="1038">
        <v>0</v>
      </c>
      <c r="AH110" s="1040">
        <f t="shared" si="236"/>
        <v>0</v>
      </c>
      <c r="AI110" s="1038">
        <v>0</v>
      </c>
      <c r="AJ110" s="1039">
        <v>0</v>
      </c>
      <c r="AK110" s="1039">
        <v>0</v>
      </c>
      <c r="AL110" s="1039">
        <v>0</v>
      </c>
      <c r="AM110" s="1041">
        <v>0</v>
      </c>
      <c r="AN110" s="1041">
        <v>0</v>
      </c>
      <c r="AO110" s="1040">
        <f t="shared" si="256"/>
        <v>0</v>
      </c>
      <c r="AP110" s="1038">
        <v>0</v>
      </c>
      <c r="AQ110" s="1040">
        <f t="shared" si="238"/>
        <v>0</v>
      </c>
      <c r="AR110" s="1038">
        <v>0</v>
      </c>
      <c r="AS110" s="1039">
        <v>0</v>
      </c>
      <c r="AT110" s="1408">
        <v>0</v>
      </c>
      <c r="AU110" s="1040">
        <f t="shared" si="239"/>
        <v>0</v>
      </c>
      <c r="AV110" s="1038">
        <v>0</v>
      </c>
      <c r="AW110" s="1039">
        <v>0</v>
      </c>
      <c r="AX110" s="1040">
        <f t="shared" si="240"/>
        <v>0</v>
      </c>
      <c r="AY110" s="1038">
        <v>0</v>
      </c>
      <c r="AZ110" s="1040">
        <f t="shared" si="241"/>
        <v>0</v>
      </c>
      <c r="BA110" s="1038">
        <v>0</v>
      </c>
      <c r="BB110" s="1039">
        <v>0</v>
      </c>
      <c r="BC110" s="1040">
        <f t="shared" si="242"/>
        <v>0</v>
      </c>
      <c r="BD110" s="1042">
        <f t="shared" si="243"/>
        <v>0</v>
      </c>
      <c r="BE110" s="1052"/>
      <c r="BF110" s="1053"/>
      <c r="BG110" s="1048">
        <f t="shared" si="204"/>
        <v>0</v>
      </c>
      <c r="BH110" s="1052"/>
      <c r="BI110" s="1053"/>
      <c r="BJ110" s="1053"/>
      <c r="BK110" s="1053"/>
      <c r="BL110" s="1048">
        <f t="shared" si="244"/>
        <v>0</v>
      </c>
      <c r="BM110" s="1052"/>
      <c r="BN110" s="1053"/>
      <c r="BO110" s="1048">
        <f t="shared" si="245"/>
        <v>0</v>
      </c>
      <c r="BP110" s="1049"/>
      <c r="BQ110" s="1050"/>
      <c r="BR110" s="1050"/>
      <c r="BS110" s="1050"/>
      <c r="BT110" s="1053"/>
      <c r="BU110" s="1048">
        <f t="shared" si="246"/>
        <v>0</v>
      </c>
      <c r="BV110" s="1049"/>
      <c r="BW110" s="1050"/>
      <c r="BX110" s="1050"/>
      <c r="BY110" s="1050"/>
      <c r="BZ110" s="1050"/>
      <c r="CA110" s="1050"/>
      <c r="CB110" s="1053"/>
      <c r="CC110" s="1048">
        <f t="shared" si="247"/>
        <v>0</v>
      </c>
      <c r="CD110" s="1052"/>
      <c r="CE110" s="1053"/>
      <c r="CF110" s="1053"/>
      <c r="CG110" s="1053"/>
      <c r="CH110" s="1048">
        <f t="shared" si="248"/>
        <v>0</v>
      </c>
      <c r="CI110" s="1052"/>
      <c r="CJ110" s="1053"/>
      <c r="CK110" s="1053"/>
      <c r="CL110" s="1053"/>
      <c r="CM110" s="1053"/>
      <c r="CN110" s="1053"/>
      <c r="CO110" s="1051">
        <f t="shared" si="249"/>
        <v>0</v>
      </c>
      <c r="CP110" s="1052"/>
      <c r="CQ110" s="1053"/>
      <c r="CR110" s="1048">
        <f t="shared" si="250"/>
        <v>0</v>
      </c>
      <c r="CS110" s="1052"/>
      <c r="CT110" s="1053"/>
      <c r="CU110" s="1053"/>
      <c r="CV110" s="1053"/>
      <c r="CW110" s="1048">
        <f t="shared" si="251"/>
        <v>0</v>
      </c>
      <c r="CX110" s="1052"/>
      <c r="CY110" s="1048">
        <f t="shared" si="252"/>
        <v>0</v>
      </c>
      <c r="CZ110" s="1103">
        <f t="shared" si="253"/>
        <v>0</v>
      </c>
      <c r="DA110" s="1104">
        <f t="shared" si="254"/>
        <v>1031.14702433301</v>
      </c>
      <c r="DI110" s="1042">
        <f t="shared" si="255"/>
        <v>0</v>
      </c>
    </row>
    <row r="111" spans="1:113" s="1055" customFormat="1">
      <c r="A111" s="955" t="s">
        <v>93</v>
      </c>
      <c r="B111" s="1102" t="s">
        <v>1403</v>
      </c>
      <c r="C111" s="1030" t="s">
        <v>111</v>
      </c>
      <c r="D111" s="1035"/>
      <c r="E111" s="1032">
        <f t="shared" si="191"/>
        <v>0</v>
      </c>
      <c r="F111" s="1035">
        <v>0</v>
      </c>
      <c r="G111" s="1036">
        <v>0</v>
      </c>
      <c r="H111" s="1032">
        <f t="shared" si="226"/>
        <v>0</v>
      </c>
      <c r="I111" s="1035">
        <v>53.691519999999997</v>
      </c>
      <c r="J111" s="1032">
        <f t="shared" si="227"/>
        <v>53.691519999999997</v>
      </c>
      <c r="K111" s="1035">
        <v>0</v>
      </c>
      <c r="L111" s="1074">
        <v>0</v>
      </c>
      <c r="M111" s="1032">
        <f t="shared" si="228"/>
        <v>0</v>
      </c>
      <c r="N111" s="1035">
        <v>0</v>
      </c>
      <c r="O111" s="1036">
        <v>0</v>
      </c>
      <c r="P111" s="1032">
        <f t="shared" si="229"/>
        <v>0</v>
      </c>
      <c r="Q111" s="1035">
        <v>0</v>
      </c>
      <c r="R111" s="1036">
        <v>0</v>
      </c>
      <c r="S111" s="1032">
        <f t="shared" si="230"/>
        <v>0</v>
      </c>
      <c r="T111" s="1035">
        <v>0</v>
      </c>
      <c r="U111" s="1036">
        <v>899.91231200000004</v>
      </c>
      <c r="V111" s="1032">
        <f t="shared" si="231"/>
        <v>899.91231200000004</v>
      </c>
      <c r="W111" s="1037">
        <f t="shared" si="232"/>
        <v>953.60383200000001</v>
      </c>
      <c r="X111" s="1038">
        <v>0</v>
      </c>
      <c r="Y111" s="1039">
        <v>0</v>
      </c>
      <c r="Z111" s="1408">
        <v>0</v>
      </c>
      <c r="AA111" s="1040">
        <f t="shared" si="233"/>
        <v>0</v>
      </c>
      <c r="AB111" s="1038">
        <v>0</v>
      </c>
      <c r="AC111" s="1039">
        <v>0</v>
      </c>
      <c r="AD111" s="1040">
        <f t="shared" si="234"/>
        <v>0</v>
      </c>
      <c r="AE111" s="1038">
        <v>305.76074271390598</v>
      </c>
      <c r="AF111" s="1040">
        <f t="shared" si="235"/>
        <v>305.76074271390598</v>
      </c>
      <c r="AG111" s="1038">
        <v>0</v>
      </c>
      <c r="AH111" s="1040">
        <f t="shared" si="236"/>
        <v>0</v>
      </c>
      <c r="AI111" s="1038">
        <v>177.86620000000002</v>
      </c>
      <c r="AJ111" s="1039">
        <v>0</v>
      </c>
      <c r="AK111" s="1039">
        <v>0</v>
      </c>
      <c r="AL111" s="1039">
        <v>374.90741228718343</v>
      </c>
      <c r="AM111" s="1041">
        <v>31.552</v>
      </c>
      <c r="AN111" s="1041">
        <v>32.799999999999997</v>
      </c>
      <c r="AO111" s="1040">
        <f t="shared" ref="AO111:AO116" si="258">AI111+AM111+AN111</f>
        <v>242.21820000000002</v>
      </c>
      <c r="AP111" s="1038">
        <v>0</v>
      </c>
      <c r="AQ111" s="1040">
        <f t="shared" si="238"/>
        <v>0</v>
      </c>
      <c r="AR111" s="1038">
        <v>0</v>
      </c>
      <c r="AS111" s="1039">
        <v>0</v>
      </c>
      <c r="AT111" s="1408">
        <v>0</v>
      </c>
      <c r="AU111" s="1040">
        <f t="shared" si="239"/>
        <v>0</v>
      </c>
      <c r="AV111" s="1038">
        <v>0</v>
      </c>
      <c r="AW111" s="1039">
        <v>0</v>
      </c>
      <c r="AX111" s="1040">
        <f t="shared" si="240"/>
        <v>0</v>
      </c>
      <c r="AY111" s="1038">
        <v>0</v>
      </c>
      <c r="AZ111" s="1040">
        <f t="shared" si="241"/>
        <v>0</v>
      </c>
      <c r="BA111" s="1038">
        <v>0</v>
      </c>
      <c r="BB111" s="1039">
        <v>0</v>
      </c>
      <c r="BC111" s="1040">
        <f t="shared" si="242"/>
        <v>0</v>
      </c>
      <c r="BD111" s="1042">
        <f t="shared" si="243"/>
        <v>547.97894271390601</v>
      </c>
      <c r="BE111" s="1052"/>
      <c r="BF111" s="1053"/>
      <c r="BG111" s="1048">
        <f t="shared" si="204"/>
        <v>0</v>
      </c>
      <c r="BH111" s="1052">
        <v>106.38</v>
      </c>
      <c r="BI111" s="1053"/>
      <c r="BJ111" s="1053"/>
      <c r="BK111" s="1053"/>
      <c r="BL111" s="1048">
        <f t="shared" si="244"/>
        <v>106.38</v>
      </c>
      <c r="BM111" s="1052"/>
      <c r="BN111" s="1053"/>
      <c r="BO111" s="1048">
        <f t="shared" si="245"/>
        <v>0</v>
      </c>
      <c r="BP111" s="1049"/>
      <c r="BQ111" s="1050"/>
      <c r="BR111" s="1050"/>
      <c r="BS111" s="1050"/>
      <c r="BT111" s="1053"/>
      <c r="BU111" s="1048">
        <f t="shared" si="246"/>
        <v>0</v>
      </c>
      <c r="BV111" s="1049"/>
      <c r="BW111" s="1050"/>
      <c r="BX111" s="1050"/>
      <c r="BY111" s="1050"/>
      <c r="BZ111" s="1050"/>
      <c r="CA111" s="1050"/>
      <c r="CB111" s="1053"/>
      <c r="CC111" s="1048">
        <f t="shared" si="247"/>
        <v>0</v>
      </c>
      <c r="CD111" s="1052"/>
      <c r="CE111" s="1053"/>
      <c r="CF111" s="1053"/>
      <c r="CG111" s="1053">
        <v>135.0318</v>
      </c>
      <c r="CH111" s="1048">
        <f t="shared" si="248"/>
        <v>135.0318</v>
      </c>
      <c r="CI111" s="1052">
        <v>155.8408</v>
      </c>
      <c r="CJ111" s="1053"/>
      <c r="CK111" s="1053">
        <v>215.626</v>
      </c>
      <c r="CL111" s="1053"/>
      <c r="CM111" s="1053"/>
      <c r="CN111" s="1053">
        <v>17.545000000000002</v>
      </c>
      <c r="CO111" s="1051">
        <f t="shared" si="249"/>
        <v>389.01180000000005</v>
      </c>
      <c r="CP111" s="1052">
        <v>301.50880000000001</v>
      </c>
      <c r="CQ111" s="1053">
        <v>180.43299999999999</v>
      </c>
      <c r="CR111" s="1048">
        <f t="shared" si="250"/>
        <v>481.9418</v>
      </c>
      <c r="CS111" s="1052"/>
      <c r="CT111" s="1053">
        <v>161.97</v>
      </c>
      <c r="CU111" s="1053"/>
      <c r="CV111" s="1053"/>
      <c r="CW111" s="1048">
        <f t="shared" si="251"/>
        <v>161.97</v>
      </c>
      <c r="CX111" s="1052"/>
      <c r="CY111" s="1048">
        <f t="shared" si="252"/>
        <v>0</v>
      </c>
      <c r="CZ111" s="1103">
        <f t="shared" si="253"/>
        <v>1274.3354000000002</v>
      </c>
      <c r="DA111" s="1104">
        <f t="shared" si="254"/>
        <v>2775.9181747139064</v>
      </c>
      <c r="DI111" s="1042">
        <f t="shared" si="255"/>
        <v>1807.7722000000001</v>
      </c>
    </row>
    <row r="112" spans="1:113" s="1055" customFormat="1">
      <c r="A112" s="955" t="s">
        <v>346</v>
      </c>
      <c r="B112" s="1102" t="s">
        <v>1404</v>
      </c>
      <c r="C112" s="1030" t="s">
        <v>111</v>
      </c>
      <c r="D112" s="1035"/>
      <c r="E112" s="1032">
        <f t="shared" si="191"/>
        <v>0</v>
      </c>
      <c r="F112" s="1035">
        <v>0</v>
      </c>
      <c r="G112" s="1036">
        <v>0</v>
      </c>
      <c r="H112" s="1032">
        <f t="shared" si="226"/>
        <v>0</v>
      </c>
      <c r="I112" s="1035">
        <v>299.48</v>
      </c>
      <c r="J112" s="1032">
        <f t="shared" si="227"/>
        <v>299.48</v>
      </c>
      <c r="K112" s="1035">
        <v>0</v>
      </c>
      <c r="L112" s="1074">
        <v>0</v>
      </c>
      <c r="M112" s="1032">
        <f t="shared" si="228"/>
        <v>0</v>
      </c>
      <c r="N112" s="1035">
        <v>387.84454158104745</v>
      </c>
      <c r="O112" s="1036">
        <v>0</v>
      </c>
      <c r="P112" s="1032">
        <f t="shared" si="229"/>
        <v>387.84454158104745</v>
      </c>
      <c r="Q112" s="1035">
        <v>0</v>
      </c>
      <c r="R112" s="1036">
        <v>0</v>
      </c>
      <c r="S112" s="1032">
        <f t="shared" si="230"/>
        <v>0</v>
      </c>
      <c r="T112" s="1035">
        <v>0</v>
      </c>
      <c r="U112" s="1036">
        <v>198.34999999999997</v>
      </c>
      <c r="V112" s="1032">
        <f t="shared" si="231"/>
        <v>198.34999999999997</v>
      </c>
      <c r="W112" s="1037">
        <f t="shared" si="232"/>
        <v>885.67454158104738</v>
      </c>
      <c r="X112" s="1038">
        <v>0</v>
      </c>
      <c r="Y112" s="1039">
        <v>0</v>
      </c>
      <c r="Z112" s="1408">
        <v>0</v>
      </c>
      <c r="AA112" s="1040">
        <f t="shared" si="233"/>
        <v>0</v>
      </c>
      <c r="AB112" s="1038">
        <v>0</v>
      </c>
      <c r="AC112" s="1039">
        <v>0</v>
      </c>
      <c r="AD112" s="1040">
        <f t="shared" si="234"/>
        <v>0</v>
      </c>
      <c r="AE112" s="1038">
        <v>90.172240000000002</v>
      </c>
      <c r="AF112" s="1040">
        <f t="shared" si="235"/>
        <v>90.172240000000002</v>
      </c>
      <c r="AG112" s="1038">
        <v>0</v>
      </c>
      <c r="AH112" s="1040">
        <f t="shared" si="236"/>
        <v>0</v>
      </c>
      <c r="AI112" s="1038">
        <v>48.67</v>
      </c>
      <c r="AJ112" s="1039">
        <v>0</v>
      </c>
      <c r="AK112" s="1039">
        <v>0</v>
      </c>
      <c r="AL112" s="1039">
        <v>189.35999999999999</v>
      </c>
      <c r="AM112" s="1041">
        <v>0</v>
      </c>
      <c r="AN112" s="1041">
        <v>1.87</v>
      </c>
      <c r="AO112" s="1040">
        <f t="shared" si="258"/>
        <v>50.54</v>
      </c>
      <c r="AP112" s="1038">
        <v>0</v>
      </c>
      <c r="AQ112" s="1040">
        <f t="shared" si="238"/>
        <v>0</v>
      </c>
      <c r="AR112" s="1038">
        <v>0</v>
      </c>
      <c r="AS112" s="1039">
        <v>0</v>
      </c>
      <c r="AT112" s="1408">
        <v>0</v>
      </c>
      <c r="AU112" s="1040">
        <f t="shared" si="239"/>
        <v>0</v>
      </c>
      <c r="AV112" s="1038">
        <v>0</v>
      </c>
      <c r="AW112" s="1039">
        <v>0</v>
      </c>
      <c r="AX112" s="1040">
        <f t="shared" si="240"/>
        <v>0</v>
      </c>
      <c r="AY112" s="1038">
        <v>0</v>
      </c>
      <c r="AZ112" s="1040">
        <f t="shared" si="241"/>
        <v>0</v>
      </c>
      <c r="BA112" s="1038">
        <v>0</v>
      </c>
      <c r="BB112" s="1039">
        <v>0</v>
      </c>
      <c r="BC112" s="1040">
        <f t="shared" si="242"/>
        <v>0</v>
      </c>
      <c r="BD112" s="1042">
        <f t="shared" si="243"/>
        <v>140.71224000000001</v>
      </c>
      <c r="BE112" s="1052"/>
      <c r="BF112" s="1053"/>
      <c r="BG112" s="1048">
        <f t="shared" si="204"/>
        <v>0</v>
      </c>
      <c r="BH112" s="1052"/>
      <c r="BI112" s="1053"/>
      <c r="BJ112" s="1053"/>
      <c r="BK112" s="1053"/>
      <c r="BL112" s="1048">
        <f t="shared" si="244"/>
        <v>0</v>
      </c>
      <c r="BM112" s="1052"/>
      <c r="BN112" s="1053"/>
      <c r="BO112" s="1048">
        <f t="shared" si="245"/>
        <v>0</v>
      </c>
      <c r="BP112" s="1049"/>
      <c r="BQ112" s="1050"/>
      <c r="BR112" s="1050"/>
      <c r="BS112" s="1050"/>
      <c r="BT112" s="1053">
        <v>1.44</v>
      </c>
      <c r="BU112" s="1048">
        <f t="shared" si="246"/>
        <v>1.44</v>
      </c>
      <c r="BV112" s="1049"/>
      <c r="BW112" s="1050"/>
      <c r="BX112" s="1050"/>
      <c r="BY112" s="1050"/>
      <c r="BZ112" s="1050"/>
      <c r="CA112" s="1050"/>
      <c r="CB112" s="1053"/>
      <c r="CC112" s="1048">
        <f t="shared" si="247"/>
        <v>0</v>
      </c>
      <c r="CD112" s="1052"/>
      <c r="CE112" s="1053"/>
      <c r="CF112" s="1053"/>
      <c r="CG112" s="1053">
        <v>9.375</v>
      </c>
      <c r="CH112" s="1048">
        <f t="shared" si="248"/>
        <v>9.375</v>
      </c>
      <c r="CI112" s="1052">
        <v>30</v>
      </c>
      <c r="CJ112" s="1053"/>
      <c r="CK112" s="1053">
        <v>46.08</v>
      </c>
      <c r="CL112" s="1053"/>
      <c r="CM112" s="1053"/>
      <c r="CN112" s="1053"/>
      <c r="CO112" s="1051">
        <f t="shared" si="249"/>
        <v>76.08</v>
      </c>
      <c r="CP112" s="1052">
        <v>30</v>
      </c>
      <c r="CQ112" s="1053">
        <v>14.4</v>
      </c>
      <c r="CR112" s="1048">
        <f t="shared" si="250"/>
        <v>44.4</v>
      </c>
      <c r="CS112" s="1052"/>
      <c r="CT112" s="1053">
        <v>54.67</v>
      </c>
      <c r="CU112" s="1053"/>
      <c r="CV112" s="1053"/>
      <c r="CW112" s="1048">
        <f t="shared" si="251"/>
        <v>54.67</v>
      </c>
      <c r="CX112" s="1052"/>
      <c r="CY112" s="1048">
        <f t="shared" si="252"/>
        <v>0</v>
      </c>
      <c r="CZ112" s="1103">
        <f t="shared" si="253"/>
        <v>185.96499999999997</v>
      </c>
      <c r="DA112" s="1104">
        <f t="shared" si="254"/>
        <v>1212.3517815810474</v>
      </c>
      <c r="DI112" s="1042">
        <f t="shared" si="255"/>
        <v>0</v>
      </c>
    </row>
    <row r="113" spans="1:113" s="1055" customFormat="1">
      <c r="A113" s="955" t="s">
        <v>110</v>
      </c>
      <c r="B113" s="1102" t="s">
        <v>1370</v>
      </c>
      <c r="C113" s="1030" t="s">
        <v>79</v>
      </c>
      <c r="D113" s="1035"/>
      <c r="E113" s="1032">
        <f t="shared" si="191"/>
        <v>0</v>
      </c>
      <c r="F113" s="1035">
        <v>0</v>
      </c>
      <c r="G113" s="1036">
        <v>0</v>
      </c>
      <c r="H113" s="1032">
        <f t="shared" si="226"/>
        <v>0</v>
      </c>
      <c r="I113" s="1035">
        <v>69269.963563434911</v>
      </c>
      <c r="J113" s="1032">
        <f t="shared" si="227"/>
        <v>69269.963563434911</v>
      </c>
      <c r="K113" s="1035">
        <v>0</v>
      </c>
      <c r="L113" s="1074">
        <v>0</v>
      </c>
      <c r="M113" s="1032">
        <f t="shared" si="228"/>
        <v>0</v>
      </c>
      <c r="N113" s="1035">
        <v>46653.837400000004</v>
      </c>
      <c r="O113" s="1036">
        <v>0</v>
      </c>
      <c r="P113" s="1032">
        <f t="shared" si="229"/>
        <v>46653.837400000004</v>
      </c>
      <c r="Q113" s="1035">
        <v>0</v>
      </c>
      <c r="R113" s="1036">
        <v>0</v>
      </c>
      <c r="S113" s="1032">
        <f t="shared" si="230"/>
        <v>0</v>
      </c>
      <c r="T113" s="1035">
        <v>0</v>
      </c>
      <c r="U113" s="1036">
        <v>161135.26169999992</v>
      </c>
      <c r="V113" s="1032">
        <f t="shared" si="231"/>
        <v>161135.26169999992</v>
      </c>
      <c r="W113" s="1037">
        <f t="shared" si="232"/>
        <v>277059.06266343483</v>
      </c>
      <c r="X113" s="1038">
        <v>0</v>
      </c>
      <c r="Y113" s="1039">
        <v>0</v>
      </c>
      <c r="Z113" s="1408">
        <v>0</v>
      </c>
      <c r="AA113" s="1040">
        <f t="shared" si="233"/>
        <v>0</v>
      </c>
      <c r="AB113" s="1038">
        <v>0</v>
      </c>
      <c r="AC113" s="1039">
        <v>0</v>
      </c>
      <c r="AD113" s="1040">
        <f t="shared" si="234"/>
        <v>0</v>
      </c>
      <c r="AE113" s="1038">
        <v>51540.69225</v>
      </c>
      <c r="AF113" s="1040">
        <f t="shared" si="235"/>
        <v>51540.69225</v>
      </c>
      <c r="AG113" s="1038">
        <v>0</v>
      </c>
      <c r="AH113" s="1040">
        <f t="shared" si="236"/>
        <v>0</v>
      </c>
      <c r="AI113" s="1038">
        <v>21451.887499999997</v>
      </c>
      <c r="AJ113" s="1039">
        <v>0</v>
      </c>
      <c r="AK113" s="1039">
        <v>0</v>
      </c>
      <c r="AL113" s="1039">
        <v>74799.356249999997</v>
      </c>
      <c r="AM113" s="1041">
        <v>4519.9000000000005</v>
      </c>
      <c r="AN113" s="1041">
        <v>2527.9920000000002</v>
      </c>
      <c r="AO113" s="1040">
        <f t="shared" si="258"/>
        <v>28499.779499999997</v>
      </c>
      <c r="AP113" s="1038">
        <v>0</v>
      </c>
      <c r="AQ113" s="1040">
        <f t="shared" si="238"/>
        <v>0</v>
      </c>
      <c r="AR113" s="1038">
        <v>0</v>
      </c>
      <c r="AS113" s="1039">
        <v>0</v>
      </c>
      <c r="AT113" s="1408">
        <v>0</v>
      </c>
      <c r="AU113" s="1040">
        <f t="shared" si="239"/>
        <v>0</v>
      </c>
      <c r="AV113" s="1038">
        <v>0</v>
      </c>
      <c r="AW113" s="1039">
        <v>0</v>
      </c>
      <c r="AX113" s="1040">
        <f t="shared" si="240"/>
        <v>0</v>
      </c>
      <c r="AY113" s="1038">
        <v>0</v>
      </c>
      <c r="AZ113" s="1040">
        <f t="shared" si="241"/>
        <v>0</v>
      </c>
      <c r="BA113" s="1038">
        <v>0</v>
      </c>
      <c r="BB113" s="1039">
        <v>0</v>
      </c>
      <c r="BC113" s="1040">
        <f t="shared" si="242"/>
        <v>0</v>
      </c>
      <c r="BD113" s="1042">
        <f t="shared" si="243"/>
        <v>80040.471749999997</v>
      </c>
      <c r="BE113" s="1052"/>
      <c r="BF113" s="1053"/>
      <c r="BG113" s="1048">
        <f t="shared" si="204"/>
        <v>0</v>
      </c>
      <c r="BH113" s="1052">
        <v>17697.07</v>
      </c>
      <c r="BI113" s="1053"/>
      <c r="BJ113" s="1053"/>
      <c r="BK113" s="1053"/>
      <c r="BL113" s="1048">
        <f t="shared" si="244"/>
        <v>17697.07</v>
      </c>
      <c r="BM113" s="1052"/>
      <c r="BN113" s="1053"/>
      <c r="BO113" s="1048">
        <f t="shared" si="245"/>
        <v>0</v>
      </c>
      <c r="BP113" s="1049"/>
      <c r="BQ113" s="1050"/>
      <c r="BR113" s="1050"/>
      <c r="BS113" s="1050"/>
      <c r="BT113" s="1053">
        <v>269</v>
      </c>
      <c r="BU113" s="1048">
        <f t="shared" si="246"/>
        <v>269</v>
      </c>
      <c r="BV113" s="1049"/>
      <c r="BW113" s="1050"/>
      <c r="BX113" s="1050"/>
      <c r="BY113" s="1050"/>
      <c r="BZ113" s="1050"/>
      <c r="CA113" s="1050"/>
      <c r="CB113" s="1053"/>
      <c r="CC113" s="1048">
        <f t="shared" si="247"/>
        <v>0</v>
      </c>
      <c r="CD113" s="1052"/>
      <c r="CE113" s="1053"/>
      <c r="CF113" s="1053"/>
      <c r="CG113" s="1053">
        <v>43988.683299999997</v>
      </c>
      <c r="CH113" s="1048">
        <f t="shared" si="248"/>
        <v>43988.683299999997</v>
      </c>
      <c r="CI113" s="1052">
        <v>68291.274000000005</v>
      </c>
      <c r="CJ113" s="1053"/>
      <c r="CK113" s="1053">
        <v>55093.2045</v>
      </c>
      <c r="CL113" s="1053"/>
      <c r="CM113" s="1053"/>
      <c r="CN113" s="1053">
        <v>2544.5300000000002</v>
      </c>
      <c r="CO113" s="1051">
        <f t="shared" si="249"/>
        <v>125929.0085</v>
      </c>
      <c r="CP113" s="1052">
        <v>37117.68</v>
      </c>
      <c r="CQ113" s="1053">
        <v>22189.42</v>
      </c>
      <c r="CR113" s="1048">
        <f t="shared" si="250"/>
        <v>59307.1</v>
      </c>
      <c r="CS113" s="1052"/>
      <c r="CT113" s="1053">
        <v>19472.39</v>
      </c>
      <c r="CU113" s="1053"/>
      <c r="CV113" s="1053"/>
      <c r="CW113" s="1048">
        <f t="shared" si="251"/>
        <v>19472.39</v>
      </c>
      <c r="CX113" s="1052"/>
      <c r="CY113" s="1048">
        <f t="shared" si="252"/>
        <v>0</v>
      </c>
      <c r="CZ113" s="1103">
        <f t="shared" si="253"/>
        <v>266663.25179999997</v>
      </c>
      <c r="DA113" s="1104">
        <f t="shared" si="254"/>
        <v>623762.78621343477</v>
      </c>
      <c r="DI113" s="1042">
        <f t="shared" si="255"/>
        <v>409520.12029999995</v>
      </c>
    </row>
    <row r="114" spans="1:113" s="1055" customFormat="1">
      <c r="A114" s="955" t="s">
        <v>359</v>
      </c>
      <c r="B114" s="1102" t="s">
        <v>1405</v>
      </c>
      <c r="C114" s="1030" t="s">
        <v>1406</v>
      </c>
      <c r="D114" s="1035"/>
      <c r="E114" s="1032">
        <f t="shared" si="191"/>
        <v>0</v>
      </c>
      <c r="F114" s="1035">
        <v>0</v>
      </c>
      <c r="G114" s="1036">
        <v>0</v>
      </c>
      <c r="H114" s="1032">
        <f t="shared" si="226"/>
        <v>0</v>
      </c>
      <c r="I114" s="1035">
        <v>171346.11439999999</v>
      </c>
      <c r="J114" s="1032">
        <f t="shared" si="227"/>
        <v>171346.11439999999</v>
      </c>
      <c r="K114" s="1035">
        <v>0</v>
      </c>
      <c r="L114" s="1074">
        <v>0</v>
      </c>
      <c r="M114" s="1032">
        <f t="shared" si="228"/>
        <v>0</v>
      </c>
      <c r="N114" s="1035">
        <v>117588.7972</v>
      </c>
      <c r="O114" s="1036">
        <v>0</v>
      </c>
      <c r="P114" s="1032">
        <f t="shared" si="229"/>
        <v>117588.7972</v>
      </c>
      <c r="Q114" s="1035">
        <v>0</v>
      </c>
      <c r="R114" s="1036">
        <v>0</v>
      </c>
      <c r="S114" s="1032">
        <f t="shared" si="230"/>
        <v>0</v>
      </c>
      <c r="T114" s="1035">
        <v>0</v>
      </c>
      <c r="U114" s="1036">
        <v>160133.31200000001</v>
      </c>
      <c r="V114" s="1032">
        <f t="shared" si="231"/>
        <v>160133.31200000001</v>
      </c>
      <c r="W114" s="1037">
        <f t="shared" si="232"/>
        <v>449068.22360000003</v>
      </c>
      <c r="X114" s="1038">
        <v>0</v>
      </c>
      <c r="Y114" s="1039">
        <v>0</v>
      </c>
      <c r="Z114" s="1408">
        <v>0</v>
      </c>
      <c r="AA114" s="1040">
        <f t="shared" si="233"/>
        <v>0</v>
      </c>
      <c r="AB114" s="1038">
        <v>0</v>
      </c>
      <c r="AC114" s="1039">
        <v>0</v>
      </c>
      <c r="AD114" s="1040">
        <f t="shared" si="234"/>
        <v>0</v>
      </c>
      <c r="AE114" s="1038">
        <v>29515.360000000001</v>
      </c>
      <c r="AF114" s="1040">
        <f t="shared" si="235"/>
        <v>29515.360000000001</v>
      </c>
      <c r="AG114" s="1038">
        <v>0</v>
      </c>
      <c r="AH114" s="1040">
        <f t="shared" si="236"/>
        <v>0</v>
      </c>
      <c r="AI114" s="1038">
        <v>0</v>
      </c>
      <c r="AJ114" s="1039">
        <v>0</v>
      </c>
      <c r="AK114" s="1039">
        <v>0</v>
      </c>
      <c r="AL114" s="1039">
        <v>107756.47959999999</v>
      </c>
      <c r="AM114" s="1041">
        <v>0</v>
      </c>
      <c r="AN114" s="1041">
        <v>0</v>
      </c>
      <c r="AO114" s="1040">
        <f t="shared" si="258"/>
        <v>0</v>
      </c>
      <c r="AP114" s="1038">
        <v>0</v>
      </c>
      <c r="AQ114" s="1040">
        <f t="shared" si="238"/>
        <v>0</v>
      </c>
      <c r="AR114" s="1038">
        <v>0</v>
      </c>
      <c r="AS114" s="1039">
        <v>0</v>
      </c>
      <c r="AT114" s="1408">
        <v>0</v>
      </c>
      <c r="AU114" s="1040">
        <f t="shared" si="239"/>
        <v>0</v>
      </c>
      <c r="AV114" s="1038">
        <v>0</v>
      </c>
      <c r="AW114" s="1039">
        <v>0</v>
      </c>
      <c r="AX114" s="1040">
        <f t="shared" si="240"/>
        <v>0</v>
      </c>
      <c r="AY114" s="1038">
        <v>0</v>
      </c>
      <c r="AZ114" s="1040">
        <f t="shared" si="241"/>
        <v>0</v>
      </c>
      <c r="BA114" s="1038">
        <v>0</v>
      </c>
      <c r="BB114" s="1039">
        <v>0</v>
      </c>
      <c r="BC114" s="1040">
        <f t="shared" si="242"/>
        <v>0</v>
      </c>
      <c r="BD114" s="1042">
        <f t="shared" si="243"/>
        <v>29515.360000000001</v>
      </c>
      <c r="BE114" s="1052"/>
      <c r="BF114" s="1053"/>
      <c r="BG114" s="1048">
        <f t="shared" si="204"/>
        <v>0</v>
      </c>
      <c r="BH114" s="1052"/>
      <c r="BI114" s="1053"/>
      <c r="BJ114" s="1053"/>
      <c r="BK114" s="1053"/>
      <c r="BL114" s="1048">
        <f t="shared" si="244"/>
        <v>0</v>
      </c>
      <c r="BM114" s="1052"/>
      <c r="BN114" s="1053"/>
      <c r="BO114" s="1048">
        <f t="shared" si="245"/>
        <v>0</v>
      </c>
      <c r="BP114" s="1049"/>
      <c r="BQ114" s="1050"/>
      <c r="BR114" s="1050"/>
      <c r="BS114" s="1050"/>
      <c r="BT114" s="1053"/>
      <c r="BU114" s="1048">
        <f t="shared" si="246"/>
        <v>0</v>
      </c>
      <c r="BV114" s="1049"/>
      <c r="BW114" s="1050"/>
      <c r="BX114" s="1050"/>
      <c r="BY114" s="1050"/>
      <c r="BZ114" s="1050"/>
      <c r="CA114" s="1050"/>
      <c r="CB114" s="1053"/>
      <c r="CC114" s="1048">
        <f t="shared" si="247"/>
        <v>0</v>
      </c>
      <c r="CD114" s="1052"/>
      <c r="CE114" s="1053"/>
      <c r="CF114" s="1053"/>
      <c r="CG114" s="1053"/>
      <c r="CH114" s="1048">
        <f t="shared" si="248"/>
        <v>0</v>
      </c>
      <c r="CI114" s="1052"/>
      <c r="CJ114" s="1053"/>
      <c r="CK114" s="1053"/>
      <c r="CL114" s="1053"/>
      <c r="CM114" s="1053"/>
      <c r="CN114" s="1053"/>
      <c r="CO114" s="1051">
        <f t="shared" si="249"/>
        <v>0</v>
      </c>
      <c r="CP114" s="1052"/>
      <c r="CQ114" s="1053"/>
      <c r="CR114" s="1048">
        <f t="shared" si="250"/>
        <v>0</v>
      </c>
      <c r="CS114" s="1052"/>
      <c r="CT114" s="1053"/>
      <c r="CU114" s="1053"/>
      <c r="CV114" s="1053"/>
      <c r="CW114" s="1048">
        <f t="shared" si="251"/>
        <v>0</v>
      </c>
      <c r="CX114" s="1052"/>
      <c r="CY114" s="1048">
        <f t="shared" si="252"/>
        <v>0</v>
      </c>
      <c r="CZ114" s="1103">
        <f t="shared" si="253"/>
        <v>0</v>
      </c>
      <c r="DA114" s="1104">
        <f t="shared" si="254"/>
        <v>478583.58360000001</v>
      </c>
      <c r="DI114" s="1042">
        <f t="shared" si="255"/>
        <v>0</v>
      </c>
    </row>
    <row r="115" spans="1:113" s="1055" customFormat="1">
      <c r="A115" s="955" t="s">
        <v>941</v>
      </c>
      <c r="B115" s="1102" t="s">
        <v>1407</v>
      </c>
      <c r="C115" s="1030" t="s">
        <v>38</v>
      </c>
      <c r="D115" s="1035"/>
      <c r="E115" s="1032">
        <f t="shared" si="191"/>
        <v>0</v>
      </c>
      <c r="F115" s="1035">
        <v>0</v>
      </c>
      <c r="G115" s="1036">
        <v>0</v>
      </c>
      <c r="H115" s="1032">
        <f t="shared" si="226"/>
        <v>0</v>
      </c>
      <c r="I115" s="1035">
        <v>16</v>
      </c>
      <c r="J115" s="1032">
        <f t="shared" si="227"/>
        <v>16</v>
      </c>
      <c r="K115" s="1035">
        <v>0</v>
      </c>
      <c r="L115" s="1074">
        <v>0</v>
      </c>
      <c r="M115" s="1032">
        <f t="shared" si="228"/>
        <v>0</v>
      </c>
      <c r="N115" s="1035">
        <v>0</v>
      </c>
      <c r="O115" s="1036">
        <v>0</v>
      </c>
      <c r="P115" s="1032">
        <f t="shared" si="229"/>
        <v>0</v>
      </c>
      <c r="Q115" s="1035">
        <v>0</v>
      </c>
      <c r="R115" s="1036">
        <v>0</v>
      </c>
      <c r="S115" s="1032">
        <f t="shared" si="230"/>
        <v>0</v>
      </c>
      <c r="T115" s="1035">
        <v>0</v>
      </c>
      <c r="U115" s="1036">
        <v>224</v>
      </c>
      <c r="V115" s="1032">
        <f t="shared" si="231"/>
        <v>224</v>
      </c>
      <c r="W115" s="1037">
        <f t="shared" si="232"/>
        <v>240</v>
      </c>
      <c r="X115" s="1038">
        <v>0</v>
      </c>
      <c r="Y115" s="1039">
        <v>0</v>
      </c>
      <c r="Z115" s="1408">
        <v>0</v>
      </c>
      <c r="AA115" s="1040">
        <f t="shared" si="233"/>
        <v>0</v>
      </c>
      <c r="AB115" s="1038">
        <v>0</v>
      </c>
      <c r="AC115" s="1039">
        <v>0</v>
      </c>
      <c r="AD115" s="1040">
        <f t="shared" si="234"/>
        <v>0</v>
      </c>
      <c r="AE115" s="1038">
        <v>12</v>
      </c>
      <c r="AF115" s="1040">
        <f t="shared" si="235"/>
        <v>12</v>
      </c>
      <c r="AG115" s="1038">
        <v>0</v>
      </c>
      <c r="AH115" s="1040">
        <f t="shared" si="236"/>
        <v>0</v>
      </c>
      <c r="AI115" s="1038">
        <v>12</v>
      </c>
      <c r="AJ115" s="1039">
        <v>0</v>
      </c>
      <c r="AK115" s="1039">
        <v>0</v>
      </c>
      <c r="AL115" s="1039">
        <v>12</v>
      </c>
      <c r="AM115" s="1041">
        <v>0</v>
      </c>
      <c r="AN115" s="1041">
        <v>0</v>
      </c>
      <c r="AO115" s="1040">
        <f t="shared" si="258"/>
        <v>12</v>
      </c>
      <c r="AP115" s="1038">
        <v>0</v>
      </c>
      <c r="AQ115" s="1040">
        <f t="shared" si="238"/>
        <v>0</v>
      </c>
      <c r="AR115" s="1038">
        <v>0</v>
      </c>
      <c r="AS115" s="1039">
        <v>0</v>
      </c>
      <c r="AT115" s="1408">
        <v>0</v>
      </c>
      <c r="AU115" s="1040">
        <f t="shared" si="239"/>
        <v>0</v>
      </c>
      <c r="AV115" s="1038">
        <v>0</v>
      </c>
      <c r="AW115" s="1039">
        <v>0</v>
      </c>
      <c r="AX115" s="1040">
        <f t="shared" si="240"/>
        <v>0</v>
      </c>
      <c r="AY115" s="1038">
        <v>0</v>
      </c>
      <c r="AZ115" s="1040">
        <f t="shared" si="241"/>
        <v>0</v>
      </c>
      <c r="BA115" s="1038">
        <v>0</v>
      </c>
      <c r="BB115" s="1039">
        <v>0</v>
      </c>
      <c r="BC115" s="1040">
        <f t="shared" si="242"/>
        <v>0</v>
      </c>
      <c r="BD115" s="1042">
        <f t="shared" si="243"/>
        <v>24</v>
      </c>
      <c r="BE115" s="1052"/>
      <c r="BF115" s="1053"/>
      <c r="BG115" s="1048">
        <f t="shared" si="204"/>
        <v>0</v>
      </c>
      <c r="BH115" s="1052"/>
      <c r="BI115" s="1053"/>
      <c r="BJ115" s="1053"/>
      <c r="BK115" s="1053"/>
      <c r="BL115" s="1048">
        <f t="shared" si="244"/>
        <v>0</v>
      </c>
      <c r="BM115" s="1052"/>
      <c r="BN115" s="1053"/>
      <c r="BO115" s="1048">
        <f t="shared" si="245"/>
        <v>0</v>
      </c>
      <c r="BP115" s="1049"/>
      <c r="BQ115" s="1050"/>
      <c r="BR115" s="1050"/>
      <c r="BS115" s="1050"/>
      <c r="BT115" s="1053"/>
      <c r="BU115" s="1048">
        <f t="shared" si="246"/>
        <v>0</v>
      </c>
      <c r="BV115" s="1049"/>
      <c r="BW115" s="1050"/>
      <c r="BX115" s="1050"/>
      <c r="BY115" s="1050"/>
      <c r="BZ115" s="1050"/>
      <c r="CA115" s="1050"/>
      <c r="CB115" s="1053"/>
      <c r="CC115" s="1048">
        <f t="shared" si="247"/>
        <v>0</v>
      </c>
      <c r="CD115" s="1052"/>
      <c r="CE115" s="1053"/>
      <c r="CF115" s="1053"/>
      <c r="CG115" s="1053"/>
      <c r="CH115" s="1048">
        <f t="shared" si="248"/>
        <v>0</v>
      </c>
      <c r="CI115" s="1052"/>
      <c r="CJ115" s="1053"/>
      <c r="CK115" s="1053"/>
      <c r="CL115" s="1053"/>
      <c r="CM115" s="1053"/>
      <c r="CN115" s="1053"/>
      <c r="CO115" s="1051">
        <f t="shared" si="249"/>
        <v>0</v>
      </c>
      <c r="CP115" s="1052"/>
      <c r="CQ115" s="1053"/>
      <c r="CR115" s="1048">
        <f t="shared" si="250"/>
        <v>0</v>
      </c>
      <c r="CS115" s="1052"/>
      <c r="CT115" s="1053"/>
      <c r="CU115" s="1053"/>
      <c r="CV115" s="1053"/>
      <c r="CW115" s="1048">
        <f t="shared" si="251"/>
        <v>0</v>
      </c>
      <c r="CX115" s="1052"/>
      <c r="CY115" s="1048">
        <f t="shared" si="252"/>
        <v>0</v>
      </c>
      <c r="CZ115" s="1103">
        <f t="shared" si="253"/>
        <v>0</v>
      </c>
      <c r="DA115" s="1104">
        <f t="shared" si="254"/>
        <v>264</v>
      </c>
      <c r="DI115" s="1042">
        <f t="shared" si="255"/>
        <v>0</v>
      </c>
    </row>
    <row r="116" spans="1:113" s="1055" customFormat="1">
      <c r="A116" s="955" t="s">
        <v>1408</v>
      </c>
      <c r="B116" s="1102" t="s">
        <v>1409</v>
      </c>
      <c r="C116" s="1030" t="s">
        <v>81</v>
      </c>
      <c r="D116" s="1035"/>
      <c r="E116" s="1032">
        <f t="shared" si="191"/>
        <v>0</v>
      </c>
      <c r="F116" s="1035">
        <v>0</v>
      </c>
      <c r="G116" s="1036">
        <v>0</v>
      </c>
      <c r="H116" s="1032">
        <f t="shared" si="226"/>
        <v>0</v>
      </c>
      <c r="I116" s="1035">
        <v>0</v>
      </c>
      <c r="J116" s="1032">
        <f t="shared" si="227"/>
        <v>0</v>
      </c>
      <c r="K116" s="1035">
        <v>0</v>
      </c>
      <c r="L116" s="1074">
        <v>0</v>
      </c>
      <c r="M116" s="1032">
        <f t="shared" si="228"/>
        <v>0</v>
      </c>
      <c r="N116" s="1035">
        <v>0</v>
      </c>
      <c r="O116" s="1036">
        <v>0</v>
      </c>
      <c r="P116" s="1032">
        <f t="shared" si="229"/>
        <v>0</v>
      </c>
      <c r="Q116" s="1035">
        <v>0</v>
      </c>
      <c r="R116" s="1036">
        <v>0</v>
      </c>
      <c r="S116" s="1032">
        <f t="shared" si="230"/>
        <v>0</v>
      </c>
      <c r="T116" s="1035">
        <v>0</v>
      </c>
      <c r="U116" s="1036">
        <v>23.2</v>
      </c>
      <c r="V116" s="1032">
        <f t="shared" si="231"/>
        <v>23.2</v>
      </c>
      <c r="W116" s="1037">
        <f t="shared" si="232"/>
        <v>23.2</v>
      </c>
      <c r="X116" s="1038">
        <v>0</v>
      </c>
      <c r="Y116" s="1039">
        <v>0</v>
      </c>
      <c r="Z116" s="1408">
        <v>0</v>
      </c>
      <c r="AA116" s="1040">
        <f t="shared" si="233"/>
        <v>0</v>
      </c>
      <c r="AB116" s="1038">
        <v>0</v>
      </c>
      <c r="AC116" s="1039">
        <v>0</v>
      </c>
      <c r="AD116" s="1040">
        <f t="shared" si="234"/>
        <v>0</v>
      </c>
      <c r="AE116" s="1038">
        <v>21.6</v>
      </c>
      <c r="AF116" s="1040">
        <f t="shared" si="235"/>
        <v>21.6</v>
      </c>
      <c r="AG116" s="1038">
        <v>0</v>
      </c>
      <c r="AH116" s="1040">
        <f t="shared" si="236"/>
        <v>0</v>
      </c>
      <c r="AI116" s="1038">
        <v>23.6</v>
      </c>
      <c r="AJ116" s="1039">
        <v>0</v>
      </c>
      <c r="AK116" s="1039">
        <v>0</v>
      </c>
      <c r="AL116" s="1039">
        <v>22.7</v>
      </c>
      <c r="AM116" s="1041">
        <v>0</v>
      </c>
      <c r="AN116" s="1041">
        <v>0</v>
      </c>
      <c r="AO116" s="1040">
        <f t="shared" si="258"/>
        <v>23.6</v>
      </c>
      <c r="AP116" s="1038">
        <v>0</v>
      </c>
      <c r="AQ116" s="1040">
        <f t="shared" si="238"/>
        <v>0</v>
      </c>
      <c r="AR116" s="1038">
        <v>0</v>
      </c>
      <c r="AS116" s="1039">
        <v>0</v>
      </c>
      <c r="AT116" s="1408">
        <v>0</v>
      </c>
      <c r="AU116" s="1040">
        <f t="shared" si="239"/>
        <v>0</v>
      </c>
      <c r="AV116" s="1038">
        <v>0</v>
      </c>
      <c r="AW116" s="1039">
        <v>0</v>
      </c>
      <c r="AX116" s="1040">
        <f t="shared" si="240"/>
        <v>0</v>
      </c>
      <c r="AY116" s="1038">
        <v>0</v>
      </c>
      <c r="AZ116" s="1040">
        <f t="shared" si="241"/>
        <v>0</v>
      </c>
      <c r="BA116" s="1038">
        <v>0</v>
      </c>
      <c r="BB116" s="1039">
        <v>0</v>
      </c>
      <c r="BC116" s="1040">
        <f t="shared" si="242"/>
        <v>0</v>
      </c>
      <c r="BD116" s="1042">
        <f t="shared" si="243"/>
        <v>45.2</v>
      </c>
      <c r="BE116" s="1052"/>
      <c r="BF116" s="1053"/>
      <c r="BG116" s="1048">
        <f t="shared" si="204"/>
        <v>0</v>
      </c>
      <c r="BH116" s="1052"/>
      <c r="BI116" s="1053"/>
      <c r="BJ116" s="1053"/>
      <c r="BK116" s="1053"/>
      <c r="BL116" s="1048">
        <f t="shared" si="244"/>
        <v>0</v>
      </c>
      <c r="BM116" s="1052"/>
      <c r="BN116" s="1053"/>
      <c r="BO116" s="1048">
        <f t="shared" si="245"/>
        <v>0</v>
      </c>
      <c r="BP116" s="1049"/>
      <c r="BQ116" s="1050"/>
      <c r="BR116" s="1050"/>
      <c r="BS116" s="1050"/>
      <c r="BT116" s="1053"/>
      <c r="BU116" s="1048">
        <f t="shared" si="246"/>
        <v>0</v>
      </c>
      <c r="BV116" s="1049"/>
      <c r="BW116" s="1050"/>
      <c r="BX116" s="1050"/>
      <c r="BY116" s="1050"/>
      <c r="BZ116" s="1050"/>
      <c r="CA116" s="1050"/>
      <c r="CB116" s="1053"/>
      <c r="CC116" s="1048">
        <f t="shared" si="247"/>
        <v>0</v>
      </c>
      <c r="CD116" s="1052"/>
      <c r="CE116" s="1053"/>
      <c r="CF116" s="1053"/>
      <c r="CG116" s="1053"/>
      <c r="CH116" s="1048">
        <f t="shared" si="248"/>
        <v>0</v>
      </c>
      <c r="CI116" s="1052"/>
      <c r="CJ116" s="1053"/>
      <c r="CK116" s="1053"/>
      <c r="CL116" s="1053"/>
      <c r="CM116" s="1053"/>
      <c r="CN116" s="1053"/>
      <c r="CO116" s="1051">
        <f t="shared" si="249"/>
        <v>0</v>
      </c>
      <c r="CP116" s="1052"/>
      <c r="CQ116" s="1053"/>
      <c r="CR116" s="1048">
        <f t="shared" si="250"/>
        <v>0</v>
      </c>
      <c r="CS116" s="1052"/>
      <c r="CT116" s="1053"/>
      <c r="CU116" s="1053"/>
      <c r="CV116" s="1053"/>
      <c r="CW116" s="1048">
        <f t="shared" si="251"/>
        <v>0</v>
      </c>
      <c r="CX116" s="1052"/>
      <c r="CY116" s="1048">
        <f t="shared" si="252"/>
        <v>0</v>
      </c>
      <c r="CZ116" s="1103">
        <f t="shared" si="253"/>
        <v>0</v>
      </c>
      <c r="DA116" s="1104">
        <f t="shared" si="254"/>
        <v>68.400000000000006</v>
      </c>
      <c r="DI116" s="1042">
        <f t="shared" si="255"/>
        <v>0</v>
      </c>
    </row>
    <row r="117" spans="1:113" s="1055" customFormat="1">
      <c r="A117" s="955" t="s">
        <v>946</v>
      </c>
      <c r="B117" s="1102" t="s">
        <v>947</v>
      </c>
      <c r="C117" s="1030" t="s">
        <v>829</v>
      </c>
      <c r="D117" s="1035"/>
      <c r="E117" s="1032">
        <f t="shared" si="191"/>
        <v>0</v>
      </c>
      <c r="F117" s="1035">
        <v>0</v>
      </c>
      <c r="G117" s="1036">
        <v>0</v>
      </c>
      <c r="H117" s="1032">
        <f t="shared" si="226"/>
        <v>0</v>
      </c>
      <c r="I117" s="1035">
        <v>0</v>
      </c>
      <c r="J117" s="1032">
        <f t="shared" si="227"/>
        <v>0</v>
      </c>
      <c r="K117" s="1035">
        <v>0</v>
      </c>
      <c r="L117" s="1074">
        <v>0</v>
      </c>
      <c r="M117" s="1032">
        <f t="shared" si="228"/>
        <v>0</v>
      </c>
      <c r="N117" s="1035">
        <v>0</v>
      </c>
      <c r="O117" s="1036">
        <v>0</v>
      </c>
      <c r="P117" s="1032">
        <f t="shared" si="229"/>
        <v>0</v>
      </c>
      <c r="Q117" s="1035">
        <v>0</v>
      </c>
      <c r="R117" s="1036">
        <v>0</v>
      </c>
      <c r="S117" s="1032">
        <f t="shared" si="230"/>
        <v>0</v>
      </c>
      <c r="T117" s="1035">
        <v>0</v>
      </c>
      <c r="U117" s="1036">
        <v>0</v>
      </c>
      <c r="V117" s="1032">
        <f t="shared" si="231"/>
        <v>0</v>
      </c>
      <c r="W117" s="1037">
        <f t="shared" si="232"/>
        <v>0</v>
      </c>
      <c r="X117" s="1038">
        <v>0</v>
      </c>
      <c r="Y117" s="1039">
        <v>0</v>
      </c>
      <c r="Z117" s="1408">
        <v>0</v>
      </c>
      <c r="AA117" s="1040">
        <f t="shared" si="233"/>
        <v>0</v>
      </c>
      <c r="AB117" s="1038">
        <v>0</v>
      </c>
      <c r="AC117" s="1039">
        <v>0</v>
      </c>
      <c r="AD117" s="1040">
        <f t="shared" si="234"/>
        <v>0</v>
      </c>
      <c r="AE117" s="1038">
        <v>0</v>
      </c>
      <c r="AF117" s="1040">
        <f t="shared" si="235"/>
        <v>0</v>
      </c>
      <c r="AG117" s="1038">
        <v>0</v>
      </c>
      <c r="AH117" s="1040">
        <f t="shared" si="236"/>
        <v>0</v>
      </c>
      <c r="AI117" s="1038">
        <v>0</v>
      </c>
      <c r="AJ117" s="1039">
        <v>0</v>
      </c>
      <c r="AK117" s="1039">
        <v>0</v>
      </c>
      <c r="AL117" s="1039">
        <v>0</v>
      </c>
      <c r="AM117" s="1041">
        <v>0</v>
      </c>
      <c r="AN117" s="1041">
        <v>0</v>
      </c>
      <c r="AO117" s="1040">
        <f t="shared" si="256"/>
        <v>0</v>
      </c>
      <c r="AP117" s="1038">
        <v>0</v>
      </c>
      <c r="AQ117" s="1040">
        <f t="shared" si="238"/>
        <v>0</v>
      </c>
      <c r="AR117" s="1038">
        <v>0</v>
      </c>
      <c r="AS117" s="1039">
        <v>0</v>
      </c>
      <c r="AT117" s="1408">
        <v>0</v>
      </c>
      <c r="AU117" s="1040">
        <f t="shared" si="239"/>
        <v>0</v>
      </c>
      <c r="AV117" s="1038">
        <v>0</v>
      </c>
      <c r="AW117" s="1039">
        <v>0</v>
      </c>
      <c r="AX117" s="1040">
        <f t="shared" si="240"/>
        <v>0</v>
      </c>
      <c r="AY117" s="1038">
        <v>0</v>
      </c>
      <c r="AZ117" s="1040">
        <f t="shared" si="241"/>
        <v>0</v>
      </c>
      <c r="BA117" s="1038">
        <v>0</v>
      </c>
      <c r="BB117" s="1039">
        <v>0</v>
      </c>
      <c r="BC117" s="1040">
        <f t="shared" si="242"/>
        <v>0</v>
      </c>
      <c r="BD117" s="1042">
        <f t="shared" si="243"/>
        <v>0</v>
      </c>
      <c r="BE117" s="1052"/>
      <c r="BF117" s="1053"/>
      <c r="BG117" s="1048">
        <f t="shared" si="204"/>
        <v>0</v>
      </c>
      <c r="BH117" s="1052"/>
      <c r="BI117" s="1053"/>
      <c r="BJ117" s="1053"/>
      <c r="BK117" s="1053"/>
      <c r="BL117" s="1048">
        <f t="shared" si="244"/>
        <v>0</v>
      </c>
      <c r="BM117" s="1052"/>
      <c r="BN117" s="1053"/>
      <c r="BO117" s="1048">
        <f t="shared" si="245"/>
        <v>0</v>
      </c>
      <c r="BP117" s="1049"/>
      <c r="BQ117" s="1050"/>
      <c r="BR117" s="1050"/>
      <c r="BS117" s="1050"/>
      <c r="BT117" s="1053"/>
      <c r="BU117" s="1048">
        <f t="shared" si="246"/>
        <v>0</v>
      </c>
      <c r="BV117" s="1049"/>
      <c r="BW117" s="1050"/>
      <c r="BX117" s="1050"/>
      <c r="BY117" s="1050"/>
      <c r="BZ117" s="1050"/>
      <c r="CA117" s="1050"/>
      <c r="CB117" s="1053"/>
      <c r="CC117" s="1048">
        <f t="shared" si="247"/>
        <v>0</v>
      </c>
      <c r="CD117" s="1052"/>
      <c r="CE117" s="1053"/>
      <c r="CF117" s="1053"/>
      <c r="CG117" s="1053"/>
      <c r="CH117" s="1048">
        <f t="shared" si="248"/>
        <v>0</v>
      </c>
      <c r="CI117" s="1052"/>
      <c r="CJ117" s="1053"/>
      <c r="CK117" s="1053"/>
      <c r="CL117" s="1053"/>
      <c r="CM117" s="1053"/>
      <c r="CN117" s="1053"/>
      <c r="CO117" s="1051">
        <f t="shared" si="249"/>
        <v>0</v>
      </c>
      <c r="CP117" s="1052"/>
      <c r="CQ117" s="1053"/>
      <c r="CR117" s="1048">
        <f t="shared" si="250"/>
        <v>0</v>
      </c>
      <c r="CS117" s="1052"/>
      <c r="CT117" s="1053"/>
      <c r="CU117" s="1053"/>
      <c r="CV117" s="1053"/>
      <c r="CW117" s="1048">
        <f t="shared" si="251"/>
        <v>0</v>
      </c>
      <c r="CX117" s="1052"/>
      <c r="CY117" s="1048">
        <f t="shared" si="252"/>
        <v>0</v>
      </c>
      <c r="CZ117" s="1103">
        <f t="shared" si="253"/>
        <v>0</v>
      </c>
      <c r="DA117" s="1104">
        <f t="shared" si="254"/>
        <v>0</v>
      </c>
      <c r="DI117" s="1042">
        <f t="shared" si="255"/>
        <v>0</v>
      </c>
    </row>
    <row r="118" spans="1:113" s="1055" customFormat="1" ht="45">
      <c r="A118" s="955" t="s">
        <v>98</v>
      </c>
      <c r="B118" s="1102" t="s">
        <v>1410</v>
      </c>
      <c r="C118" s="1030" t="s">
        <v>111</v>
      </c>
      <c r="D118" s="1035"/>
      <c r="E118" s="1032">
        <f t="shared" si="191"/>
        <v>0</v>
      </c>
      <c r="F118" s="1035">
        <v>0</v>
      </c>
      <c r="G118" s="1036">
        <v>0</v>
      </c>
      <c r="H118" s="1032">
        <f t="shared" si="226"/>
        <v>0</v>
      </c>
      <c r="I118" s="1035">
        <v>0</v>
      </c>
      <c r="J118" s="1032">
        <f t="shared" si="227"/>
        <v>0</v>
      </c>
      <c r="K118" s="1035">
        <v>0</v>
      </c>
      <c r="L118" s="1074">
        <v>0</v>
      </c>
      <c r="M118" s="1032">
        <f t="shared" si="228"/>
        <v>0</v>
      </c>
      <c r="N118" s="1035">
        <v>0</v>
      </c>
      <c r="O118" s="1036">
        <v>0</v>
      </c>
      <c r="P118" s="1032">
        <f t="shared" si="229"/>
        <v>0</v>
      </c>
      <c r="Q118" s="1035">
        <v>0</v>
      </c>
      <c r="R118" s="1036">
        <v>0</v>
      </c>
      <c r="S118" s="1032">
        <f t="shared" si="230"/>
        <v>0</v>
      </c>
      <c r="T118" s="1035">
        <v>0</v>
      </c>
      <c r="U118" s="1036">
        <v>288</v>
      </c>
      <c r="V118" s="1032">
        <f t="shared" si="231"/>
        <v>288</v>
      </c>
      <c r="W118" s="1037">
        <f t="shared" si="232"/>
        <v>288</v>
      </c>
      <c r="X118" s="1038">
        <v>0</v>
      </c>
      <c r="Y118" s="1039">
        <v>0</v>
      </c>
      <c r="Z118" s="1408">
        <v>0</v>
      </c>
      <c r="AA118" s="1040">
        <f t="shared" si="233"/>
        <v>0</v>
      </c>
      <c r="AB118" s="1038">
        <v>0</v>
      </c>
      <c r="AC118" s="1039">
        <v>0</v>
      </c>
      <c r="AD118" s="1040">
        <f t="shared" si="234"/>
        <v>0</v>
      </c>
      <c r="AE118" s="1038">
        <v>0</v>
      </c>
      <c r="AF118" s="1040">
        <f t="shared" si="235"/>
        <v>0</v>
      </c>
      <c r="AG118" s="1038">
        <v>0</v>
      </c>
      <c r="AH118" s="1040">
        <f t="shared" si="236"/>
        <v>0</v>
      </c>
      <c r="AI118" s="1038">
        <v>0</v>
      </c>
      <c r="AJ118" s="1039">
        <v>0</v>
      </c>
      <c r="AK118" s="1039">
        <v>0</v>
      </c>
      <c r="AL118" s="1039">
        <v>0</v>
      </c>
      <c r="AM118" s="1041">
        <v>0</v>
      </c>
      <c r="AN118" s="1041">
        <v>0</v>
      </c>
      <c r="AO118" s="1040">
        <f t="shared" si="256"/>
        <v>0</v>
      </c>
      <c r="AP118" s="1038">
        <v>0</v>
      </c>
      <c r="AQ118" s="1040">
        <f t="shared" si="238"/>
        <v>0</v>
      </c>
      <c r="AR118" s="1038">
        <v>0</v>
      </c>
      <c r="AS118" s="1039">
        <v>0</v>
      </c>
      <c r="AT118" s="1408">
        <v>0</v>
      </c>
      <c r="AU118" s="1040">
        <f t="shared" si="239"/>
        <v>0</v>
      </c>
      <c r="AV118" s="1038">
        <v>0</v>
      </c>
      <c r="AW118" s="1039">
        <v>0</v>
      </c>
      <c r="AX118" s="1040">
        <f t="shared" si="240"/>
        <v>0</v>
      </c>
      <c r="AY118" s="1038">
        <v>0</v>
      </c>
      <c r="AZ118" s="1040">
        <f t="shared" si="241"/>
        <v>0</v>
      </c>
      <c r="BA118" s="1038">
        <v>0</v>
      </c>
      <c r="BB118" s="1039">
        <v>0</v>
      </c>
      <c r="BC118" s="1040">
        <f t="shared" si="242"/>
        <v>0</v>
      </c>
      <c r="BD118" s="1042">
        <f t="shared" si="243"/>
        <v>0</v>
      </c>
      <c r="BE118" s="1052"/>
      <c r="BF118" s="1053"/>
      <c r="BG118" s="1048">
        <f t="shared" si="204"/>
        <v>0</v>
      </c>
      <c r="BH118" s="1052"/>
      <c r="BI118" s="1053"/>
      <c r="BJ118" s="1053"/>
      <c r="BK118" s="1053"/>
      <c r="BL118" s="1048">
        <f t="shared" si="244"/>
        <v>0</v>
      </c>
      <c r="BM118" s="1052"/>
      <c r="BN118" s="1053"/>
      <c r="BO118" s="1048">
        <f t="shared" si="245"/>
        <v>0</v>
      </c>
      <c r="BP118" s="1049"/>
      <c r="BQ118" s="1050"/>
      <c r="BR118" s="1050"/>
      <c r="BS118" s="1050"/>
      <c r="BT118" s="1053"/>
      <c r="BU118" s="1048">
        <f t="shared" si="246"/>
        <v>0</v>
      </c>
      <c r="BV118" s="1049"/>
      <c r="BW118" s="1050"/>
      <c r="BX118" s="1050"/>
      <c r="BY118" s="1050"/>
      <c r="BZ118" s="1050"/>
      <c r="CA118" s="1050"/>
      <c r="CB118" s="1053"/>
      <c r="CC118" s="1048">
        <f t="shared" si="247"/>
        <v>0</v>
      </c>
      <c r="CD118" s="1052"/>
      <c r="CE118" s="1053"/>
      <c r="CF118" s="1053"/>
      <c r="CG118" s="1053"/>
      <c r="CH118" s="1048">
        <f t="shared" si="248"/>
        <v>0</v>
      </c>
      <c r="CI118" s="1052"/>
      <c r="CJ118" s="1053"/>
      <c r="CK118" s="1053"/>
      <c r="CL118" s="1053"/>
      <c r="CM118" s="1053"/>
      <c r="CN118" s="1053"/>
      <c r="CO118" s="1051">
        <f t="shared" si="249"/>
        <v>0</v>
      </c>
      <c r="CP118" s="1052"/>
      <c r="CQ118" s="1053"/>
      <c r="CR118" s="1048">
        <f t="shared" si="250"/>
        <v>0</v>
      </c>
      <c r="CS118" s="1052"/>
      <c r="CT118" s="1053"/>
      <c r="CU118" s="1053"/>
      <c r="CV118" s="1053"/>
      <c r="CW118" s="1048">
        <f t="shared" si="251"/>
        <v>0</v>
      </c>
      <c r="CX118" s="1052"/>
      <c r="CY118" s="1048">
        <f t="shared" si="252"/>
        <v>0</v>
      </c>
      <c r="CZ118" s="1103">
        <f t="shared" si="253"/>
        <v>0</v>
      </c>
      <c r="DA118" s="1104">
        <f t="shared" si="254"/>
        <v>288</v>
      </c>
      <c r="DI118" s="1042">
        <f t="shared" si="255"/>
        <v>0</v>
      </c>
    </row>
    <row r="119" spans="1:113" s="1158" customFormat="1">
      <c r="A119" s="1137"/>
      <c r="B119" s="1138" t="s">
        <v>1457</v>
      </c>
      <c r="C119" s="1139" t="s">
        <v>28</v>
      </c>
      <c r="D119" s="1140"/>
      <c r="E119" s="1141"/>
      <c r="F119" s="1140"/>
      <c r="G119" s="1142"/>
      <c r="H119" s="1141"/>
      <c r="I119" s="1140"/>
      <c r="J119" s="1141"/>
      <c r="K119" s="1140"/>
      <c r="L119" s="1143"/>
      <c r="M119" s="1141"/>
      <c r="N119" s="1140"/>
      <c r="O119" s="1142"/>
      <c r="P119" s="1141"/>
      <c r="Q119" s="1140"/>
      <c r="R119" s="1142"/>
      <c r="S119" s="1141"/>
      <c r="T119" s="1140"/>
      <c r="U119" s="1142"/>
      <c r="V119" s="1141"/>
      <c r="W119" s="1144"/>
      <c r="X119" s="1145"/>
      <c r="Y119" s="1146"/>
      <c r="Z119" s="1408"/>
      <c r="AA119" s="1147"/>
      <c r="AB119" s="1145"/>
      <c r="AC119" s="1146"/>
      <c r="AD119" s="1147"/>
      <c r="AE119" s="1145"/>
      <c r="AF119" s="1147"/>
      <c r="AG119" s="1145"/>
      <c r="AH119" s="1147"/>
      <c r="AI119" s="1145"/>
      <c r="AJ119" s="1146"/>
      <c r="AK119" s="1146"/>
      <c r="AL119" s="1146"/>
      <c r="AM119" s="1148"/>
      <c r="AN119" s="1148"/>
      <c r="AO119" s="1147"/>
      <c r="AP119" s="1145"/>
      <c r="AQ119" s="1147"/>
      <c r="AR119" s="1145"/>
      <c r="AS119" s="1146"/>
      <c r="AT119" s="1408"/>
      <c r="AU119" s="1147"/>
      <c r="AV119" s="1145"/>
      <c r="AW119" s="1146"/>
      <c r="AX119" s="1147"/>
      <c r="AY119" s="1145"/>
      <c r="AZ119" s="1147"/>
      <c r="BA119" s="1145"/>
      <c r="BB119" s="1146"/>
      <c r="BC119" s="1147"/>
      <c r="BD119" s="1149"/>
      <c r="BE119" s="1150"/>
      <c r="BF119" s="1151"/>
      <c r="BG119" s="1152"/>
      <c r="BH119" s="1150"/>
      <c r="BI119" s="1151"/>
      <c r="BJ119" s="1151"/>
      <c r="BK119" s="1151"/>
      <c r="BL119" s="1152"/>
      <c r="BM119" s="1150"/>
      <c r="BN119" s="1151"/>
      <c r="BO119" s="1152"/>
      <c r="BP119" s="1153"/>
      <c r="BQ119" s="1154"/>
      <c r="BR119" s="1154"/>
      <c r="BS119" s="1151">
        <v>6.74</v>
      </c>
      <c r="BT119" s="1151"/>
      <c r="BU119" s="1152">
        <f>+SUM(BP119:BT119)</f>
        <v>6.74</v>
      </c>
      <c r="BV119" s="1153"/>
      <c r="BW119" s="1154"/>
      <c r="BX119" s="1154"/>
      <c r="BY119" s="1154"/>
      <c r="BZ119" s="1154"/>
      <c r="CA119" s="1154"/>
      <c r="CB119" s="1151"/>
      <c r="CC119" s="1152"/>
      <c r="CD119" s="1150"/>
      <c r="CE119" s="1151"/>
      <c r="CF119" s="1151"/>
      <c r="CG119" s="1151"/>
      <c r="CH119" s="1152"/>
      <c r="CI119" s="1150"/>
      <c r="CJ119" s="1151"/>
      <c r="CK119" s="1151"/>
      <c r="CL119" s="1151"/>
      <c r="CM119" s="1151"/>
      <c r="CN119" s="1151">
        <v>39.6</v>
      </c>
      <c r="CO119" s="1155">
        <f>+SUM(CI119:CN119)</f>
        <v>39.6</v>
      </c>
      <c r="CP119" s="1150"/>
      <c r="CQ119" s="1151"/>
      <c r="CR119" s="1152"/>
      <c r="CS119" s="1150"/>
      <c r="CT119" s="1151"/>
      <c r="CU119" s="1151"/>
      <c r="CV119" s="1151"/>
      <c r="CW119" s="1152"/>
      <c r="CX119" s="1150"/>
      <c r="CY119" s="1152"/>
      <c r="CZ119" s="1156">
        <f t="shared" si="253"/>
        <v>46.34</v>
      </c>
      <c r="DA119" s="1157">
        <f t="shared" si="254"/>
        <v>46.34</v>
      </c>
      <c r="DI119" s="1149"/>
    </row>
    <row r="120" spans="1:113" s="1158" customFormat="1">
      <c r="A120" s="1137"/>
      <c r="B120" s="1138" t="s">
        <v>1458</v>
      </c>
      <c r="C120" s="1139" t="s">
        <v>28</v>
      </c>
      <c r="D120" s="1140"/>
      <c r="E120" s="1141"/>
      <c r="F120" s="1140"/>
      <c r="G120" s="1142"/>
      <c r="H120" s="1141"/>
      <c r="I120" s="1140"/>
      <c r="J120" s="1141"/>
      <c r="K120" s="1140"/>
      <c r="L120" s="1143"/>
      <c r="M120" s="1141"/>
      <c r="N120" s="1140"/>
      <c r="O120" s="1142"/>
      <c r="P120" s="1141"/>
      <c r="Q120" s="1140"/>
      <c r="R120" s="1142"/>
      <c r="S120" s="1141"/>
      <c r="T120" s="1140"/>
      <c r="U120" s="1142"/>
      <c r="V120" s="1141"/>
      <c r="W120" s="1144"/>
      <c r="X120" s="1145"/>
      <c r="Y120" s="1146"/>
      <c r="Z120" s="1408"/>
      <c r="AA120" s="1147"/>
      <c r="AB120" s="1145"/>
      <c r="AC120" s="1146"/>
      <c r="AD120" s="1147"/>
      <c r="AE120" s="1145"/>
      <c r="AF120" s="1147"/>
      <c r="AG120" s="1145"/>
      <c r="AH120" s="1147"/>
      <c r="AI120" s="1145"/>
      <c r="AJ120" s="1146"/>
      <c r="AK120" s="1146"/>
      <c r="AL120" s="1146"/>
      <c r="AM120" s="1148"/>
      <c r="AN120" s="1148"/>
      <c r="AO120" s="1147"/>
      <c r="AP120" s="1145"/>
      <c r="AQ120" s="1147"/>
      <c r="AR120" s="1145"/>
      <c r="AS120" s="1146"/>
      <c r="AT120" s="1408"/>
      <c r="AU120" s="1147"/>
      <c r="AV120" s="1145"/>
      <c r="AW120" s="1146"/>
      <c r="AX120" s="1147"/>
      <c r="AY120" s="1145"/>
      <c r="AZ120" s="1147"/>
      <c r="BA120" s="1145"/>
      <c r="BB120" s="1146"/>
      <c r="BC120" s="1147"/>
      <c r="BD120" s="1149"/>
      <c r="BE120" s="1150"/>
      <c r="BF120" s="1151"/>
      <c r="BG120" s="1152"/>
      <c r="BH120" s="1150"/>
      <c r="BI120" s="1151"/>
      <c r="BJ120" s="1151"/>
      <c r="BK120" s="1151"/>
      <c r="BL120" s="1152"/>
      <c r="BM120" s="1150"/>
      <c r="BN120" s="1151"/>
      <c r="BO120" s="1152"/>
      <c r="BP120" s="1153"/>
      <c r="BQ120" s="1154"/>
      <c r="BR120" s="1154"/>
      <c r="BS120" s="1151">
        <v>32.89</v>
      </c>
      <c r="BT120" s="1151"/>
      <c r="BU120" s="1152">
        <f>+SUM(BP120:BT120)</f>
        <v>32.89</v>
      </c>
      <c r="BV120" s="1153"/>
      <c r="BW120" s="1154"/>
      <c r="BX120" s="1154"/>
      <c r="BY120" s="1154"/>
      <c r="BZ120" s="1154"/>
      <c r="CA120" s="1154"/>
      <c r="CB120" s="1151"/>
      <c r="CC120" s="1152"/>
      <c r="CD120" s="1150"/>
      <c r="CE120" s="1151"/>
      <c r="CF120" s="1151"/>
      <c r="CG120" s="1151"/>
      <c r="CH120" s="1152"/>
      <c r="CI120" s="1150"/>
      <c r="CJ120" s="1151"/>
      <c r="CK120" s="1151"/>
      <c r="CL120" s="1151"/>
      <c r="CM120" s="1151"/>
      <c r="CN120" s="1151">
        <v>94.92</v>
      </c>
      <c r="CO120" s="1155">
        <f>+SUM(CI120:CN120)</f>
        <v>94.92</v>
      </c>
      <c r="CP120" s="1150"/>
      <c r="CQ120" s="1151"/>
      <c r="CR120" s="1152"/>
      <c r="CS120" s="1150"/>
      <c r="CT120" s="1151"/>
      <c r="CU120" s="1151"/>
      <c r="CV120" s="1151"/>
      <c r="CW120" s="1152"/>
      <c r="CX120" s="1150"/>
      <c r="CY120" s="1152"/>
      <c r="CZ120" s="1156">
        <f t="shared" si="253"/>
        <v>127.81</v>
      </c>
      <c r="DA120" s="1157">
        <f t="shared" si="254"/>
        <v>127.81</v>
      </c>
      <c r="DI120" s="1149"/>
    </row>
    <row r="121" spans="1:113" s="1158" customFormat="1">
      <c r="A121" s="1137"/>
      <c r="B121" s="1138" t="s">
        <v>1459</v>
      </c>
      <c r="C121" s="1139" t="s">
        <v>28</v>
      </c>
      <c r="D121" s="1140"/>
      <c r="E121" s="1141"/>
      <c r="F121" s="1140"/>
      <c r="G121" s="1142"/>
      <c r="H121" s="1141"/>
      <c r="I121" s="1140"/>
      <c r="J121" s="1141"/>
      <c r="K121" s="1140"/>
      <c r="L121" s="1143"/>
      <c r="M121" s="1141"/>
      <c r="N121" s="1140"/>
      <c r="O121" s="1142"/>
      <c r="P121" s="1141"/>
      <c r="Q121" s="1140"/>
      <c r="R121" s="1142"/>
      <c r="S121" s="1141"/>
      <c r="T121" s="1140"/>
      <c r="U121" s="1142"/>
      <c r="V121" s="1141"/>
      <c r="W121" s="1144"/>
      <c r="X121" s="1145"/>
      <c r="Y121" s="1146"/>
      <c r="Z121" s="1408"/>
      <c r="AA121" s="1147"/>
      <c r="AB121" s="1145"/>
      <c r="AC121" s="1146"/>
      <c r="AD121" s="1147"/>
      <c r="AE121" s="1145"/>
      <c r="AF121" s="1147"/>
      <c r="AG121" s="1145"/>
      <c r="AH121" s="1147"/>
      <c r="AI121" s="1145"/>
      <c r="AJ121" s="1146"/>
      <c r="AK121" s="1146"/>
      <c r="AL121" s="1146"/>
      <c r="AM121" s="1148"/>
      <c r="AN121" s="1148"/>
      <c r="AO121" s="1147"/>
      <c r="AP121" s="1145"/>
      <c r="AQ121" s="1147"/>
      <c r="AR121" s="1145"/>
      <c r="AS121" s="1146"/>
      <c r="AT121" s="1408"/>
      <c r="AU121" s="1147"/>
      <c r="AV121" s="1145"/>
      <c r="AW121" s="1146"/>
      <c r="AX121" s="1147"/>
      <c r="AY121" s="1145"/>
      <c r="AZ121" s="1147"/>
      <c r="BA121" s="1145"/>
      <c r="BB121" s="1146"/>
      <c r="BC121" s="1147"/>
      <c r="BD121" s="1149"/>
      <c r="BE121" s="1150"/>
      <c r="BF121" s="1151"/>
      <c r="BG121" s="1152"/>
      <c r="BH121" s="1150"/>
      <c r="BI121" s="1151"/>
      <c r="BJ121" s="1151"/>
      <c r="BK121" s="1151"/>
      <c r="BL121" s="1152"/>
      <c r="BM121" s="1150"/>
      <c r="BN121" s="1151"/>
      <c r="BO121" s="1152"/>
      <c r="BP121" s="1153"/>
      <c r="BQ121" s="1154"/>
      <c r="BR121" s="1154"/>
      <c r="BS121" s="1151">
        <v>0.64</v>
      </c>
      <c r="BT121" s="1151"/>
      <c r="BU121" s="1152">
        <f>+SUM(BP121:BT121)</f>
        <v>0.64</v>
      </c>
      <c r="BV121" s="1153"/>
      <c r="BW121" s="1154"/>
      <c r="BX121" s="1154"/>
      <c r="BY121" s="1154"/>
      <c r="BZ121" s="1154"/>
      <c r="CA121" s="1154"/>
      <c r="CB121" s="1151"/>
      <c r="CC121" s="1152"/>
      <c r="CD121" s="1150"/>
      <c r="CE121" s="1151"/>
      <c r="CF121" s="1151"/>
      <c r="CG121" s="1151"/>
      <c r="CH121" s="1152"/>
      <c r="CI121" s="1150"/>
      <c r="CJ121" s="1151"/>
      <c r="CK121" s="1151"/>
      <c r="CL121" s="1151"/>
      <c r="CM121" s="1151"/>
      <c r="CN121" s="1151">
        <v>39.6</v>
      </c>
      <c r="CO121" s="1155">
        <f>+SUM(CI121:CN121)</f>
        <v>39.6</v>
      </c>
      <c r="CP121" s="1150"/>
      <c r="CQ121" s="1151"/>
      <c r="CR121" s="1152"/>
      <c r="CS121" s="1150"/>
      <c r="CT121" s="1151"/>
      <c r="CU121" s="1151"/>
      <c r="CV121" s="1151"/>
      <c r="CW121" s="1152"/>
      <c r="CX121" s="1150"/>
      <c r="CY121" s="1152"/>
      <c r="CZ121" s="1156">
        <f t="shared" si="253"/>
        <v>40.24</v>
      </c>
      <c r="DA121" s="1157">
        <f t="shared" si="254"/>
        <v>40.24</v>
      </c>
      <c r="DI121" s="1149"/>
    </row>
    <row r="122" spans="1:113" s="1158" customFormat="1">
      <c r="A122" s="1137"/>
      <c r="B122" s="1138" t="s">
        <v>1460</v>
      </c>
      <c r="C122" s="1139" t="s">
        <v>11</v>
      </c>
      <c r="D122" s="1140"/>
      <c r="E122" s="1141"/>
      <c r="F122" s="1140"/>
      <c r="G122" s="1142"/>
      <c r="H122" s="1141"/>
      <c r="I122" s="1140"/>
      <c r="J122" s="1141"/>
      <c r="K122" s="1140"/>
      <c r="L122" s="1143"/>
      <c r="M122" s="1141"/>
      <c r="N122" s="1140"/>
      <c r="O122" s="1142"/>
      <c r="P122" s="1141"/>
      <c r="Q122" s="1140"/>
      <c r="R122" s="1142"/>
      <c r="S122" s="1141"/>
      <c r="T122" s="1140"/>
      <c r="U122" s="1142"/>
      <c r="V122" s="1141"/>
      <c r="W122" s="1144"/>
      <c r="X122" s="1145"/>
      <c r="Y122" s="1146"/>
      <c r="Z122" s="1408"/>
      <c r="AA122" s="1147"/>
      <c r="AB122" s="1145"/>
      <c r="AC122" s="1146"/>
      <c r="AD122" s="1147"/>
      <c r="AE122" s="1145"/>
      <c r="AF122" s="1147"/>
      <c r="AG122" s="1145"/>
      <c r="AH122" s="1147"/>
      <c r="AI122" s="1145"/>
      <c r="AJ122" s="1146"/>
      <c r="AK122" s="1146"/>
      <c r="AL122" s="1146"/>
      <c r="AM122" s="1148"/>
      <c r="AN122" s="1148"/>
      <c r="AO122" s="1147"/>
      <c r="AP122" s="1145"/>
      <c r="AQ122" s="1147"/>
      <c r="AR122" s="1145"/>
      <c r="AS122" s="1146"/>
      <c r="AT122" s="1408"/>
      <c r="AU122" s="1147"/>
      <c r="AV122" s="1145"/>
      <c r="AW122" s="1146"/>
      <c r="AX122" s="1147"/>
      <c r="AY122" s="1145"/>
      <c r="AZ122" s="1147"/>
      <c r="BA122" s="1145"/>
      <c r="BB122" s="1146"/>
      <c r="BC122" s="1147"/>
      <c r="BD122" s="1149"/>
      <c r="BE122" s="1150"/>
      <c r="BF122" s="1151"/>
      <c r="BG122" s="1152"/>
      <c r="BH122" s="1150"/>
      <c r="BI122" s="1151"/>
      <c r="BJ122" s="1151"/>
      <c r="BK122" s="1151"/>
      <c r="BL122" s="1152"/>
      <c r="BM122" s="1150"/>
      <c r="BN122" s="1151"/>
      <c r="BO122" s="1152"/>
      <c r="BP122" s="1153"/>
      <c r="BQ122" s="1154"/>
      <c r="BR122" s="1154"/>
      <c r="BS122" s="1151">
        <v>48</v>
      </c>
      <c r="BT122" s="1151"/>
      <c r="BU122" s="1152">
        <f>+SUM(BP122:BT122)</f>
        <v>48</v>
      </c>
      <c r="BV122" s="1153"/>
      <c r="BW122" s="1154"/>
      <c r="BX122" s="1154"/>
      <c r="BY122" s="1154"/>
      <c r="BZ122" s="1154"/>
      <c r="CA122" s="1154"/>
      <c r="CB122" s="1151"/>
      <c r="CC122" s="1152"/>
      <c r="CD122" s="1150"/>
      <c r="CE122" s="1151"/>
      <c r="CF122" s="1151"/>
      <c r="CG122" s="1151"/>
      <c r="CH122" s="1152"/>
      <c r="CI122" s="1150"/>
      <c r="CJ122" s="1151"/>
      <c r="CK122" s="1151"/>
      <c r="CL122" s="1151"/>
      <c r="CM122" s="1151"/>
      <c r="CN122" s="1151">
        <v>77.14</v>
      </c>
      <c r="CO122" s="1155">
        <f>+SUM(CI122:CN122)</f>
        <v>77.14</v>
      </c>
      <c r="CP122" s="1150"/>
      <c r="CQ122" s="1151"/>
      <c r="CR122" s="1152"/>
      <c r="CS122" s="1150"/>
      <c r="CT122" s="1151"/>
      <c r="CU122" s="1151"/>
      <c r="CV122" s="1151"/>
      <c r="CW122" s="1152"/>
      <c r="CX122" s="1150"/>
      <c r="CY122" s="1152"/>
      <c r="CZ122" s="1156">
        <f t="shared" si="253"/>
        <v>125.14</v>
      </c>
      <c r="DA122" s="1157">
        <f t="shared" si="254"/>
        <v>125.14</v>
      </c>
      <c r="DI122" s="1149"/>
    </row>
    <row r="123" spans="1:113" s="1158" customFormat="1">
      <c r="A123" s="1137"/>
      <c r="B123" s="1138" t="s">
        <v>1461</v>
      </c>
      <c r="C123" s="1139" t="s">
        <v>28</v>
      </c>
      <c r="D123" s="1140"/>
      <c r="E123" s="1141"/>
      <c r="F123" s="1140"/>
      <c r="G123" s="1142"/>
      <c r="H123" s="1141"/>
      <c r="I123" s="1140"/>
      <c r="J123" s="1141"/>
      <c r="K123" s="1140"/>
      <c r="L123" s="1143"/>
      <c r="M123" s="1141"/>
      <c r="N123" s="1140"/>
      <c r="O123" s="1142"/>
      <c r="P123" s="1141"/>
      <c r="Q123" s="1140"/>
      <c r="R123" s="1142"/>
      <c r="S123" s="1141"/>
      <c r="T123" s="1140"/>
      <c r="U123" s="1142"/>
      <c r="V123" s="1141"/>
      <c r="W123" s="1144"/>
      <c r="X123" s="1145"/>
      <c r="Y123" s="1146"/>
      <c r="Z123" s="1408"/>
      <c r="AA123" s="1147"/>
      <c r="AB123" s="1145"/>
      <c r="AC123" s="1146"/>
      <c r="AD123" s="1147"/>
      <c r="AE123" s="1145"/>
      <c r="AF123" s="1147"/>
      <c r="AG123" s="1145"/>
      <c r="AH123" s="1147"/>
      <c r="AI123" s="1145"/>
      <c r="AJ123" s="1146"/>
      <c r="AK123" s="1146"/>
      <c r="AL123" s="1146"/>
      <c r="AM123" s="1148"/>
      <c r="AN123" s="1148"/>
      <c r="AO123" s="1147"/>
      <c r="AP123" s="1145"/>
      <c r="AQ123" s="1147"/>
      <c r="AR123" s="1145"/>
      <c r="AS123" s="1146"/>
      <c r="AT123" s="1408"/>
      <c r="AU123" s="1147"/>
      <c r="AV123" s="1145"/>
      <c r="AW123" s="1146"/>
      <c r="AX123" s="1147"/>
      <c r="AY123" s="1145"/>
      <c r="AZ123" s="1147"/>
      <c r="BA123" s="1145"/>
      <c r="BB123" s="1146"/>
      <c r="BC123" s="1147"/>
      <c r="BD123" s="1149"/>
      <c r="BE123" s="1150"/>
      <c r="BF123" s="1151"/>
      <c r="BG123" s="1152"/>
      <c r="BH123" s="1150"/>
      <c r="BI123" s="1151"/>
      <c r="BJ123" s="1151"/>
      <c r="BK123" s="1151"/>
      <c r="BL123" s="1152"/>
      <c r="BM123" s="1150"/>
      <c r="BN123" s="1151"/>
      <c r="BO123" s="1152"/>
      <c r="BP123" s="1153"/>
      <c r="BQ123" s="1154"/>
      <c r="BR123" s="1154"/>
      <c r="BS123" s="1151">
        <v>110.5</v>
      </c>
      <c r="BT123" s="1151"/>
      <c r="BU123" s="1152">
        <f>+SUM(BP123:BT123)</f>
        <v>110.5</v>
      </c>
      <c r="BV123" s="1153"/>
      <c r="BW123" s="1154"/>
      <c r="BX123" s="1154"/>
      <c r="BY123" s="1154"/>
      <c r="BZ123" s="1154"/>
      <c r="CA123" s="1154"/>
      <c r="CB123" s="1151"/>
      <c r="CC123" s="1152"/>
      <c r="CD123" s="1150"/>
      <c r="CE123" s="1151"/>
      <c r="CF123" s="1151"/>
      <c r="CG123" s="1151"/>
      <c r="CH123" s="1152"/>
      <c r="CI123" s="1150"/>
      <c r="CJ123" s="1151"/>
      <c r="CK123" s="1151"/>
      <c r="CL123" s="1151"/>
      <c r="CM123" s="1151"/>
      <c r="CN123" s="1151">
        <v>94.92</v>
      </c>
      <c r="CO123" s="1155">
        <f>+SUM(CI123:CN123)</f>
        <v>94.92</v>
      </c>
      <c r="CP123" s="1150"/>
      <c r="CQ123" s="1151"/>
      <c r="CR123" s="1152"/>
      <c r="CS123" s="1150"/>
      <c r="CT123" s="1151"/>
      <c r="CU123" s="1151"/>
      <c r="CV123" s="1151"/>
      <c r="CW123" s="1152"/>
      <c r="CX123" s="1150"/>
      <c r="CY123" s="1152"/>
      <c r="CZ123" s="1156">
        <f t="shared" si="253"/>
        <v>205.42000000000002</v>
      </c>
      <c r="DA123" s="1157">
        <f t="shared" si="254"/>
        <v>205.42000000000002</v>
      </c>
      <c r="DI123" s="1149"/>
    </row>
    <row r="124" spans="1:113" s="1134" customFormat="1">
      <c r="A124" s="1114"/>
      <c r="B124" s="1115" t="s">
        <v>949</v>
      </c>
      <c r="C124" s="1116"/>
      <c r="D124" s="1117"/>
      <c r="E124" s="1118"/>
      <c r="F124" s="1117" t="s">
        <v>816</v>
      </c>
      <c r="G124" s="1119" t="s">
        <v>816</v>
      </c>
      <c r="H124" s="1118"/>
      <c r="I124" s="1117" t="s">
        <v>816</v>
      </c>
      <c r="J124" s="1118"/>
      <c r="K124" s="1117" t="s">
        <v>816</v>
      </c>
      <c r="L124" s="1120" t="s">
        <v>816</v>
      </c>
      <c r="M124" s="1118"/>
      <c r="N124" s="1117" t="s">
        <v>816</v>
      </c>
      <c r="O124" s="1119" t="s">
        <v>816</v>
      </c>
      <c r="P124" s="1118"/>
      <c r="Q124" s="1117" t="s">
        <v>816</v>
      </c>
      <c r="R124" s="1119" t="s">
        <v>816</v>
      </c>
      <c r="S124" s="1118"/>
      <c r="T124" s="1117" t="s">
        <v>816</v>
      </c>
      <c r="U124" s="1119" t="s">
        <v>816</v>
      </c>
      <c r="V124" s="1118"/>
      <c r="W124" s="1121"/>
      <c r="X124" s="1122"/>
      <c r="Y124" s="1123"/>
      <c r="Z124" s="1407"/>
      <c r="AA124" s="1124"/>
      <c r="AB124" s="1122"/>
      <c r="AC124" s="1123"/>
      <c r="AD124" s="1124"/>
      <c r="AE124" s="1122"/>
      <c r="AF124" s="1124"/>
      <c r="AG124" s="1122"/>
      <c r="AH124" s="1124"/>
      <c r="AI124" s="1122"/>
      <c r="AJ124" s="1123"/>
      <c r="AK124" s="1123"/>
      <c r="AL124" s="1123"/>
      <c r="AM124" s="1125"/>
      <c r="AN124" s="1125"/>
      <c r="AO124" s="1124"/>
      <c r="AP124" s="1122"/>
      <c r="AQ124" s="1124"/>
      <c r="AR124" s="1122"/>
      <c r="AS124" s="1123"/>
      <c r="AT124" s="1407"/>
      <c r="AU124" s="1124"/>
      <c r="AV124" s="1122"/>
      <c r="AW124" s="1123"/>
      <c r="AX124" s="1124"/>
      <c r="AY124" s="1122"/>
      <c r="AZ124" s="1124"/>
      <c r="BA124" s="1122"/>
      <c r="BB124" s="1123"/>
      <c r="BC124" s="1124"/>
      <c r="BD124" s="1126"/>
      <c r="BE124" s="1127"/>
      <c r="BF124" s="1128"/>
      <c r="BG124" s="1129"/>
      <c r="BH124" s="1127"/>
      <c r="BI124" s="1128"/>
      <c r="BJ124" s="1128"/>
      <c r="BK124" s="1128"/>
      <c r="BL124" s="1129"/>
      <c r="BM124" s="1127"/>
      <c r="BN124" s="1128"/>
      <c r="BO124" s="1129"/>
      <c r="BP124" s="1130"/>
      <c r="BQ124" s="1131"/>
      <c r="BR124" s="1131"/>
      <c r="BS124" s="1131"/>
      <c r="BT124" s="1128"/>
      <c r="BU124" s="1129"/>
      <c r="BV124" s="1130"/>
      <c r="BW124" s="1131"/>
      <c r="BX124" s="1131"/>
      <c r="BY124" s="1131"/>
      <c r="BZ124" s="1131"/>
      <c r="CA124" s="1131"/>
      <c r="CB124" s="1128"/>
      <c r="CC124" s="1129"/>
      <c r="CD124" s="1127"/>
      <c r="CE124" s="1128"/>
      <c r="CF124" s="1128"/>
      <c r="CG124" s="1128"/>
      <c r="CH124" s="1129"/>
      <c r="CI124" s="1130"/>
      <c r="CJ124" s="1131"/>
      <c r="CK124" s="1131"/>
      <c r="CL124" s="1131"/>
      <c r="CM124" s="1131"/>
      <c r="CN124" s="1131"/>
      <c r="CO124" s="1132"/>
      <c r="CP124" s="1127"/>
      <c r="CQ124" s="1128"/>
      <c r="CR124" s="1129"/>
      <c r="CS124" s="1127"/>
      <c r="CT124" s="1128"/>
      <c r="CU124" s="1128"/>
      <c r="CV124" s="1128"/>
      <c r="CW124" s="1129"/>
      <c r="CX124" s="1127"/>
      <c r="CY124" s="1129"/>
      <c r="CZ124" s="1129"/>
      <c r="DA124" s="1133"/>
      <c r="DI124" s="1126"/>
    </row>
    <row r="125" spans="1:113" s="1055" customFormat="1">
      <c r="A125" s="955" t="s">
        <v>415</v>
      </c>
      <c r="B125" s="1102" t="s">
        <v>858</v>
      </c>
      <c r="C125" s="1030" t="s">
        <v>111</v>
      </c>
      <c r="D125" s="1035">
        <v>383</v>
      </c>
      <c r="E125" s="1032">
        <f t="shared" si="191"/>
        <v>383</v>
      </c>
      <c r="F125" s="1035"/>
      <c r="G125" s="1036">
        <v>766</v>
      </c>
      <c r="H125" s="1032">
        <f t="shared" ref="H125:H142" si="259">+IF(C125="", 0,SUM(F125:G125))</f>
        <v>766</v>
      </c>
      <c r="I125" s="1035">
        <v>383</v>
      </c>
      <c r="J125" s="1032">
        <f t="shared" ref="J125:J142" si="260">+IF(C125="", 0,I125)</f>
        <v>383</v>
      </c>
      <c r="K125" s="1035">
        <v>0</v>
      </c>
      <c r="L125" s="1074">
        <v>0</v>
      </c>
      <c r="M125" s="1032">
        <f t="shared" ref="M125:M142" si="261">+IF(C125="",0,K125+L125)</f>
        <v>0</v>
      </c>
      <c r="N125" s="1035">
        <v>0</v>
      </c>
      <c r="O125" s="1036">
        <v>0</v>
      </c>
      <c r="P125" s="1032">
        <f t="shared" ref="P125:P142" si="262">+IF(C125="", 0,SUM(N125:O125))</f>
        <v>0</v>
      </c>
      <c r="Q125" s="1035">
        <v>0</v>
      </c>
      <c r="R125" s="1036">
        <v>0</v>
      </c>
      <c r="S125" s="1032">
        <f t="shared" ref="S125:S142" si="263">+IF(C125="",0,SUM(Q125:R125))</f>
        <v>0</v>
      </c>
      <c r="T125" s="1035">
        <v>0</v>
      </c>
      <c r="U125" s="1036">
        <v>383</v>
      </c>
      <c r="V125" s="1032">
        <f t="shared" ref="V125:V142" si="264">+IF(C125="",0,SUM(T125:U125))</f>
        <v>383</v>
      </c>
      <c r="W125" s="1037">
        <f t="shared" ref="W125:W142" si="265">+IF(C125="",0,E125+H125+J125+M125+P125+S125+V125)</f>
        <v>1915</v>
      </c>
      <c r="X125" s="1038">
        <v>0</v>
      </c>
      <c r="Y125" s="1039">
        <v>0</v>
      </c>
      <c r="Z125" s="1408">
        <v>0</v>
      </c>
      <c r="AA125" s="1040">
        <f t="shared" ref="AA125:AA142" si="266">SUM(X125:Z125)</f>
        <v>0</v>
      </c>
      <c r="AB125" s="1038">
        <v>0</v>
      </c>
      <c r="AC125" s="1039">
        <v>0</v>
      </c>
      <c r="AD125" s="1040">
        <f t="shared" ref="AD125:AD142" si="267">SUM(AB125:AC125)</f>
        <v>0</v>
      </c>
      <c r="AE125" s="1038">
        <v>766</v>
      </c>
      <c r="AF125" s="1040">
        <f t="shared" ref="AF125:AF142" si="268">+AE125</f>
        <v>766</v>
      </c>
      <c r="AG125" s="1038">
        <v>0</v>
      </c>
      <c r="AH125" s="1040">
        <f t="shared" ref="AH125:AH142" si="269">+AG125</f>
        <v>0</v>
      </c>
      <c r="AI125" s="1038">
        <v>0</v>
      </c>
      <c r="AJ125" s="1039">
        <v>0</v>
      </c>
      <c r="AK125" s="1039">
        <v>0</v>
      </c>
      <c r="AL125" s="1039">
        <v>0</v>
      </c>
      <c r="AM125" s="1041">
        <v>0</v>
      </c>
      <c r="AN125" s="1041">
        <v>0</v>
      </c>
      <c r="AO125" s="1040">
        <f t="shared" ref="AO125:AO142" si="270">SUM(AI125:AN125)</f>
        <v>0</v>
      </c>
      <c r="AP125" s="1038">
        <v>383</v>
      </c>
      <c r="AQ125" s="1040">
        <f t="shared" ref="AQ125:AQ142" si="271">+AP125</f>
        <v>383</v>
      </c>
      <c r="AR125" s="1038">
        <v>0</v>
      </c>
      <c r="AS125" s="1039">
        <v>0</v>
      </c>
      <c r="AT125" s="1408">
        <v>0</v>
      </c>
      <c r="AU125" s="1040">
        <f t="shared" ref="AU125:AU154" si="272">SUM(AT125)</f>
        <v>0</v>
      </c>
      <c r="AV125" s="1038">
        <v>0</v>
      </c>
      <c r="AW125" s="1039">
        <v>0</v>
      </c>
      <c r="AX125" s="1040">
        <f t="shared" ref="AX125:AX142" si="273">SUM(AV125:AW125)</f>
        <v>0</v>
      </c>
      <c r="AY125" s="1038">
        <v>0</v>
      </c>
      <c r="AZ125" s="1040">
        <f t="shared" ref="AZ125:AZ142" si="274">+AY125</f>
        <v>0</v>
      </c>
      <c r="BA125" s="1038">
        <v>0</v>
      </c>
      <c r="BB125" s="1039">
        <v>383</v>
      </c>
      <c r="BC125" s="1040">
        <f t="shared" ref="BC125:BC142" si="275">SUM(BA125:BB125)</f>
        <v>383</v>
      </c>
      <c r="BD125" s="1042">
        <f t="shared" ref="BD125:BD142" si="276">+IF(C125="",0,BC125+AZ125+AX125+AU125+AQ125+AO125+AH125+AF125+AD125+AA125)</f>
        <v>1532</v>
      </c>
      <c r="BE125" s="1052">
        <v>383</v>
      </c>
      <c r="BF125" s="1053">
        <v>383</v>
      </c>
      <c r="BG125" s="1048">
        <f t="shared" si="204"/>
        <v>766</v>
      </c>
      <c r="BH125" s="1052"/>
      <c r="BI125" s="1053"/>
      <c r="BJ125" s="1053"/>
      <c r="BK125" s="1053"/>
      <c r="BL125" s="1048">
        <f t="shared" ref="BL125:BL142" si="277">+BH125+BI125+BJ125+BK125</f>
        <v>0</v>
      </c>
      <c r="BM125" s="1052"/>
      <c r="BN125" s="1053"/>
      <c r="BO125" s="1048">
        <f t="shared" ref="BO125:BO142" si="278">+BM125+BN125</f>
        <v>0</v>
      </c>
      <c r="BP125" s="1049"/>
      <c r="BQ125" s="1050"/>
      <c r="BR125" s="1050"/>
      <c r="BS125" s="1050"/>
      <c r="BT125" s="1053"/>
      <c r="BU125" s="1048">
        <f t="shared" ref="BU125:BU142" si="279">+SUM(BP125:BT125)</f>
        <v>0</v>
      </c>
      <c r="BV125" s="1049"/>
      <c r="BW125" s="1050"/>
      <c r="BX125" s="1050"/>
      <c r="BY125" s="1050"/>
      <c r="BZ125" s="1050"/>
      <c r="CA125" s="1050"/>
      <c r="CB125" s="1053"/>
      <c r="CC125" s="1048">
        <f t="shared" ref="CC125:CC142" si="280">+SUM(BV125:CB125)</f>
        <v>0</v>
      </c>
      <c r="CD125" s="1052"/>
      <c r="CE125" s="1053"/>
      <c r="CF125" s="1053"/>
      <c r="CG125" s="1053"/>
      <c r="CH125" s="1048">
        <f t="shared" ref="CH125:CH142" si="281">+SUM(CD125:CG125)</f>
        <v>0</v>
      </c>
      <c r="CI125" s="1049"/>
      <c r="CJ125" s="1050"/>
      <c r="CK125" s="1050">
        <v>383</v>
      </c>
      <c r="CL125" s="1050"/>
      <c r="CM125" s="1050">
        <v>383</v>
      </c>
      <c r="CN125" s="1050"/>
      <c r="CO125" s="1051">
        <f t="shared" ref="CO125:CO142" si="282">+SUM(CI125:CN125)</f>
        <v>766</v>
      </c>
      <c r="CP125" s="1052"/>
      <c r="CQ125" s="1053"/>
      <c r="CR125" s="1048">
        <f t="shared" ref="CR125:CR142" si="283">+SUM(CP125:CQ125)</f>
        <v>0</v>
      </c>
      <c r="CS125" s="1052"/>
      <c r="CT125" s="1053"/>
      <c r="CU125" s="1053"/>
      <c r="CV125" s="1053"/>
      <c r="CW125" s="1048">
        <f t="shared" ref="CW125:CW142" si="284">+SUM(CS125:CV125)</f>
        <v>0</v>
      </c>
      <c r="CX125" s="1052"/>
      <c r="CY125" s="1048">
        <f t="shared" ref="CY125:CY142" si="285">+CX125</f>
        <v>0</v>
      </c>
      <c r="CZ125" s="1103">
        <f t="shared" ref="CZ125:CZ142" si="286">+IF(C125="",0,CY125+CR125+CH125+BU125+BO125+BL125+CO125+CW125+CC125+BG125)</f>
        <v>1532</v>
      </c>
      <c r="DA125" s="1104">
        <f t="shared" ref="DA125:DA142" si="287">IF(C125="",0,CZ125+BD125+W125)</f>
        <v>4979</v>
      </c>
      <c r="DI125" s="1042">
        <f t="shared" ref="DI125:DI142" si="288">+IF(BH125="",0,DH125+DE125+DC125+CZ125+CV125+CT125+CM125+CK125+CI125+CF125)</f>
        <v>0</v>
      </c>
    </row>
    <row r="126" spans="1:113" s="1055" customFormat="1">
      <c r="A126" s="955" t="s">
        <v>416</v>
      </c>
      <c r="B126" s="1102" t="s">
        <v>1365</v>
      </c>
      <c r="C126" s="1030" t="s">
        <v>111</v>
      </c>
      <c r="D126" s="1035">
        <v>0</v>
      </c>
      <c r="E126" s="1032">
        <f t="shared" si="191"/>
        <v>0</v>
      </c>
      <c r="F126" s="1035"/>
      <c r="G126" s="1036">
        <v>0</v>
      </c>
      <c r="H126" s="1032">
        <f t="shared" si="259"/>
        <v>0</v>
      </c>
      <c r="I126" s="1035">
        <v>0</v>
      </c>
      <c r="J126" s="1032">
        <f t="shared" si="260"/>
        <v>0</v>
      </c>
      <c r="K126" s="1035">
        <v>0</v>
      </c>
      <c r="L126" s="1074">
        <v>0</v>
      </c>
      <c r="M126" s="1032">
        <f t="shared" si="261"/>
        <v>0</v>
      </c>
      <c r="N126" s="1035">
        <v>0</v>
      </c>
      <c r="O126" s="1036">
        <v>0</v>
      </c>
      <c r="P126" s="1032">
        <f t="shared" si="262"/>
        <v>0</v>
      </c>
      <c r="Q126" s="1035">
        <v>0</v>
      </c>
      <c r="R126" s="1036">
        <v>0</v>
      </c>
      <c r="S126" s="1032">
        <f t="shared" si="263"/>
        <v>0</v>
      </c>
      <c r="T126" s="1035">
        <v>0</v>
      </c>
      <c r="U126" s="1036">
        <v>0</v>
      </c>
      <c r="V126" s="1032">
        <f t="shared" si="264"/>
        <v>0</v>
      </c>
      <c r="W126" s="1037">
        <f t="shared" si="265"/>
        <v>0</v>
      </c>
      <c r="X126" s="1038">
        <v>0</v>
      </c>
      <c r="Y126" s="1039">
        <v>0</v>
      </c>
      <c r="Z126" s="1408">
        <v>0</v>
      </c>
      <c r="AA126" s="1040">
        <f t="shared" si="266"/>
        <v>0</v>
      </c>
      <c r="AB126" s="1038">
        <v>0</v>
      </c>
      <c r="AC126" s="1039">
        <v>0</v>
      </c>
      <c r="AD126" s="1040">
        <f t="shared" si="267"/>
        <v>0</v>
      </c>
      <c r="AE126" s="1038">
        <v>0</v>
      </c>
      <c r="AF126" s="1040">
        <f t="shared" si="268"/>
        <v>0</v>
      </c>
      <c r="AG126" s="1038">
        <v>0</v>
      </c>
      <c r="AH126" s="1040">
        <f t="shared" si="269"/>
        <v>0</v>
      </c>
      <c r="AI126" s="1038">
        <v>0</v>
      </c>
      <c r="AJ126" s="1039">
        <v>0</v>
      </c>
      <c r="AK126" s="1039">
        <v>0</v>
      </c>
      <c r="AL126" s="1039">
        <v>0</v>
      </c>
      <c r="AM126" s="1041">
        <v>0</v>
      </c>
      <c r="AN126" s="1041">
        <v>0</v>
      </c>
      <c r="AO126" s="1040">
        <f t="shared" si="270"/>
        <v>0</v>
      </c>
      <c r="AP126" s="1038">
        <v>0</v>
      </c>
      <c r="AQ126" s="1040">
        <f t="shared" si="271"/>
        <v>0</v>
      </c>
      <c r="AR126" s="1038">
        <v>0</v>
      </c>
      <c r="AS126" s="1039">
        <v>0</v>
      </c>
      <c r="AT126" s="1408">
        <v>0</v>
      </c>
      <c r="AU126" s="1040">
        <f t="shared" si="272"/>
        <v>0</v>
      </c>
      <c r="AV126" s="1038">
        <v>0</v>
      </c>
      <c r="AW126" s="1039">
        <v>0</v>
      </c>
      <c r="AX126" s="1040">
        <f t="shared" si="273"/>
        <v>0</v>
      </c>
      <c r="AY126" s="1038">
        <v>0</v>
      </c>
      <c r="AZ126" s="1040">
        <f t="shared" si="274"/>
        <v>0</v>
      </c>
      <c r="BA126" s="1038">
        <v>0</v>
      </c>
      <c r="BB126" s="1039">
        <v>0</v>
      </c>
      <c r="BC126" s="1040">
        <f t="shared" si="275"/>
        <v>0</v>
      </c>
      <c r="BD126" s="1042">
        <f t="shared" si="276"/>
        <v>0</v>
      </c>
      <c r="BE126" s="1052"/>
      <c r="BF126" s="1053"/>
      <c r="BG126" s="1048">
        <f t="shared" si="204"/>
        <v>0</v>
      </c>
      <c r="BH126" s="1052"/>
      <c r="BI126" s="1053"/>
      <c r="BJ126" s="1053"/>
      <c r="BK126" s="1053"/>
      <c r="BL126" s="1048">
        <f t="shared" si="277"/>
        <v>0</v>
      </c>
      <c r="BM126" s="1052"/>
      <c r="BN126" s="1053"/>
      <c r="BO126" s="1048">
        <f t="shared" si="278"/>
        <v>0</v>
      </c>
      <c r="BP126" s="1049"/>
      <c r="BQ126" s="1050"/>
      <c r="BR126" s="1050"/>
      <c r="BS126" s="1050"/>
      <c r="BT126" s="1053"/>
      <c r="BU126" s="1048">
        <f t="shared" si="279"/>
        <v>0</v>
      </c>
      <c r="BV126" s="1049"/>
      <c r="BW126" s="1050"/>
      <c r="BX126" s="1050"/>
      <c r="BY126" s="1050"/>
      <c r="BZ126" s="1050"/>
      <c r="CA126" s="1050"/>
      <c r="CB126" s="1053"/>
      <c r="CC126" s="1048">
        <f t="shared" si="280"/>
        <v>0</v>
      </c>
      <c r="CD126" s="1052"/>
      <c r="CE126" s="1053"/>
      <c r="CF126" s="1053"/>
      <c r="CG126" s="1053"/>
      <c r="CH126" s="1048">
        <f t="shared" si="281"/>
        <v>0</v>
      </c>
      <c r="CI126" s="1049"/>
      <c r="CJ126" s="1050"/>
      <c r="CK126" s="1050"/>
      <c r="CL126" s="1050"/>
      <c r="CM126" s="1050"/>
      <c r="CN126" s="1050"/>
      <c r="CO126" s="1051">
        <f t="shared" si="282"/>
        <v>0</v>
      </c>
      <c r="CP126" s="1052"/>
      <c r="CQ126" s="1053"/>
      <c r="CR126" s="1048">
        <f t="shared" si="283"/>
        <v>0</v>
      </c>
      <c r="CS126" s="1052"/>
      <c r="CT126" s="1053"/>
      <c r="CU126" s="1053"/>
      <c r="CV126" s="1053"/>
      <c r="CW126" s="1048">
        <f t="shared" si="284"/>
        <v>0</v>
      </c>
      <c r="CX126" s="1052"/>
      <c r="CY126" s="1048">
        <f t="shared" si="285"/>
        <v>0</v>
      </c>
      <c r="CZ126" s="1103">
        <f t="shared" si="286"/>
        <v>0</v>
      </c>
      <c r="DA126" s="1104">
        <f t="shared" si="287"/>
        <v>0</v>
      </c>
      <c r="DI126" s="1042">
        <f t="shared" si="288"/>
        <v>0</v>
      </c>
    </row>
    <row r="127" spans="1:113" s="1055" customFormat="1">
      <c r="A127" s="955" t="s">
        <v>506</v>
      </c>
      <c r="B127" s="1102" t="s">
        <v>934</v>
      </c>
      <c r="C127" s="1030" t="s">
        <v>827</v>
      </c>
      <c r="D127" s="1035">
        <v>0</v>
      </c>
      <c r="E127" s="1032">
        <f t="shared" si="191"/>
        <v>0</v>
      </c>
      <c r="F127" s="1035"/>
      <c r="G127" s="1036">
        <v>0</v>
      </c>
      <c r="H127" s="1032">
        <f t="shared" si="259"/>
        <v>0</v>
      </c>
      <c r="I127" s="1035">
        <v>0</v>
      </c>
      <c r="J127" s="1032">
        <f t="shared" si="260"/>
        <v>0</v>
      </c>
      <c r="K127" s="1035">
        <v>0</v>
      </c>
      <c r="L127" s="1074">
        <v>0</v>
      </c>
      <c r="M127" s="1032">
        <f t="shared" si="261"/>
        <v>0</v>
      </c>
      <c r="N127" s="1035">
        <v>0</v>
      </c>
      <c r="O127" s="1036">
        <v>0</v>
      </c>
      <c r="P127" s="1032">
        <f t="shared" si="262"/>
        <v>0</v>
      </c>
      <c r="Q127" s="1035">
        <v>0</v>
      </c>
      <c r="R127" s="1036">
        <v>0</v>
      </c>
      <c r="S127" s="1032">
        <f t="shared" si="263"/>
        <v>0</v>
      </c>
      <c r="T127" s="1035">
        <v>0</v>
      </c>
      <c r="U127" s="1036">
        <v>0</v>
      </c>
      <c r="V127" s="1032">
        <f t="shared" si="264"/>
        <v>0</v>
      </c>
      <c r="W127" s="1037">
        <f t="shared" si="265"/>
        <v>0</v>
      </c>
      <c r="X127" s="1038">
        <v>0</v>
      </c>
      <c r="Y127" s="1039">
        <v>0</v>
      </c>
      <c r="Z127" s="1408">
        <v>0</v>
      </c>
      <c r="AA127" s="1040">
        <f t="shared" si="266"/>
        <v>0</v>
      </c>
      <c r="AB127" s="1038">
        <v>0</v>
      </c>
      <c r="AC127" s="1039">
        <v>0</v>
      </c>
      <c r="AD127" s="1040">
        <f t="shared" si="267"/>
        <v>0</v>
      </c>
      <c r="AE127" s="1038">
        <v>0</v>
      </c>
      <c r="AF127" s="1040">
        <f t="shared" si="268"/>
        <v>0</v>
      </c>
      <c r="AG127" s="1038">
        <v>0</v>
      </c>
      <c r="AH127" s="1040">
        <f t="shared" si="269"/>
        <v>0</v>
      </c>
      <c r="AI127" s="1038">
        <v>0</v>
      </c>
      <c r="AJ127" s="1039">
        <v>0</v>
      </c>
      <c r="AK127" s="1039">
        <v>0</v>
      </c>
      <c r="AL127" s="1039">
        <v>0</v>
      </c>
      <c r="AM127" s="1041">
        <v>0</v>
      </c>
      <c r="AN127" s="1041">
        <v>0</v>
      </c>
      <c r="AO127" s="1040">
        <f t="shared" si="270"/>
        <v>0</v>
      </c>
      <c r="AP127" s="1038">
        <v>0</v>
      </c>
      <c r="AQ127" s="1040">
        <f t="shared" si="271"/>
        <v>0</v>
      </c>
      <c r="AR127" s="1038">
        <v>0</v>
      </c>
      <c r="AS127" s="1039">
        <v>0</v>
      </c>
      <c r="AT127" s="1408">
        <v>0</v>
      </c>
      <c r="AU127" s="1040">
        <f t="shared" si="272"/>
        <v>0</v>
      </c>
      <c r="AV127" s="1038">
        <v>0</v>
      </c>
      <c r="AW127" s="1039">
        <v>0</v>
      </c>
      <c r="AX127" s="1040">
        <f t="shared" si="273"/>
        <v>0</v>
      </c>
      <c r="AY127" s="1038">
        <v>0</v>
      </c>
      <c r="AZ127" s="1040">
        <f t="shared" si="274"/>
        <v>0</v>
      </c>
      <c r="BA127" s="1038">
        <v>0</v>
      </c>
      <c r="BB127" s="1039">
        <v>0</v>
      </c>
      <c r="BC127" s="1040">
        <f t="shared" si="275"/>
        <v>0</v>
      </c>
      <c r="BD127" s="1042">
        <f t="shared" si="276"/>
        <v>0</v>
      </c>
      <c r="BE127" s="1052"/>
      <c r="BF127" s="1053"/>
      <c r="BG127" s="1048">
        <f t="shared" si="204"/>
        <v>0</v>
      </c>
      <c r="BH127" s="1052"/>
      <c r="BI127" s="1053"/>
      <c r="BJ127" s="1053"/>
      <c r="BK127" s="1053"/>
      <c r="BL127" s="1048">
        <f t="shared" si="277"/>
        <v>0</v>
      </c>
      <c r="BM127" s="1052"/>
      <c r="BN127" s="1053"/>
      <c r="BO127" s="1048">
        <f t="shared" si="278"/>
        <v>0</v>
      </c>
      <c r="BP127" s="1049"/>
      <c r="BQ127" s="1050"/>
      <c r="BR127" s="1050"/>
      <c r="BS127" s="1050"/>
      <c r="BT127" s="1053"/>
      <c r="BU127" s="1048">
        <f t="shared" si="279"/>
        <v>0</v>
      </c>
      <c r="BV127" s="1049"/>
      <c r="BW127" s="1050"/>
      <c r="BX127" s="1050"/>
      <c r="BY127" s="1050"/>
      <c r="BZ127" s="1050"/>
      <c r="CA127" s="1050"/>
      <c r="CB127" s="1053"/>
      <c r="CC127" s="1048">
        <f t="shared" si="280"/>
        <v>0</v>
      </c>
      <c r="CD127" s="1052"/>
      <c r="CE127" s="1053"/>
      <c r="CF127" s="1053"/>
      <c r="CG127" s="1053"/>
      <c r="CH127" s="1048">
        <f t="shared" si="281"/>
        <v>0</v>
      </c>
      <c r="CI127" s="1049"/>
      <c r="CJ127" s="1050"/>
      <c r="CK127" s="1050"/>
      <c r="CL127" s="1050"/>
      <c r="CM127" s="1050"/>
      <c r="CN127" s="1050"/>
      <c r="CO127" s="1051">
        <f t="shared" si="282"/>
        <v>0</v>
      </c>
      <c r="CP127" s="1052"/>
      <c r="CQ127" s="1053"/>
      <c r="CR127" s="1048">
        <f t="shared" si="283"/>
        <v>0</v>
      </c>
      <c r="CS127" s="1052"/>
      <c r="CT127" s="1053"/>
      <c r="CU127" s="1053"/>
      <c r="CV127" s="1053"/>
      <c r="CW127" s="1048">
        <f t="shared" si="284"/>
        <v>0</v>
      </c>
      <c r="CX127" s="1052"/>
      <c r="CY127" s="1048">
        <f t="shared" si="285"/>
        <v>0</v>
      </c>
      <c r="CZ127" s="1103">
        <f t="shared" si="286"/>
        <v>0</v>
      </c>
      <c r="DA127" s="1104">
        <f t="shared" si="287"/>
        <v>0</v>
      </c>
      <c r="DI127" s="1042">
        <f t="shared" si="288"/>
        <v>0</v>
      </c>
    </row>
    <row r="128" spans="1:113" s="1055" customFormat="1" ht="30">
      <c r="A128" s="955" t="s">
        <v>1366</v>
      </c>
      <c r="B128" s="1102" t="s">
        <v>863</v>
      </c>
      <c r="C128" s="1030" t="s">
        <v>111</v>
      </c>
      <c r="D128" s="1035">
        <v>300.75</v>
      </c>
      <c r="E128" s="1032">
        <f t="shared" si="191"/>
        <v>300.75</v>
      </c>
      <c r="F128" s="1035"/>
      <c r="G128" s="1036">
        <v>601.5</v>
      </c>
      <c r="H128" s="1032">
        <f t="shared" si="259"/>
        <v>601.5</v>
      </c>
      <c r="I128" s="1035">
        <v>300.75</v>
      </c>
      <c r="J128" s="1032">
        <f t="shared" si="260"/>
        <v>300.75</v>
      </c>
      <c r="K128" s="1035">
        <v>0</v>
      </c>
      <c r="L128" s="1074">
        <v>0</v>
      </c>
      <c r="M128" s="1032">
        <f t="shared" si="261"/>
        <v>0</v>
      </c>
      <c r="N128" s="1035">
        <v>0</v>
      </c>
      <c r="O128" s="1036">
        <v>0</v>
      </c>
      <c r="P128" s="1032">
        <f t="shared" si="262"/>
        <v>0</v>
      </c>
      <c r="Q128" s="1035">
        <v>0</v>
      </c>
      <c r="R128" s="1036">
        <v>0</v>
      </c>
      <c r="S128" s="1032">
        <f t="shared" si="263"/>
        <v>0</v>
      </c>
      <c r="T128" s="1035">
        <v>0</v>
      </c>
      <c r="U128" s="1036">
        <v>300.75</v>
      </c>
      <c r="V128" s="1032">
        <f t="shared" si="264"/>
        <v>300.75</v>
      </c>
      <c r="W128" s="1037">
        <f t="shared" si="265"/>
        <v>1503.75</v>
      </c>
      <c r="X128" s="1038">
        <v>0</v>
      </c>
      <c r="Y128" s="1039">
        <v>0</v>
      </c>
      <c r="Z128" s="1408">
        <v>0</v>
      </c>
      <c r="AA128" s="1040">
        <f t="shared" si="266"/>
        <v>0</v>
      </c>
      <c r="AB128" s="1038">
        <v>0</v>
      </c>
      <c r="AC128" s="1039">
        <v>0</v>
      </c>
      <c r="AD128" s="1040">
        <f t="shared" si="267"/>
        <v>0</v>
      </c>
      <c r="AE128" s="1038">
        <v>601.5</v>
      </c>
      <c r="AF128" s="1040">
        <f t="shared" si="268"/>
        <v>601.5</v>
      </c>
      <c r="AG128" s="1038">
        <v>0</v>
      </c>
      <c r="AH128" s="1040">
        <f t="shared" si="269"/>
        <v>0</v>
      </c>
      <c r="AI128" s="1038">
        <v>0</v>
      </c>
      <c r="AJ128" s="1039">
        <v>0</v>
      </c>
      <c r="AK128" s="1039">
        <v>0</v>
      </c>
      <c r="AL128" s="1039">
        <v>0</v>
      </c>
      <c r="AM128" s="1041">
        <v>0</v>
      </c>
      <c r="AN128" s="1041">
        <v>0</v>
      </c>
      <c r="AO128" s="1040">
        <f t="shared" si="270"/>
        <v>0</v>
      </c>
      <c r="AP128" s="1038">
        <v>300.75</v>
      </c>
      <c r="AQ128" s="1040">
        <f t="shared" si="271"/>
        <v>300.75</v>
      </c>
      <c r="AR128" s="1038">
        <v>0</v>
      </c>
      <c r="AS128" s="1039">
        <v>0</v>
      </c>
      <c r="AT128" s="1408">
        <v>0</v>
      </c>
      <c r="AU128" s="1040">
        <f t="shared" si="272"/>
        <v>0</v>
      </c>
      <c r="AV128" s="1038">
        <v>0</v>
      </c>
      <c r="AW128" s="1039">
        <v>0</v>
      </c>
      <c r="AX128" s="1040">
        <f t="shared" si="273"/>
        <v>0</v>
      </c>
      <c r="AY128" s="1038">
        <v>0</v>
      </c>
      <c r="AZ128" s="1040">
        <f t="shared" si="274"/>
        <v>0</v>
      </c>
      <c r="BA128" s="1038">
        <v>0</v>
      </c>
      <c r="BB128" s="1039">
        <v>300.75</v>
      </c>
      <c r="BC128" s="1040">
        <f t="shared" si="275"/>
        <v>300.75</v>
      </c>
      <c r="BD128" s="1042">
        <f t="shared" si="276"/>
        <v>1203</v>
      </c>
      <c r="BE128" s="1052">
        <v>300.75</v>
      </c>
      <c r="BF128" s="1053">
        <v>300.75</v>
      </c>
      <c r="BG128" s="1048">
        <f t="shared" si="204"/>
        <v>601.5</v>
      </c>
      <c r="BH128" s="1052"/>
      <c r="BI128" s="1053"/>
      <c r="BJ128" s="1053"/>
      <c r="BK128" s="1053"/>
      <c r="BL128" s="1048">
        <f t="shared" si="277"/>
        <v>0</v>
      </c>
      <c r="BM128" s="1052"/>
      <c r="BN128" s="1053"/>
      <c r="BO128" s="1048">
        <f t="shared" si="278"/>
        <v>0</v>
      </c>
      <c r="BP128" s="1049"/>
      <c r="BQ128" s="1050"/>
      <c r="BR128" s="1050"/>
      <c r="BS128" s="1050"/>
      <c r="BT128" s="1053"/>
      <c r="BU128" s="1048">
        <f t="shared" si="279"/>
        <v>0</v>
      </c>
      <c r="BV128" s="1049"/>
      <c r="BW128" s="1050"/>
      <c r="BX128" s="1050"/>
      <c r="BY128" s="1050"/>
      <c r="BZ128" s="1050"/>
      <c r="CA128" s="1050"/>
      <c r="CB128" s="1053"/>
      <c r="CC128" s="1048">
        <f t="shared" si="280"/>
        <v>0</v>
      </c>
      <c r="CD128" s="1052"/>
      <c r="CE128" s="1053"/>
      <c r="CF128" s="1053"/>
      <c r="CG128" s="1053"/>
      <c r="CH128" s="1048">
        <f t="shared" si="281"/>
        <v>0</v>
      </c>
      <c r="CI128" s="1049"/>
      <c r="CJ128" s="1050"/>
      <c r="CK128" s="1050">
        <v>300.75</v>
      </c>
      <c r="CL128" s="1050"/>
      <c r="CM128" s="1050">
        <v>300.75</v>
      </c>
      <c r="CN128" s="1050"/>
      <c r="CO128" s="1051">
        <f t="shared" si="282"/>
        <v>601.5</v>
      </c>
      <c r="CP128" s="1052"/>
      <c r="CQ128" s="1053"/>
      <c r="CR128" s="1048">
        <f t="shared" si="283"/>
        <v>0</v>
      </c>
      <c r="CS128" s="1052"/>
      <c r="CT128" s="1053"/>
      <c r="CU128" s="1053"/>
      <c r="CV128" s="1053"/>
      <c r="CW128" s="1048">
        <f t="shared" si="284"/>
        <v>0</v>
      </c>
      <c r="CX128" s="1052"/>
      <c r="CY128" s="1048">
        <f t="shared" si="285"/>
        <v>0</v>
      </c>
      <c r="CZ128" s="1103">
        <f t="shared" si="286"/>
        <v>1203</v>
      </c>
      <c r="DA128" s="1104">
        <f t="shared" si="287"/>
        <v>3909.75</v>
      </c>
      <c r="DI128" s="1042">
        <f t="shared" si="288"/>
        <v>0</v>
      </c>
    </row>
    <row r="129" spans="1:113" s="1055" customFormat="1" ht="30">
      <c r="A129" s="955" t="s">
        <v>1399</v>
      </c>
      <c r="B129" s="1102" t="s">
        <v>1400</v>
      </c>
      <c r="C129" s="1030" t="s">
        <v>81</v>
      </c>
      <c r="D129" s="1035">
        <v>0</v>
      </c>
      <c r="E129" s="1032">
        <f t="shared" si="191"/>
        <v>0</v>
      </c>
      <c r="F129" s="1035"/>
      <c r="G129" s="1036">
        <v>0</v>
      </c>
      <c r="H129" s="1032">
        <f t="shared" si="259"/>
        <v>0</v>
      </c>
      <c r="I129" s="1035">
        <v>0</v>
      </c>
      <c r="J129" s="1032">
        <f t="shared" si="260"/>
        <v>0</v>
      </c>
      <c r="K129" s="1035">
        <v>0</v>
      </c>
      <c r="L129" s="1074">
        <v>0</v>
      </c>
      <c r="M129" s="1032">
        <f t="shared" si="261"/>
        <v>0</v>
      </c>
      <c r="N129" s="1035">
        <v>0</v>
      </c>
      <c r="O129" s="1036">
        <v>0</v>
      </c>
      <c r="P129" s="1032">
        <f t="shared" si="262"/>
        <v>0</v>
      </c>
      <c r="Q129" s="1035">
        <v>0</v>
      </c>
      <c r="R129" s="1036">
        <v>0</v>
      </c>
      <c r="S129" s="1032">
        <f t="shared" si="263"/>
        <v>0</v>
      </c>
      <c r="T129" s="1035">
        <v>0</v>
      </c>
      <c r="U129" s="1036">
        <v>0</v>
      </c>
      <c r="V129" s="1032">
        <f t="shared" si="264"/>
        <v>0</v>
      </c>
      <c r="W129" s="1037">
        <f t="shared" si="265"/>
        <v>0</v>
      </c>
      <c r="X129" s="1038">
        <v>0</v>
      </c>
      <c r="Y129" s="1039">
        <v>0</v>
      </c>
      <c r="Z129" s="1408">
        <v>0</v>
      </c>
      <c r="AA129" s="1040">
        <f t="shared" si="266"/>
        <v>0</v>
      </c>
      <c r="AB129" s="1038">
        <v>0</v>
      </c>
      <c r="AC129" s="1039">
        <v>0</v>
      </c>
      <c r="AD129" s="1040">
        <f t="shared" si="267"/>
        <v>0</v>
      </c>
      <c r="AE129" s="1038">
        <v>0</v>
      </c>
      <c r="AF129" s="1040">
        <f t="shared" si="268"/>
        <v>0</v>
      </c>
      <c r="AG129" s="1038">
        <v>0</v>
      </c>
      <c r="AH129" s="1040">
        <f t="shared" si="269"/>
        <v>0</v>
      </c>
      <c r="AI129" s="1038">
        <v>0</v>
      </c>
      <c r="AJ129" s="1039">
        <v>0</v>
      </c>
      <c r="AK129" s="1039">
        <v>0</v>
      </c>
      <c r="AL129" s="1039">
        <v>0</v>
      </c>
      <c r="AM129" s="1041">
        <v>0</v>
      </c>
      <c r="AN129" s="1041">
        <v>0</v>
      </c>
      <c r="AO129" s="1040">
        <f t="shared" si="270"/>
        <v>0</v>
      </c>
      <c r="AP129" s="1038">
        <v>0</v>
      </c>
      <c r="AQ129" s="1040">
        <f t="shared" si="271"/>
        <v>0</v>
      </c>
      <c r="AR129" s="1038">
        <v>0</v>
      </c>
      <c r="AS129" s="1039">
        <v>0</v>
      </c>
      <c r="AT129" s="1408">
        <v>0</v>
      </c>
      <c r="AU129" s="1040">
        <f t="shared" si="272"/>
        <v>0</v>
      </c>
      <c r="AV129" s="1038">
        <v>0</v>
      </c>
      <c r="AW129" s="1039">
        <v>0</v>
      </c>
      <c r="AX129" s="1040">
        <f t="shared" si="273"/>
        <v>0</v>
      </c>
      <c r="AY129" s="1038">
        <v>0</v>
      </c>
      <c r="AZ129" s="1040">
        <f t="shared" si="274"/>
        <v>0</v>
      </c>
      <c r="BA129" s="1038">
        <v>0</v>
      </c>
      <c r="BB129" s="1039">
        <v>0</v>
      </c>
      <c r="BC129" s="1040">
        <f t="shared" si="275"/>
        <v>0</v>
      </c>
      <c r="BD129" s="1042">
        <f t="shared" si="276"/>
        <v>0</v>
      </c>
      <c r="BE129" s="1052"/>
      <c r="BF129" s="1053"/>
      <c r="BG129" s="1048">
        <f t="shared" si="204"/>
        <v>0</v>
      </c>
      <c r="BH129" s="1052"/>
      <c r="BI129" s="1053"/>
      <c r="BJ129" s="1053"/>
      <c r="BK129" s="1053"/>
      <c r="BL129" s="1048">
        <f t="shared" si="277"/>
        <v>0</v>
      </c>
      <c r="BM129" s="1052"/>
      <c r="BN129" s="1053"/>
      <c r="BO129" s="1048">
        <f t="shared" si="278"/>
        <v>0</v>
      </c>
      <c r="BP129" s="1049"/>
      <c r="BQ129" s="1050"/>
      <c r="BR129" s="1050"/>
      <c r="BS129" s="1050"/>
      <c r="BT129" s="1053"/>
      <c r="BU129" s="1048">
        <f t="shared" si="279"/>
        <v>0</v>
      </c>
      <c r="BV129" s="1049"/>
      <c r="BW129" s="1050"/>
      <c r="BX129" s="1050"/>
      <c r="BY129" s="1050"/>
      <c r="BZ129" s="1050"/>
      <c r="CA129" s="1050"/>
      <c r="CB129" s="1053"/>
      <c r="CC129" s="1048">
        <f t="shared" si="280"/>
        <v>0</v>
      </c>
      <c r="CD129" s="1052"/>
      <c r="CE129" s="1053"/>
      <c r="CF129" s="1053"/>
      <c r="CG129" s="1053"/>
      <c r="CH129" s="1048">
        <f t="shared" si="281"/>
        <v>0</v>
      </c>
      <c r="CI129" s="1049"/>
      <c r="CJ129" s="1050"/>
      <c r="CK129" s="1050"/>
      <c r="CL129" s="1050"/>
      <c r="CM129" s="1050"/>
      <c r="CN129" s="1050"/>
      <c r="CO129" s="1051">
        <f t="shared" si="282"/>
        <v>0</v>
      </c>
      <c r="CP129" s="1052"/>
      <c r="CQ129" s="1053"/>
      <c r="CR129" s="1048">
        <f t="shared" si="283"/>
        <v>0</v>
      </c>
      <c r="CS129" s="1052"/>
      <c r="CT129" s="1053"/>
      <c r="CU129" s="1053"/>
      <c r="CV129" s="1053"/>
      <c r="CW129" s="1048">
        <f t="shared" si="284"/>
        <v>0</v>
      </c>
      <c r="CX129" s="1052"/>
      <c r="CY129" s="1048">
        <f t="shared" si="285"/>
        <v>0</v>
      </c>
      <c r="CZ129" s="1103">
        <f t="shared" si="286"/>
        <v>0</v>
      </c>
      <c r="DA129" s="1104">
        <f t="shared" si="287"/>
        <v>0</v>
      </c>
      <c r="DI129" s="1042">
        <f t="shared" si="288"/>
        <v>0</v>
      </c>
    </row>
    <row r="130" spans="1:113" s="1055" customFormat="1" ht="30">
      <c r="A130" s="955" t="s">
        <v>1401</v>
      </c>
      <c r="B130" s="1102" t="s">
        <v>1402</v>
      </c>
      <c r="C130" s="1030" t="s">
        <v>829</v>
      </c>
      <c r="D130" s="1035">
        <v>0</v>
      </c>
      <c r="E130" s="1032">
        <f t="shared" si="191"/>
        <v>0</v>
      </c>
      <c r="F130" s="1035"/>
      <c r="G130" s="1036">
        <v>0</v>
      </c>
      <c r="H130" s="1032">
        <f t="shared" si="259"/>
        <v>0</v>
      </c>
      <c r="I130" s="1035">
        <v>0</v>
      </c>
      <c r="J130" s="1032">
        <f t="shared" si="260"/>
        <v>0</v>
      </c>
      <c r="K130" s="1035">
        <v>0</v>
      </c>
      <c r="L130" s="1074">
        <v>0</v>
      </c>
      <c r="M130" s="1032">
        <f t="shared" si="261"/>
        <v>0</v>
      </c>
      <c r="N130" s="1035">
        <v>0</v>
      </c>
      <c r="O130" s="1036">
        <v>0</v>
      </c>
      <c r="P130" s="1032">
        <f t="shared" si="262"/>
        <v>0</v>
      </c>
      <c r="Q130" s="1035">
        <v>0</v>
      </c>
      <c r="R130" s="1036">
        <v>0</v>
      </c>
      <c r="S130" s="1032">
        <f t="shared" si="263"/>
        <v>0</v>
      </c>
      <c r="T130" s="1035">
        <v>0</v>
      </c>
      <c r="U130" s="1036">
        <v>0</v>
      </c>
      <c r="V130" s="1032">
        <f t="shared" si="264"/>
        <v>0</v>
      </c>
      <c r="W130" s="1037">
        <f t="shared" si="265"/>
        <v>0</v>
      </c>
      <c r="X130" s="1038">
        <v>0</v>
      </c>
      <c r="Y130" s="1039">
        <v>0</v>
      </c>
      <c r="Z130" s="1408">
        <v>0</v>
      </c>
      <c r="AA130" s="1040">
        <f t="shared" si="266"/>
        <v>0</v>
      </c>
      <c r="AB130" s="1038">
        <v>0</v>
      </c>
      <c r="AC130" s="1039">
        <v>0</v>
      </c>
      <c r="AD130" s="1040">
        <f t="shared" si="267"/>
        <v>0</v>
      </c>
      <c r="AE130" s="1038">
        <v>0</v>
      </c>
      <c r="AF130" s="1040">
        <f t="shared" si="268"/>
        <v>0</v>
      </c>
      <c r="AG130" s="1038">
        <v>0</v>
      </c>
      <c r="AH130" s="1040">
        <f t="shared" si="269"/>
        <v>0</v>
      </c>
      <c r="AI130" s="1038">
        <v>0</v>
      </c>
      <c r="AJ130" s="1039">
        <v>0</v>
      </c>
      <c r="AK130" s="1039">
        <v>0</v>
      </c>
      <c r="AL130" s="1039">
        <v>0</v>
      </c>
      <c r="AM130" s="1041">
        <v>0</v>
      </c>
      <c r="AN130" s="1041">
        <v>0</v>
      </c>
      <c r="AO130" s="1040">
        <f t="shared" si="270"/>
        <v>0</v>
      </c>
      <c r="AP130" s="1038">
        <v>0</v>
      </c>
      <c r="AQ130" s="1040">
        <f t="shared" si="271"/>
        <v>0</v>
      </c>
      <c r="AR130" s="1038">
        <v>0</v>
      </c>
      <c r="AS130" s="1039">
        <v>0</v>
      </c>
      <c r="AT130" s="1408">
        <v>0</v>
      </c>
      <c r="AU130" s="1040">
        <f t="shared" si="272"/>
        <v>0</v>
      </c>
      <c r="AV130" s="1038">
        <v>0</v>
      </c>
      <c r="AW130" s="1039">
        <v>0</v>
      </c>
      <c r="AX130" s="1040">
        <f t="shared" si="273"/>
        <v>0</v>
      </c>
      <c r="AY130" s="1038">
        <v>0</v>
      </c>
      <c r="AZ130" s="1040">
        <f t="shared" si="274"/>
        <v>0</v>
      </c>
      <c r="BA130" s="1038">
        <v>0</v>
      </c>
      <c r="BB130" s="1039">
        <v>0</v>
      </c>
      <c r="BC130" s="1040">
        <f t="shared" si="275"/>
        <v>0</v>
      </c>
      <c r="BD130" s="1042">
        <f t="shared" si="276"/>
        <v>0</v>
      </c>
      <c r="BE130" s="1052"/>
      <c r="BF130" s="1053"/>
      <c r="BG130" s="1048">
        <f t="shared" si="204"/>
        <v>0</v>
      </c>
      <c r="BH130" s="1052"/>
      <c r="BI130" s="1053"/>
      <c r="BJ130" s="1053"/>
      <c r="BK130" s="1053"/>
      <c r="BL130" s="1048">
        <f t="shared" si="277"/>
        <v>0</v>
      </c>
      <c r="BM130" s="1052"/>
      <c r="BN130" s="1053"/>
      <c r="BO130" s="1048">
        <f t="shared" si="278"/>
        <v>0</v>
      </c>
      <c r="BP130" s="1049"/>
      <c r="BQ130" s="1050"/>
      <c r="BR130" s="1050"/>
      <c r="BS130" s="1050"/>
      <c r="BT130" s="1053"/>
      <c r="BU130" s="1048">
        <f t="shared" si="279"/>
        <v>0</v>
      </c>
      <c r="BV130" s="1049"/>
      <c r="BW130" s="1050"/>
      <c r="BX130" s="1050"/>
      <c r="BY130" s="1050"/>
      <c r="BZ130" s="1050"/>
      <c r="CA130" s="1050"/>
      <c r="CB130" s="1053"/>
      <c r="CC130" s="1048">
        <f t="shared" si="280"/>
        <v>0</v>
      </c>
      <c r="CD130" s="1052"/>
      <c r="CE130" s="1053"/>
      <c r="CF130" s="1053"/>
      <c r="CG130" s="1053"/>
      <c r="CH130" s="1048">
        <f t="shared" si="281"/>
        <v>0</v>
      </c>
      <c r="CI130" s="1049"/>
      <c r="CJ130" s="1050"/>
      <c r="CK130" s="1050"/>
      <c r="CL130" s="1050"/>
      <c r="CM130" s="1050"/>
      <c r="CN130" s="1050"/>
      <c r="CO130" s="1051">
        <f t="shared" si="282"/>
        <v>0</v>
      </c>
      <c r="CP130" s="1052"/>
      <c r="CQ130" s="1053"/>
      <c r="CR130" s="1048">
        <f t="shared" si="283"/>
        <v>0</v>
      </c>
      <c r="CS130" s="1052"/>
      <c r="CT130" s="1053"/>
      <c r="CU130" s="1053"/>
      <c r="CV130" s="1053"/>
      <c r="CW130" s="1048">
        <f t="shared" si="284"/>
        <v>0</v>
      </c>
      <c r="CX130" s="1052"/>
      <c r="CY130" s="1048">
        <f t="shared" si="285"/>
        <v>0</v>
      </c>
      <c r="CZ130" s="1103">
        <f t="shared" si="286"/>
        <v>0</v>
      </c>
      <c r="DA130" s="1104">
        <f t="shared" si="287"/>
        <v>0</v>
      </c>
      <c r="DI130" s="1042">
        <f t="shared" si="288"/>
        <v>0</v>
      </c>
    </row>
    <row r="131" spans="1:113" s="1055" customFormat="1">
      <c r="A131" s="955" t="s">
        <v>85</v>
      </c>
      <c r="B131" s="1102" t="s">
        <v>1347</v>
      </c>
      <c r="C131" s="1030" t="s">
        <v>111</v>
      </c>
      <c r="D131" s="1035">
        <v>0</v>
      </c>
      <c r="E131" s="1032">
        <f t="shared" si="191"/>
        <v>0</v>
      </c>
      <c r="F131" s="1035"/>
      <c r="G131" s="1036">
        <v>0</v>
      </c>
      <c r="H131" s="1032">
        <f t="shared" si="259"/>
        <v>0</v>
      </c>
      <c r="I131" s="1035">
        <v>0</v>
      </c>
      <c r="J131" s="1032">
        <f t="shared" si="260"/>
        <v>0</v>
      </c>
      <c r="K131" s="1035">
        <v>0</v>
      </c>
      <c r="L131" s="1074">
        <v>0</v>
      </c>
      <c r="M131" s="1032">
        <f t="shared" si="261"/>
        <v>0</v>
      </c>
      <c r="N131" s="1035">
        <v>0</v>
      </c>
      <c r="O131" s="1036">
        <v>0</v>
      </c>
      <c r="P131" s="1032">
        <f t="shared" si="262"/>
        <v>0</v>
      </c>
      <c r="Q131" s="1035">
        <v>0</v>
      </c>
      <c r="R131" s="1036">
        <v>0</v>
      </c>
      <c r="S131" s="1032">
        <f t="shared" si="263"/>
        <v>0</v>
      </c>
      <c r="T131" s="1035">
        <v>0</v>
      </c>
      <c r="U131" s="1036">
        <v>0</v>
      </c>
      <c r="V131" s="1032">
        <f t="shared" si="264"/>
        <v>0</v>
      </c>
      <c r="W131" s="1037">
        <f t="shared" si="265"/>
        <v>0</v>
      </c>
      <c r="X131" s="1038">
        <v>0</v>
      </c>
      <c r="Y131" s="1039">
        <v>0</v>
      </c>
      <c r="Z131" s="1408">
        <v>0</v>
      </c>
      <c r="AA131" s="1040">
        <f t="shared" si="266"/>
        <v>0</v>
      </c>
      <c r="AB131" s="1038">
        <v>0</v>
      </c>
      <c r="AC131" s="1039">
        <v>0</v>
      </c>
      <c r="AD131" s="1040">
        <f t="shared" si="267"/>
        <v>0</v>
      </c>
      <c r="AE131" s="1038">
        <v>0</v>
      </c>
      <c r="AF131" s="1040">
        <f t="shared" si="268"/>
        <v>0</v>
      </c>
      <c r="AG131" s="1038">
        <v>0</v>
      </c>
      <c r="AH131" s="1040">
        <f t="shared" si="269"/>
        <v>0</v>
      </c>
      <c r="AI131" s="1038">
        <v>0</v>
      </c>
      <c r="AJ131" s="1039">
        <v>0</v>
      </c>
      <c r="AK131" s="1039">
        <v>0</v>
      </c>
      <c r="AL131" s="1039">
        <v>0</v>
      </c>
      <c r="AM131" s="1041">
        <v>0</v>
      </c>
      <c r="AN131" s="1041">
        <v>0</v>
      </c>
      <c r="AO131" s="1040">
        <f t="shared" si="270"/>
        <v>0</v>
      </c>
      <c r="AP131" s="1038">
        <v>0</v>
      </c>
      <c r="AQ131" s="1040">
        <f t="shared" si="271"/>
        <v>0</v>
      </c>
      <c r="AR131" s="1038">
        <v>0</v>
      </c>
      <c r="AS131" s="1039">
        <v>0</v>
      </c>
      <c r="AT131" s="1408">
        <v>0</v>
      </c>
      <c r="AU131" s="1040">
        <f t="shared" si="272"/>
        <v>0</v>
      </c>
      <c r="AV131" s="1038">
        <v>0</v>
      </c>
      <c r="AW131" s="1039">
        <v>0</v>
      </c>
      <c r="AX131" s="1040">
        <f t="shared" si="273"/>
        <v>0</v>
      </c>
      <c r="AY131" s="1038">
        <v>0</v>
      </c>
      <c r="AZ131" s="1040">
        <f t="shared" si="274"/>
        <v>0</v>
      </c>
      <c r="BA131" s="1038">
        <v>0</v>
      </c>
      <c r="BB131" s="1039">
        <v>0</v>
      </c>
      <c r="BC131" s="1040">
        <f t="shared" si="275"/>
        <v>0</v>
      </c>
      <c r="BD131" s="1042">
        <f t="shared" si="276"/>
        <v>0</v>
      </c>
      <c r="BE131" s="1052"/>
      <c r="BF131" s="1053"/>
      <c r="BG131" s="1048">
        <f t="shared" si="204"/>
        <v>0</v>
      </c>
      <c r="BH131" s="1052"/>
      <c r="BI131" s="1053"/>
      <c r="BJ131" s="1053"/>
      <c r="BK131" s="1053"/>
      <c r="BL131" s="1048">
        <f t="shared" si="277"/>
        <v>0</v>
      </c>
      <c r="BM131" s="1052"/>
      <c r="BN131" s="1053"/>
      <c r="BO131" s="1048">
        <f t="shared" si="278"/>
        <v>0</v>
      </c>
      <c r="BP131" s="1049"/>
      <c r="BQ131" s="1050"/>
      <c r="BR131" s="1050"/>
      <c r="BS131" s="1050"/>
      <c r="BT131" s="1053"/>
      <c r="BU131" s="1048">
        <f t="shared" si="279"/>
        <v>0</v>
      </c>
      <c r="BV131" s="1049"/>
      <c r="BW131" s="1050"/>
      <c r="BX131" s="1050"/>
      <c r="BY131" s="1050"/>
      <c r="BZ131" s="1050"/>
      <c r="CA131" s="1050"/>
      <c r="CB131" s="1053"/>
      <c r="CC131" s="1048">
        <f t="shared" si="280"/>
        <v>0</v>
      </c>
      <c r="CD131" s="1052"/>
      <c r="CE131" s="1053"/>
      <c r="CF131" s="1053"/>
      <c r="CG131" s="1053"/>
      <c r="CH131" s="1048">
        <f t="shared" si="281"/>
        <v>0</v>
      </c>
      <c r="CI131" s="1049"/>
      <c r="CJ131" s="1050"/>
      <c r="CK131" s="1050"/>
      <c r="CL131" s="1050"/>
      <c r="CM131" s="1050"/>
      <c r="CN131" s="1050"/>
      <c r="CO131" s="1051">
        <f t="shared" si="282"/>
        <v>0</v>
      </c>
      <c r="CP131" s="1052"/>
      <c r="CQ131" s="1053"/>
      <c r="CR131" s="1048">
        <f t="shared" si="283"/>
        <v>0</v>
      </c>
      <c r="CS131" s="1052"/>
      <c r="CT131" s="1053"/>
      <c r="CU131" s="1053"/>
      <c r="CV131" s="1053"/>
      <c r="CW131" s="1048">
        <f t="shared" si="284"/>
        <v>0</v>
      </c>
      <c r="CX131" s="1052"/>
      <c r="CY131" s="1048">
        <f t="shared" si="285"/>
        <v>0</v>
      </c>
      <c r="CZ131" s="1103">
        <f t="shared" si="286"/>
        <v>0</v>
      </c>
      <c r="DA131" s="1104">
        <f t="shared" si="287"/>
        <v>0</v>
      </c>
      <c r="DI131" s="1042">
        <f t="shared" si="288"/>
        <v>0</v>
      </c>
    </row>
    <row r="132" spans="1:113" s="1055" customFormat="1">
      <c r="A132" s="955" t="s">
        <v>93</v>
      </c>
      <c r="B132" s="1102" t="s">
        <v>1403</v>
      </c>
      <c r="C132" s="1030" t="s">
        <v>111</v>
      </c>
      <c r="D132" s="1035">
        <v>181.38022000000001</v>
      </c>
      <c r="E132" s="1032">
        <f t="shared" si="191"/>
        <v>181.38022000000001</v>
      </c>
      <c r="F132" s="1035"/>
      <c r="G132" s="1036">
        <v>362.76044000000002</v>
      </c>
      <c r="H132" s="1032">
        <f t="shared" si="259"/>
        <v>362.76044000000002</v>
      </c>
      <c r="I132" s="1035">
        <v>181.38022000000001</v>
      </c>
      <c r="J132" s="1032">
        <f t="shared" si="260"/>
        <v>181.38022000000001</v>
      </c>
      <c r="K132" s="1035">
        <v>0</v>
      </c>
      <c r="L132" s="1074">
        <v>0</v>
      </c>
      <c r="M132" s="1032">
        <f t="shared" si="261"/>
        <v>0</v>
      </c>
      <c r="N132" s="1035">
        <v>0</v>
      </c>
      <c r="O132" s="1036">
        <v>0</v>
      </c>
      <c r="P132" s="1032">
        <f t="shared" si="262"/>
        <v>0</v>
      </c>
      <c r="Q132" s="1035">
        <v>0</v>
      </c>
      <c r="R132" s="1036">
        <v>0</v>
      </c>
      <c r="S132" s="1032">
        <f t="shared" si="263"/>
        <v>0</v>
      </c>
      <c r="T132" s="1035">
        <v>0</v>
      </c>
      <c r="U132" s="1036">
        <v>181.38022000000001</v>
      </c>
      <c r="V132" s="1032">
        <f t="shared" si="264"/>
        <v>181.38022000000001</v>
      </c>
      <c r="W132" s="1037">
        <f t="shared" si="265"/>
        <v>906.90110000000004</v>
      </c>
      <c r="X132" s="1038">
        <v>0</v>
      </c>
      <c r="Y132" s="1039">
        <v>0</v>
      </c>
      <c r="Z132" s="1408">
        <v>0</v>
      </c>
      <c r="AA132" s="1040">
        <f t="shared" si="266"/>
        <v>0</v>
      </c>
      <c r="AB132" s="1038">
        <v>0</v>
      </c>
      <c r="AC132" s="1039">
        <v>0</v>
      </c>
      <c r="AD132" s="1040">
        <f t="shared" si="267"/>
        <v>0</v>
      </c>
      <c r="AE132" s="1038">
        <v>362.76044000000002</v>
      </c>
      <c r="AF132" s="1040">
        <f t="shared" si="268"/>
        <v>362.76044000000002</v>
      </c>
      <c r="AG132" s="1038">
        <v>0</v>
      </c>
      <c r="AH132" s="1040">
        <f t="shared" si="269"/>
        <v>0</v>
      </c>
      <c r="AI132" s="1038">
        <v>0</v>
      </c>
      <c r="AJ132" s="1039">
        <v>0</v>
      </c>
      <c r="AK132" s="1039">
        <v>0</v>
      </c>
      <c r="AL132" s="1039">
        <v>0</v>
      </c>
      <c r="AM132" s="1041">
        <v>0</v>
      </c>
      <c r="AN132" s="1041">
        <v>0</v>
      </c>
      <c r="AO132" s="1040">
        <f t="shared" si="270"/>
        <v>0</v>
      </c>
      <c r="AP132" s="1038">
        <v>181.38022000000001</v>
      </c>
      <c r="AQ132" s="1040">
        <f t="shared" si="271"/>
        <v>181.38022000000001</v>
      </c>
      <c r="AR132" s="1038">
        <v>0</v>
      </c>
      <c r="AS132" s="1039">
        <v>0</v>
      </c>
      <c r="AT132" s="1408">
        <v>0</v>
      </c>
      <c r="AU132" s="1040">
        <f t="shared" si="272"/>
        <v>0</v>
      </c>
      <c r="AV132" s="1038">
        <v>0</v>
      </c>
      <c r="AW132" s="1039">
        <v>0</v>
      </c>
      <c r="AX132" s="1040">
        <f t="shared" si="273"/>
        <v>0</v>
      </c>
      <c r="AY132" s="1038">
        <v>0</v>
      </c>
      <c r="AZ132" s="1040">
        <f t="shared" si="274"/>
        <v>0</v>
      </c>
      <c r="BA132" s="1038">
        <v>0</v>
      </c>
      <c r="BB132" s="1039">
        <v>181.38022000000001</v>
      </c>
      <c r="BC132" s="1040">
        <f t="shared" si="275"/>
        <v>181.38022000000001</v>
      </c>
      <c r="BD132" s="1042">
        <f t="shared" si="276"/>
        <v>725.52088000000003</v>
      </c>
      <c r="BE132" s="1052">
        <v>181.38022000000001</v>
      </c>
      <c r="BF132" s="1053">
        <v>181.38022000000001</v>
      </c>
      <c r="BG132" s="1048">
        <f t="shared" si="204"/>
        <v>362.76044000000002</v>
      </c>
      <c r="BH132" s="1052"/>
      <c r="BI132" s="1053"/>
      <c r="BJ132" s="1053"/>
      <c r="BK132" s="1053"/>
      <c r="BL132" s="1048">
        <f t="shared" si="277"/>
        <v>0</v>
      </c>
      <c r="BM132" s="1052"/>
      <c r="BN132" s="1053"/>
      <c r="BO132" s="1048">
        <f t="shared" si="278"/>
        <v>0</v>
      </c>
      <c r="BP132" s="1049"/>
      <c r="BQ132" s="1050"/>
      <c r="BR132" s="1050"/>
      <c r="BS132" s="1050"/>
      <c r="BT132" s="1053"/>
      <c r="BU132" s="1048">
        <f t="shared" si="279"/>
        <v>0</v>
      </c>
      <c r="BV132" s="1049"/>
      <c r="BW132" s="1050"/>
      <c r="BX132" s="1050"/>
      <c r="BY132" s="1050"/>
      <c r="BZ132" s="1050"/>
      <c r="CA132" s="1050"/>
      <c r="CB132" s="1053"/>
      <c r="CC132" s="1048">
        <f t="shared" si="280"/>
        <v>0</v>
      </c>
      <c r="CD132" s="1052"/>
      <c r="CE132" s="1053"/>
      <c r="CF132" s="1053"/>
      <c r="CG132" s="1053"/>
      <c r="CH132" s="1048">
        <f t="shared" si="281"/>
        <v>0</v>
      </c>
      <c r="CI132" s="1049"/>
      <c r="CJ132" s="1050"/>
      <c r="CK132" s="1050">
        <v>181.38022000000001</v>
      </c>
      <c r="CL132" s="1050"/>
      <c r="CM132" s="1050">
        <v>181.38022000000001</v>
      </c>
      <c r="CN132" s="1050"/>
      <c r="CO132" s="1051">
        <f t="shared" si="282"/>
        <v>362.76044000000002</v>
      </c>
      <c r="CP132" s="1052"/>
      <c r="CQ132" s="1053"/>
      <c r="CR132" s="1048">
        <f t="shared" si="283"/>
        <v>0</v>
      </c>
      <c r="CS132" s="1052"/>
      <c r="CT132" s="1053"/>
      <c r="CU132" s="1053"/>
      <c r="CV132" s="1053"/>
      <c r="CW132" s="1048">
        <f t="shared" si="284"/>
        <v>0</v>
      </c>
      <c r="CX132" s="1052"/>
      <c r="CY132" s="1048">
        <f t="shared" si="285"/>
        <v>0</v>
      </c>
      <c r="CZ132" s="1103">
        <f t="shared" si="286"/>
        <v>725.52088000000003</v>
      </c>
      <c r="DA132" s="1104">
        <f t="shared" si="287"/>
        <v>2357.9428600000001</v>
      </c>
      <c r="DI132" s="1042">
        <f t="shared" si="288"/>
        <v>0</v>
      </c>
    </row>
    <row r="133" spans="1:113" s="1055" customFormat="1">
      <c r="A133" s="955" t="s">
        <v>346</v>
      </c>
      <c r="B133" s="1102" t="s">
        <v>1404</v>
      </c>
      <c r="C133" s="1030" t="s">
        <v>111</v>
      </c>
      <c r="D133" s="1035">
        <v>0</v>
      </c>
      <c r="E133" s="1032">
        <f t="shared" si="191"/>
        <v>0</v>
      </c>
      <c r="F133" s="1035"/>
      <c r="G133" s="1036">
        <v>0</v>
      </c>
      <c r="H133" s="1032">
        <f t="shared" si="259"/>
        <v>0</v>
      </c>
      <c r="I133" s="1035">
        <v>0</v>
      </c>
      <c r="J133" s="1032">
        <f t="shared" si="260"/>
        <v>0</v>
      </c>
      <c r="K133" s="1035">
        <v>0</v>
      </c>
      <c r="L133" s="1074">
        <v>0</v>
      </c>
      <c r="M133" s="1032">
        <f t="shared" si="261"/>
        <v>0</v>
      </c>
      <c r="N133" s="1035">
        <v>0</v>
      </c>
      <c r="O133" s="1036">
        <v>0</v>
      </c>
      <c r="P133" s="1032">
        <f t="shared" si="262"/>
        <v>0</v>
      </c>
      <c r="Q133" s="1035">
        <v>0</v>
      </c>
      <c r="R133" s="1036">
        <v>0</v>
      </c>
      <c r="S133" s="1032">
        <f t="shared" si="263"/>
        <v>0</v>
      </c>
      <c r="T133" s="1035">
        <v>0</v>
      </c>
      <c r="U133" s="1036">
        <v>0</v>
      </c>
      <c r="V133" s="1032">
        <f t="shared" si="264"/>
        <v>0</v>
      </c>
      <c r="W133" s="1037">
        <f t="shared" si="265"/>
        <v>0</v>
      </c>
      <c r="X133" s="1038">
        <v>0</v>
      </c>
      <c r="Y133" s="1039">
        <v>0</v>
      </c>
      <c r="Z133" s="1408">
        <v>0</v>
      </c>
      <c r="AA133" s="1040">
        <f t="shared" si="266"/>
        <v>0</v>
      </c>
      <c r="AB133" s="1038">
        <v>0</v>
      </c>
      <c r="AC133" s="1039">
        <v>0</v>
      </c>
      <c r="AD133" s="1040">
        <f t="shared" si="267"/>
        <v>0</v>
      </c>
      <c r="AE133" s="1038">
        <v>0</v>
      </c>
      <c r="AF133" s="1040">
        <f t="shared" si="268"/>
        <v>0</v>
      </c>
      <c r="AG133" s="1038">
        <v>0</v>
      </c>
      <c r="AH133" s="1040">
        <f t="shared" si="269"/>
        <v>0</v>
      </c>
      <c r="AI133" s="1038">
        <v>0</v>
      </c>
      <c r="AJ133" s="1039">
        <v>0</v>
      </c>
      <c r="AK133" s="1039">
        <v>0</v>
      </c>
      <c r="AL133" s="1039">
        <v>0</v>
      </c>
      <c r="AM133" s="1041">
        <v>0</v>
      </c>
      <c r="AN133" s="1041">
        <v>0</v>
      </c>
      <c r="AO133" s="1040">
        <f t="shared" si="270"/>
        <v>0</v>
      </c>
      <c r="AP133" s="1038">
        <v>0</v>
      </c>
      <c r="AQ133" s="1040">
        <f t="shared" si="271"/>
        <v>0</v>
      </c>
      <c r="AR133" s="1038">
        <v>0</v>
      </c>
      <c r="AS133" s="1039">
        <v>0</v>
      </c>
      <c r="AT133" s="1408">
        <v>0</v>
      </c>
      <c r="AU133" s="1040">
        <f t="shared" si="272"/>
        <v>0</v>
      </c>
      <c r="AV133" s="1038">
        <v>0</v>
      </c>
      <c r="AW133" s="1039">
        <v>0</v>
      </c>
      <c r="AX133" s="1040">
        <f t="shared" si="273"/>
        <v>0</v>
      </c>
      <c r="AY133" s="1038">
        <v>0</v>
      </c>
      <c r="AZ133" s="1040">
        <f t="shared" si="274"/>
        <v>0</v>
      </c>
      <c r="BA133" s="1038">
        <v>0</v>
      </c>
      <c r="BB133" s="1039">
        <v>0</v>
      </c>
      <c r="BC133" s="1040">
        <f t="shared" si="275"/>
        <v>0</v>
      </c>
      <c r="BD133" s="1042">
        <f t="shared" si="276"/>
        <v>0</v>
      </c>
      <c r="BE133" s="1052"/>
      <c r="BF133" s="1053"/>
      <c r="BG133" s="1048">
        <f t="shared" si="204"/>
        <v>0</v>
      </c>
      <c r="BH133" s="1052"/>
      <c r="BI133" s="1053"/>
      <c r="BJ133" s="1053"/>
      <c r="BK133" s="1053"/>
      <c r="BL133" s="1048">
        <f t="shared" si="277"/>
        <v>0</v>
      </c>
      <c r="BM133" s="1052"/>
      <c r="BN133" s="1053"/>
      <c r="BO133" s="1048">
        <f t="shared" si="278"/>
        <v>0</v>
      </c>
      <c r="BP133" s="1049"/>
      <c r="BQ133" s="1050"/>
      <c r="BR133" s="1050"/>
      <c r="BS133" s="1050"/>
      <c r="BT133" s="1053"/>
      <c r="BU133" s="1048">
        <f t="shared" si="279"/>
        <v>0</v>
      </c>
      <c r="BV133" s="1049"/>
      <c r="BW133" s="1050"/>
      <c r="BX133" s="1050"/>
      <c r="BY133" s="1050"/>
      <c r="BZ133" s="1050"/>
      <c r="CA133" s="1050"/>
      <c r="CB133" s="1053"/>
      <c r="CC133" s="1048">
        <f t="shared" si="280"/>
        <v>0</v>
      </c>
      <c r="CD133" s="1052"/>
      <c r="CE133" s="1053"/>
      <c r="CF133" s="1053"/>
      <c r="CG133" s="1053"/>
      <c r="CH133" s="1048">
        <f t="shared" si="281"/>
        <v>0</v>
      </c>
      <c r="CI133" s="1049"/>
      <c r="CJ133" s="1050"/>
      <c r="CK133" s="1050"/>
      <c r="CL133" s="1050"/>
      <c r="CM133" s="1050"/>
      <c r="CN133" s="1050"/>
      <c r="CO133" s="1051">
        <f t="shared" si="282"/>
        <v>0</v>
      </c>
      <c r="CP133" s="1052"/>
      <c r="CQ133" s="1053"/>
      <c r="CR133" s="1048">
        <f t="shared" si="283"/>
        <v>0</v>
      </c>
      <c r="CS133" s="1052"/>
      <c r="CT133" s="1053"/>
      <c r="CU133" s="1053"/>
      <c r="CV133" s="1053"/>
      <c r="CW133" s="1048">
        <f t="shared" si="284"/>
        <v>0</v>
      </c>
      <c r="CX133" s="1052"/>
      <c r="CY133" s="1048">
        <f t="shared" si="285"/>
        <v>0</v>
      </c>
      <c r="CZ133" s="1103">
        <f t="shared" si="286"/>
        <v>0</v>
      </c>
      <c r="DA133" s="1104">
        <f t="shared" si="287"/>
        <v>0</v>
      </c>
      <c r="DI133" s="1042">
        <f t="shared" si="288"/>
        <v>0</v>
      </c>
    </row>
    <row r="134" spans="1:113" s="1055" customFormat="1">
      <c r="A134" s="955" t="s">
        <v>690</v>
      </c>
      <c r="B134" s="1102" t="s">
        <v>950</v>
      </c>
      <c r="C134" s="1030" t="s">
        <v>78</v>
      </c>
      <c r="D134" s="1035">
        <v>34531.364986487999</v>
      </c>
      <c r="E134" s="1032">
        <f t="shared" si="191"/>
        <v>34531.364986487999</v>
      </c>
      <c r="F134" s="1035"/>
      <c r="G134" s="1036">
        <v>69062.729972975998</v>
      </c>
      <c r="H134" s="1032">
        <f t="shared" si="259"/>
        <v>69062.729972975998</v>
      </c>
      <c r="I134" s="1035">
        <v>34531.364986487999</v>
      </c>
      <c r="J134" s="1032">
        <f t="shared" si="260"/>
        <v>34531.364986487999</v>
      </c>
      <c r="K134" s="1035">
        <v>0</v>
      </c>
      <c r="L134" s="1074">
        <v>0</v>
      </c>
      <c r="M134" s="1032">
        <f t="shared" si="261"/>
        <v>0</v>
      </c>
      <c r="N134" s="1035">
        <v>0</v>
      </c>
      <c r="O134" s="1036">
        <v>0</v>
      </c>
      <c r="P134" s="1032">
        <f t="shared" si="262"/>
        <v>0</v>
      </c>
      <c r="Q134" s="1035">
        <v>0</v>
      </c>
      <c r="R134" s="1036">
        <v>0</v>
      </c>
      <c r="S134" s="1032">
        <f t="shared" si="263"/>
        <v>0</v>
      </c>
      <c r="T134" s="1035">
        <v>0</v>
      </c>
      <c r="U134" s="1036">
        <v>34531.364986487999</v>
      </c>
      <c r="V134" s="1032">
        <f t="shared" si="264"/>
        <v>34531.364986487999</v>
      </c>
      <c r="W134" s="1037">
        <f t="shared" si="265"/>
        <v>172656.82493244001</v>
      </c>
      <c r="X134" s="1038">
        <v>0</v>
      </c>
      <c r="Y134" s="1039">
        <v>0</v>
      </c>
      <c r="Z134" s="1408">
        <v>0</v>
      </c>
      <c r="AA134" s="1040">
        <f t="shared" si="266"/>
        <v>0</v>
      </c>
      <c r="AB134" s="1038">
        <v>0</v>
      </c>
      <c r="AC134" s="1039">
        <v>0</v>
      </c>
      <c r="AD134" s="1040">
        <f t="shared" si="267"/>
        <v>0</v>
      </c>
      <c r="AE134" s="1038">
        <v>69062.729972975998</v>
      </c>
      <c r="AF134" s="1040">
        <f t="shared" si="268"/>
        <v>69062.729972975998</v>
      </c>
      <c r="AG134" s="1038">
        <v>0</v>
      </c>
      <c r="AH134" s="1040">
        <f t="shared" si="269"/>
        <v>0</v>
      </c>
      <c r="AI134" s="1038">
        <v>0</v>
      </c>
      <c r="AJ134" s="1039">
        <v>0</v>
      </c>
      <c r="AK134" s="1039">
        <v>0</v>
      </c>
      <c r="AL134" s="1039">
        <v>0</v>
      </c>
      <c r="AM134" s="1041">
        <v>0</v>
      </c>
      <c r="AN134" s="1041">
        <v>0</v>
      </c>
      <c r="AO134" s="1040">
        <f t="shared" si="270"/>
        <v>0</v>
      </c>
      <c r="AP134" s="1038">
        <v>34531.364986487999</v>
      </c>
      <c r="AQ134" s="1040">
        <f t="shared" si="271"/>
        <v>34531.364986487999</v>
      </c>
      <c r="AR134" s="1038">
        <v>0</v>
      </c>
      <c r="AS134" s="1039">
        <v>0</v>
      </c>
      <c r="AT134" s="1408">
        <v>0</v>
      </c>
      <c r="AU134" s="1040">
        <f t="shared" si="272"/>
        <v>0</v>
      </c>
      <c r="AV134" s="1038">
        <v>0</v>
      </c>
      <c r="AW134" s="1039">
        <v>0</v>
      </c>
      <c r="AX134" s="1040">
        <f t="shared" si="273"/>
        <v>0</v>
      </c>
      <c r="AY134" s="1038">
        <v>0</v>
      </c>
      <c r="AZ134" s="1040">
        <f t="shared" si="274"/>
        <v>0</v>
      </c>
      <c r="BA134" s="1038">
        <v>0</v>
      </c>
      <c r="BB134" s="1039">
        <v>34531.364986487999</v>
      </c>
      <c r="BC134" s="1040">
        <f t="shared" si="275"/>
        <v>34531.364986487999</v>
      </c>
      <c r="BD134" s="1042">
        <f t="shared" si="276"/>
        <v>138125.459945952</v>
      </c>
      <c r="BE134" s="1052">
        <v>34531.360000000001</v>
      </c>
      <c r="BF134" s="1053">
        <v>34531.360000000001</v>
      </c>
      <c r="BG134" s="1048">
        <f t="shared" si="204"/>
        <v>69062.720000000001</v>
      </c>
      <c r="BH134" s="1052"/>
      <c r="BI134" s="1053"/>
      <c r="BJ134" s="1053"/>
      <c r="BK134" s="1053"/>
      <c r="BL134" s="1048">
        <f t="shared" si="277"/>
        <v>0</v>
      </c>
      <c r="BM134" s="1052"/>
      <c r="BN134" s="1053"/>
      <c r="BO134" s="1048">
        <f t="shared" si="278"/>
        <v>0</v>
      </c>
      <c r="BP134" s="1049"/>
      <c r="BQ134" s="1050"/>
      <c r="BR134" s="1050"/>
      <c r="BS134" s="1050"/>
      <c r="BT134" s="1053"/>
      <c r="BU134" s="1048">
        <f t="shared" si="279"/>
        <v>0</v>
      </c>
      <c r="BV134" s="1049"/>
      <c r="BW134" s="1050"/>
      <c r="BX134" s="1050"/>
      <c r="BY134" s="1050"/>
      <c r="BZ134" s="1050"/>
      <c r="CA134" s="1050"/>
      <c r="CB134" s="1053"/>
      <c r="CC134" s="1048">
        <f t="shared" si="280"/>
        <v>0</v>
      </c>
      <c r="CD134" s="1052"/>
      <c r="CE134" s="1053"/>
      <c r="CF134" s="1053"/>
      <c r="CG134" s="1053"/>
      <c r="CH134" s="1048">
        <f t="shared" si="281"/>
        <v>0</v>
      </c>
      <c r="CI134" s="1049"/>
      <c r="CJ134" s="1050"/>
      <c r="CK134" s="1050">
        <v>34531.360000000001</v>
      </c>
      <c r="CL134" s="1050"/>
      <c r="CM134" s="1050">
        <v>34531.360000000001</v>
      </c>
      <c r="CN134" s="1050"/>
      <c r="CO134" s="1051">
        <f t="shared" si="282"/>
        <v>69062.720000000001</v>
      </c>
      <c r="CP134" s="1052"/>
      <c r="CQ134" s="1053"/>
      <c r="CR134" s="1048">
        <f t="shared" si="283"/>
        <v>0</v>
      </c>
      <c r="CS134" s="1052"/>
      <c r="CT134" s="1053"/>
      <c r="CU134" s="1053"/>
      <c r="CV134" s="1053"/>
      <c r="CW134" s="1048">
        <f t="shared" si="284"/>
        <v>0</v>
      </c>
      <c r="CX134" s="1052"/>
      <c r="CY134" s="1048">
        <f t="shared" si="285"/>
        <v>0</v>
      </c>
      <c r="CZ134" s="1103">
        <f t="shared" si="286"/>
        <v>138125.44</v>
      </c>
      <c r="DA134" s="1104">
        <f t="shared" si="287"/>
        <v>448907.72487839201</v>
      </c>
      <c r="DI134" s="1042">
        <f t="shared" si="288"/>
        <v>0</v>
      </c>
    </row>
    <row r="135" spans="1:113" s="1055" customFormat="1">
      <c r="A135" s="955" t="s">
        <v>691</v>
      </c>
      <c r="B135" s="1102" t="s">
        <v>951</v>
      </c>
      <c r="C135" s="1030" t="s">
        <v>78</v>
      </c>
      <c r="D135" s="1035">
        <v>34531.364986487999</v>
      </c>
      <c r="E135" s="1032">
        <f t="shared" si="191"/>
        <v>34531.364986487999</v>
      </c>
      <c r="F135" s="1035"/>
      <c r="G135" s="1036">
        <v>69062.729972975998</v>
      </c>
      <c r="H135" s="1032">
        <f t="shared" si="259"/>
        <v>69062.729972975998</v>
      </c>
      <c r="I135" s="1035">
        <v>34531.364986487999</v>
      </c>
      <c r="J135" s="1032">
        <f t="shared" si="260"/>
        <v>34531.364986487999</v>
      </c>
      <c r="K135" s="1035">
        <v>0</v>
      </c>
      <c r="L135" s="1074">
        <v>0</v>
      </c>
      <c r="M135" s="1032">
        <f t="shared" si="261"/>
        <v>0</v>
      </c>
      <c r="N135" s="1035">
        <v>0</v>
      </c>
      <c r="O135" s="1036">
        <v>0</v>
      </c>
      <c r="P135" s="1032">
        <f t="shared" si="262"/>
        <v>0</v>
      </c>
      <c r="Q135" s="1035">
        <v>0</v>
      </c>
      <c r="R135" s="1036">
        <v>0</v>
      </c>
      <c r="S135" s="1032">
        <f t="shared" si="263"/>
        <v>0</v>
      </c>
      <c r="T135" s="1035">
        <v>0</v>
      </c>
      <c r="U135" s="1036">
        <v>34531.364986487999</v>
      </c>
      <c r="V135" s="1032">
        <f t="shared" si="264"/>
        <v>34531.364986487999</v>
      </c>
      <c r="W135" s="1037">
        <f t="shared" si="265"/>
        <v>172656.82493244001</v>
      </c>
      <c r="X135" s="1038">
        <v>0</v>
      </c>
      <c r="Y135" s="1039">
        <v>0</v>
      </c>
      <c r="Z135" s="1408">
        <v>0</v>
      </c>
      <c r="AA135" s="1040">
        <f t="shared" si="266"/>
        <v>0</v>
      </c>
      <c r="AB135" s="1038">
        <v>0</v>
      </c>
      <c r="AC135" s="1039">
        <v>0</v>
      </c>
      <c r="AD135" s="1040">
        <f t="shared" si="267"/>
        <v>0</v>
      </c>
      <c r="AE135" s="1038">
        <v>69062.729972975998</v>
      </c>
      <c r="AF135" s="1040">
        <f t="shared" si="268"/>
        <v>69062.729972975998</v>
      </c>
      <c r="AG135" s="1038">
        <v>0</v>
      </c>
      <c r="AH135" s="1040">
        <f t="shared" si="269"/>
        <v>0</v>
      </c>
      <c r="AI135" s="1038">
        <v>0</v>
      </c>
      <c r="AJ135" s="1039">
        <v>0</v>
      </c>
      <c r="AK135" s="1039">
        <v>0</v>
      </c>
      <c r="AL135" s="1039">
        <v>0</v>
      </c>
      <c r="AM135" s="1041">
        <v>0</v>
      </c>
      <c r="AN135" s="1041">
        <v>0</v>
      </c>
      <c r="AO135" s="1040">
        <f t="shared" si="270"/>
        <v>0</v>
      </c>
      <c r="AP135" s="1038">
        <v>34531.364986487999</v>
      </c>
      <c r="AQ135" s="1040">
        <f t="shared" si="271"/>
        <v>34531.364986487999</v>
      </c>
      <c r="AR135" s="1038">
        <v>0</v>
      </c>
      <c r="AS135" s="1039">
        <v>0</v>
      </c>
      <c r="AT135" s="1408">
        <v>0</v>
      </c>
      <c r="AU135" s="1040">
        <f t="shared" si="272"/>
        <v>0</v>
      </c>
      <c r="AV135" s="1038">
        <v>0</v>
      </c>
      <c r="AW135" s="1039">
        <v>0</v>
      </c>
      <c r="AX135" s="1040">
        <f t="shared" si="273"/>
        <v>0</v>
      </c>
      <c r="AY135" s="1038">
        <v>0</v>
      </c>
      <c r="AZ135" s="1040">
        <f t="shared" si="274"/>
        <v>0</v>
      </c>
      <c r="BA135" s="1038">
        <v>0</v>
      </c>
      <c r="BB135" s="1039">
        <v>34531.364986487999</v>
      </c>
      <c r="BC135" s="1040">
        <f t="shared" si="275"/>
        <v>34531.364986487999</v>
      </c>
      <c r="BD135" s="1042">
        <f t="shared" si="276"/>
        <v>138125.459945952</v>
      </c>
      <c r="BE135" s="1052">
        <v>34531.360000000001</v>
      </c>
      <c r="BF135" s="1053">
        <v>34531.360000000001</v>
      </c>
      <c r="BG135" s="1048">
        <f t="shared" si="204"/>
        <v>69062.720000000001</v>
      </c>
      <c r="BH135" s="1052"/>
      <c r="BI135" s="1053"/>
      <c r="BJ135" s="1053"/>
      <c r="BK135" s="1053"/>
      <c r="BL135" s="1048">
        <f t="shared" si="277"/>
        <v>0</v>
      </c>
      <c r="BM135" s="1052"/>
      <c r="BN135" s="1053"/>
      <c r="BO135" s="1048">
        <f t="shared" si="278"/>
        <v>0</v>
      </c>
      <c r="BP135" s="1049"/>
      <c r="BQ135" s="1050"/>
      <c r="BR135" s="1050"/>
      <c r="BS135" s="1050"/>
      <c r="BT135" s="1053"/>
      <c r="BU135" s="1048">
        <f t="shared" si="279"/>
        <v>0</v>
      </c>
      <c r="BV135" s="1049"/>
      <c r="BW135" s="1050"/>
      <c r="BX135" s="1050"/>
      <c r="BY135" s="1050"/>
      <c r="BZ135" s="1050"/>
      <c r="CA135" s="1050"/>
      <c r="CB135" s="1053"/>
      <c r="CC135" s="1048">
        <f t="shared" si="280"/>
        <v>0</v>
      </c>
      <c r="CD135" s="1052"/>
      <c r="CE135" s="1053"/>
      <c r="CF135" s="1053"/>
      <c r="CG135" s="1053"/>
      <c r="CH135" s="1048">
        <f t="shared" si="281"/>
        <v>0</v>
      </c>
      <c r="CI135" s="1049"/>
      <c r="CJ135" s="1050"/>
      <c r="CK135" s="1050">
        <v>34531.360000000001</v>
      </c>
      <c r="CL135" s="1050"/>
      <c r="CM135" s="1050">
        <v>34531.360000000001</v>
      </c>
      <c r="CN135" s="1050"/>
      <c r="CO135" s="1051">
        <f t="shared" si="282"/>
        <v>69062.720000000001</v>
      </c>
      <c r="CP135" s="1052"/>
      <c r="CQ135" s="1053"/>
      <c r="CR135" s="1048">
        <f t="shared" si="283"/>
        <v>0</v>
      </c>
      <c r="CS135" s="1052"/>
      <c r="CT135" s="1053"/>
      <c r="CU135" s="1053"/>
      <c r="CV135" s="1053"/>
      <c r="CW135" s="1048">
        <f t="shared" si="284"/>
        <v>0</v>
      </c>
      <c r="CX135" s="1052"/>
      <c r="CY135" s="1048">
        <f t="shared" si="285"/>
        <v>0</v>
      </c>
      <c r="CZ135" s="1103">
        <f t="shared" si="286"/>
        <v>138125.44</v>
      </c>
      <c r="DA135" s="1104">
        <f t="shared" si="287"/>
        <v>448907.72487839201</v>
      </c>
      <c r="DI135" s="1042">
        <f t="shared" si="288"/>
        <v>0</v>
      </c>
    </row>
    <row r="136" spans="1:113" s="1055" customFormat="1">
      <c r="A136" s="955" t="s">
        <v>693</v>
      </c>
      <c r="B136" s="1102" t="s">
        <v>952</v>
      </c>
      <c r="C136" s="1030" t="s">
        <v>78</v>
      </c>
      <c r="D136" s="1035">
        <v>34531.364986487999</v>
      </c>
      <c r="E136" s="1032">
        <f t="shared" si="191"/>
        <v>34531.364986487999</v>
      </c>
      <c r="F136" s="1035"/>
      <c r="G136" s="1036">
        <v>69062.729972975998</v>
      </c>
      <c r="H136" s="1032">
        <f t="shared" si="259"/>
        <v>69062.729972975998</v>
      </c>
      <c r="I136" s="1035">
        <v>34531.364986487999</v>
      </c>
      <c r="J136" s="1032">
        <f t="shared" si="260"/>
        <v>34531.364986487999</v>
      </c>
      <c r="K136" s="1035">
        <v>0</v>
      </c>
      <c r="L136" s="1074">
        <v>0</v>
      </c>
      <c r="M136" s="1032">
        <f t="shared" si="261"/>
        <v>0</v>
      </c>
      <c r="N136" s="1035">
        <v>0</v>
      </c>
      <c r="O136" s="1036">
        <v>0</v>
      </c>
      <c r="P136" s="1032">
        <f t="shared" si="262"/>
        <v>0</v>
      </c>
      <c r="Q136" s="1035">
        <v>0</v>
      </c>
      <c r="R136" s="1036">
        <v>0</v>
      </c>
      <c r="S136" s="1032">
        <f t="shared" si="263"/>
        <v>0</v>
      </c>
      <c r="T136" s="1035">
        <v>0</v>
      </c>
      <c r="U136" s="1036">
        <v>34531.364986487999</v>
      </c>
      <c r="V136" s="1032">
        <f t="shared" si="264"/>
        <v>34531.364986487999</v>
      </c>
      <c r="W136" s="1037">
        <f t="shared" si="265"/>
        <v>172656.82493244001</v>
      </c>
      <c r="X136" s="1038">
        <v>0</v>
      </c>
      <c r="Y136" s="1039">
        <v>0</v>
      </c>
      <c r="Z136" s="1408">
        <v>0</v>
      </c>
      <c r="AA136" s="1040">
        <f t="shared" si="266"/>
        <v>0</v>
      </c>
      <c r="AB136" s="1038">
        <v>0</v>
      </c>
      <c r="AC136" s="1039">
        <v>0</v>
      </c>
      <c r="AD136" s="1040">
        <f t="shared" si="267"/>
        <v>0</v>
      </c>
      <c r="AE136" s="1038">
        <v>69062.729972975998</v>
      </c>
      <c r="AF136" s="1040">
        <f t="shared" si="268"/>
        <v>69062.729972975998</v>
      </c>
      <c r="AG136" s="1038">
        <v>0</v>
      </c>
      <c r="AH136" s="1040">
        <f t="shared" si="269"/>
        <v>0</v>
      </c>
      <c r="AI136" s="1038">
        <v>0</v>
      </c>
      <c r="AJ136" s="1039">
        <v>0</v>
      </c>
      <c r="AK136" s="1039">
        <v>0</v>
      </c>
      <c r="AL136" s="1039">
        <v>0</v>
      </c>
      <c r="AM136" s="1041">
        <v>0</v>
      </c>
      <c r="AN136" s="1041">
        <v>0</v>
      </c>
      <c r="AO136" s="1040">
        <f t="shared" si="270"/>
        <v>0</v>
      </c>
      <c r="AP136" s="1038">
        <v>34531.364986487999</v>
      </c>
      <c r="AQ136" s="1040">
        <f t="shared" si="271"/>
        <v>34531.364986487999</v>
      </c>
      <c r="AR136" s="1038">
        <v>0</v>
      </c>
      <c r="AS136" s="1039">
        <v>0</v>
      </c>
      <c r="AT136" s="1408">
        <v>0</v>
      </c>
      <c r="AU136" s="1040">
        <f t="shared" si="272"/>
        <v>0</v>
      </c>
      <c r="AV136" s="1038">
        <v>0</v>
      </c>
      <c r="AW136" s="1039">
        <v>0</v>
      </c>
      <c r="AX136" s="1040">
        <f t="shared" si="273"/>
        <v>0</v>
      </c>
      <c r="AY136" s="1038">
        <v>0</v>
      </c>
      <c r="AZ136" s="1040">
        <f t="shared" si="274"/>
        <v>0</v>
      </c>
      <c r="BA136" s="1038">
        <v>0</v>
      </c>
      <c r="BB136" s="1039">
        <v>34531.364986487999</v>
      </c>
      <c r="BC136" s="1040">
        <f t="shared" si="275"/>
        <v>34531.364986487999</v>
      </c>
      <c r="BD136" s="1042">
        <f t="shared" si="276"/>
        <v>138125.459945952</v>
      </c>
      <c r="BE136" s="1052">
        <v>34531.360000000001</v>
      </c>
      <c r="BF136" s="1053">
        <v>34531.360000000001</v>
      </c>
      <c r="BG136" s="1048">
        <f t="shared" si="204"/>
        <v>69062.720000000001</v>
      </c>
      <c r="BH136" s="1052"/>
      <c r="BI136" s="1053"/>
      <c r="BJ136" s="1053"/>
      <c r="BK136" s="1053"/>
      <c r="BL136" s="1048">
        <f t="shared" si="277"/>
        <v>0</v>
      </c>
      <c r="BM136" s="1052"/>
      <c r="BN136" s="1053"/>
      <c r="BO136" s="1048">
        <f t="shared" si="278"/>
        <v>0</v>
      </c>
      <c r="BP136" s="1049"/>
      <c r="BQ136" s="1050"/>
      <c r="BR136" s="1050"/>
      <c r="BS136" s="1050"/>
      <c r="BT136" s="1053"/>
      <c r="BU136" s="1048">
        <f t="shared" si="279"/>
        <v>0</v>
      </c>
      <c r="BV136" s="1049"/>
      <c r="BW136" s="1050"/>
      <c r="BX136" s="1050"/>
      <c r="BY136" s="1050"/>
      <c r="BZ136" s="1050"/>
      <c r="CA136" s="1050"/>
      <c r="CB136" s="1053"/>
      <c r="CC136" s="1048">
        <f t="shared" si="280"/>
        <v>0</v>
      </c>
      <c r="CD136" s="1052"/>
      <c r="CE136" s="1053"/>
      <c r="CF136" s="1053"/>
      <c r="CG136" s="1053"/>
      <c r="CH136" s="1048">
        <f t="shared" si="281"/>
        <v>0</v>
      </c>
      <c r="CI136" s="1049"/>
      <c r="CJ136" s="1050"/>
      <c r="CK136" s="1050">
        <v>34531.360000000001</v>
      </c>
      <c r="CL136" s="1050"/>
      <c r="CM136" s="1050">
        <v>34531.360000000001</v>
      </c>
      <c r="CN136" s="1050"/>
      <c r="CO136" s="1051">
        <f t="shared" si="282"/>
        <v>69062.720000000001</v>
      </c>
      <c r="CP136" s="1052"/>
      <c r="CQ136" s="1053"/>
      <c r="CR136" s="1048">
        <f t="shared" si="283"/>
        <v>0</v>
      </c>
      <c r="CS136" s="1052"/>
      <c r="CT136" s="1053"/>
      <c r="CU136" s="1053"/>
      <c r="CV136" s="1053"/>
      <c r="CW136" s="1048">
        <f t="shared" si="284"/>
        <v>0</v>
      </c>
      <c r="CX136" s="1052"/>
      <c r="CY136" s="1048">
        <f t="shared" si="285"/>
        <v>0</v>
      </c>
      <c r="CZ136" s="1103">
        <f t="shared" si="286"/>
        <v>138125.44</v>
      </c>
      <c r="DA136" s="1104">
        <f t="shared" si="287"/>
        <v>448907.72487839201</v>
      </c>
      <c r="DI136" s="1042">
        <f t="shared" si="288"/>
        <v>0</v>
      </c>
    </row>
    <row r="137" spans="1:113" s="1055" customFormat="1">
      <c r="A137" s="955" t="s">
        <v>110</v>
      </c>
      <c r="B137" s="1102" t="s">
        <v>1370</v>
      </c>
      <c r="C137" s="1030" t="s">
        <v>79</v>
      </c>
      <c r="D137" s="1035">
        <v>29435.059400000006</v>
      </c>
      <c r="E137" s="1032">
        <f t="shared" si="191"/>
        <v>29435.059400000006</v>
      </c>
      <c r="F137" s="1035"/>
      <c r="G137" s="1036">
        <v>58870.118800000011</v>
      </c>
      <c r="H137" s="1032">
        <f t="shared" si="259"/>
        <v>58870.118800000011</v>
      </c>
      <c r="I137" s="1035">
        <v>29435.059400000006</v>
      </c>
      <c r="J137" s="1032">
        <f t="shared" si="260"/>
        <v>29435.059400000006</v>
      </c>
      <c r="K137" s="1035">
        <v>0</v>
      </c>
      <c r="L137" s="1074">
        <v>0</v>
      </c>
      <c r="M137" s="1032">
        <f t="shared" si="261"/>
        <v>0</v>
      </c>
      <c r="N137" s="1035">
        <v>0</v>
      </c>
      <c r="O137" s="1036">
        <v>0</v>
      </c>
      <c r="P137" s="1032">
        <f t="shared" si="262"/>
        <v>0</v>
      </c>
      <c r="Q137" s="1035">
        <v>0</v>
      </c>
      <c r="R137" s="1036">
        <v>0</v>
      </c>
      <c r="S137" s="1032">
        <f t="shared" si="263"/>
        <v>0</v>
      </c>
      <c r="T137" s="1035">
        <v>0</v>
      </c>
      <c r="U137" s="1036">
        <v>29435.059400000006</v>
      </c>
      <c r="V137" s="1032">
        <f t="shared" si="264"/>
        <v>29435.059400000006</v>
      </c>
      <c r="W137" s="1037">
        <f t="shared" si="265"/>
        <v>147175.29700000002</v>
      </c>
      <c r="X137" s="1038">
        <v>0</v>
      </c>
      <c r="Y137" s="1039">
        <v>0</v>
      </c>
      <c r="Z137" s="1408">
        <v>0</v>
      </c>
      <c r="AA137" s="1040">
        <f t="shared" si="266"/>
        <v>0</v>
      </c>
      <c r="AB137" s="1038">
        <v>0</v>
      </c>
      <c r="AC137" s="1039">
        <v>0</v>
      </c>
      <c r="AD137" s="1040">
        <f t="shared" si="267"/>
        <v>0</v>
      </c>
      <c r="AE137" s="1038">
        <v>58870.118800000011</v>
      </c>
      <c r="AF137" s="1040">
        <f t="shared" si="268"/>
        <v>58870.118800000011</v>
      </c>
      <c r="AG137" s="1038">
        <v>0</v>
      </c>
      <c r="AH137" s="1040">
        <f t="shared" si="269"/>
        <v>0</v>
      </c>
      <c r="AI137" s="1038">
        <v>0</v>
      </c>
      <c r="AJ137" s="1039">
        <v>0</v>
      </c>
      <c r="AK137" s="1039">
        <v>0</v>
      </c>
      <c r="AL137" s="1039">
        <v>0</v>
      </c>
      <c r="AM137" s="1041">
        <v>0</v>
      </c>
      <c r="AN137" s="1041">
        <v>0</v>
      </c>
      <c r="AO137" s="1040">
        <f t="shared" si="270"/>
        <v>0</v>
      </c>
      <c r="AP137" s="1038">
        <v>29435.059400000006</v>
      </c>
      <c r="AQ137" s="1040">
        <f t="shared" si="271"/>
        <v>29435.059400000006</v>
      </c>
      <c r="AR137" s="1038">
        <v>0</v>
      </c>
      <c r="AS137" s="1039">
        <v>0</v>
      </c>
      <c r="AT137" s="1408">
        <v>0</v>
      </c>
      <c r="AU137" s="1040">
        <f t="shared" si="272"/>
        <v>0</v>
      </c>
      <c r="AV137" s="1038">
        <v>0</v>
      </c>
      <c r="AW137" s="1039">
        <v>0</v>
      </c>
      <c r="AX137" s="1040">
        <f t="shared" si="273"/>
        <v>0</v>
      </c>
      <c r="AY137" s="1038">
        <v>0</v>
      </c>
      <c r="AZ137" s="1040">
        <f t="shared" si="274"/>
        <v>0</v>
      </c>
      <c r="BA137" s="1038">
        <v>0</v>
      </c>
      <c r="BB137" s="1039">
        <v>29435.059400000006</v>
      </c>
      <c r="BC137" s="1040">
        <f t="shared" si="275"/>
        <v>29435.059400000006</v>
      </c>
      <c r="BD137" s="1042">
        <f t="shared" si="276"/>
        <v>117740.23760000002</v>
      </c>
      <c r="BE137" s="1052">
        <v>29435.059399999998</v>
      </c>
      <c r="BF137" s="1053">
        <v>29435.059399999998</v>
      </c>
      <c r="BG137" s="1048">
        <f t="shared" si="204"/>
        <v>58870.118799999997</v>
      </c>
      <c r="BH137" s="1052"/>
      <c r="BI137" s="1053"/>
      <c r="BJ137" s="1053"/>
      <c r="BK137" s="1053"/>
      <c r="BL137" s="1048">
        <f t="shared" si="277"/>
        <v>0</v>
      </c>
      <c r="BM137" s="1052"/>
      <c r="BN137" s="1053"/>
      <c r="BO137" s="1048">
        <f t="shared" si="278"/>
        <v>0</v>
      </c>
      <c r="BP137" s="1049"/>
      <c r="BQ137" s="1050"/>
      <c r="BR137" s="1050"/>
      <c r="BS137" s="1050"/>
      <c r="BT137" s="1053"/>
      <c r="BU137" s="1048">
        <f t="shared" si="279"/>
        <v>0</v>
      </c>
      <c r="BV137" s="1049"/>
      <c r="BW137" s="1050"/>
      <c r="BX137" s="1050"/>
      <c r="BY137" s="1050"/>
      <c r="BZ137" s="1050"/>
      <c r="CA137" s="1050"/>
      <c r="CB137" s="1053"/>
      <c r="CC137" s="1048">
        <f t="shared" si="280"/>
        <v>0</v>
      </c>
      <c r="CD137" s="1052"/>
      <c r="CE137" s="1053"/>
      <c r="CF137" s="1053"/>
      <c r="CG137" s="1053"/>
      <c r="CH137" s="1048">
        <f t="shared" si="281"/>
        <v>0</v>
      </c>
      <c r="CI137" s="1049"/>
      <c r="CJ137" s="1050"/>
      <c r="CK137" s="1050">
        <v>29435.059399999998</v>
      </c>
      <c r="CL137" s="1050"/>
      <c r="CM137" s="1050">
        <v>29435.059399999998</v>
      </c>
      <c r="CN137" s="1050"/>
      <c r="CO137" s="1051">
        <f t="shared" si="282"/>
        <v>58870.118799999997</v>
      </c>
      <c r="CP137" s="1052"/>
      <c r="CQ137" s="1053"/>
      <c r="CR137" s="1048">
        <f t="shared" si="283"/>
        <v>0</v>
      </c>
      <c r="CS137" s="1052"/>
      <c r="CT137" s="1053"/>
      <c r="CU137" s="1053"/>
      <c r="CV137" s="1053"/>
      <c r="CW137" s="1048">
        <f t="shared" si="284"/>
        <v>0</v>
      </c>
      <c r="CX137" s="1052"/>
      <c r="CY137" s="1048">
        <f t="shared" si="285"/>
        <v>0</v>
      </c>
      <c r="CZ137" s="1103">
        <f t="shared" si="286"/>
        <v>117740.23759999999</v>
      </c>
      <c r="DA137" s="1104">
        <f t="shared" si="287"/>
        <v>382655.77220000001</v>
      </c>
      <c r="DI137" s="1042">
        <f t="shared" si="288"/>
        <v>0</v>
      </c>
    </row>
    <row r="138" spans="1:113" s="1055" customFormat="1">
      <c r="A138" s="955" t="s">
        <v>359</v>
      </c>
      <c r="B138" s="1102" t="s">
        <v>1405</v>
      </c>
      <c r="C138" s="1030" t="s">
        <v>1406</v>
      </c>
      <c r="D138" s="1035">
        <v>0</v>
      </c>
      <c r="E138" s="1032">
        <f t="shared" si="191"/>
        <v>0</v>
      </c>
      <c r="F138" s="1035"/>
      <c r="G138" s="1036">
        <v>0</v>
      </c>
      <c r="H138" s="1032">
        <f t="shared" si="259"/>
        <v>0</v>
      </c>
      <c r="I138" s="1035">
        <v>0</v>
      </c>
      <c r="J138" s="1032">
        <f t="shared" si="260"/>
        <v>0</v>
      </c>
      <c r="K138" s="1035">
        <v>0</v>
      </c>
      <c r="L138" s="1074">
        <v>0</v>
      </c>
      <c r="M138" s="1032">
        <f t="shared" si="261"/>
        <v>0</v>
      </c>
      <c r="N138" s="1035">
        <v>0</v>
      </c>
      <c r="O138" s="1036">
        <v>0</v>
      </c>
      <c r="P138" s="1032">
        <f t="shared" si="262"/>
        <v>0</v>
      </c>
      <c r="Q138" s="1035">
        <v>0</v>
      </c>
      <c r="R138" s="1036">
        <v>0</v>
      </c>
      <c r="S138" s="1032">
        <f t="shared" si="263"/>
        <v>0</v>
      </c>
      <c r="T138" s="1035">
        <v>0</v>
      </c>
      <c r="U138" s="1036">
        <v>0</v>
      </c>
      <c r="V138" s="1032">
        <f t="shared" si="264"/>
        <v>0</v>
      </c>
      <c r="W138" s="1037">
        <f t="shared" si="265"/>
        <v>0</v>
      </c>
      <c r="X138" s="1038">
        <v>0</v>
      </c>
      <c r="Y138" s="1039">
        <v>0</v>
      </c>
      <c r="Z138" s="1408">
        <v>0</v>
      </c>
      <c r="AA138" s="1040">
        <f t="shared" si="266"/>
        <v>0</v>
      </c>
      <c r="AB138" s="1038">
        <v>0</v>
      </c>
      <c r="AC138" s="1039">
        <v>0</v>
      </c>
      <c r="AD138" s="1040">
        <f t="shared" si="267"/>
        <v>0</v>
      </c>
      <c r="AE138" s="1038">
        <v>0</v>
      </c>
      <c r="AF138" s="1040">
        <f t="shared" si="268"/>
        <v>0</v>
      </c>
      <c r="AG138" s="1038">
        <v>0</v>
      </c>
      <c r="AH138" s="1040">
        <f t="shared" si="269"/>
        <v>0</v>
      </c>
      <c r="AI138" s="1038">
        <v>0</v>
      </c>
      <c r="AJ138" s="1039">
        <v>0</v>
      </c>
      <c r="AK138" s="1039">
        <v>0</v>
      </c>
      <c r="AL138" s="1039">
        <v>0</v>
      </c>
      <c r="AM138" s="1041">
        <v>0</v>
      </c>
      <c r="AN138" s="1041">
        <v>0</v>
      </c>
      <c r="AO138" s="1040">
        <f t="shared" si="270"/>
        <v>0</v>
      </c>
      <c r="AP138" s="1038">
        <v>0</v>
      </c>
      <c r="AQ138" s="1040">
        <f t="shared" si="271"/>
        <v>0</v>
      </c>
      <c r="AR138" s="1038">
        <v>0</v>
      </c>
      <c r="AS138" s="1039">
        <v>0</v>
      </c>
      <c r="AT138" s="1408">
        <v>0</v>
      </c>
      <c r="AU138" s="1040">
        <f t="shared" si="272"/>
        <v>0</v>
      </c>
      <c r="AV138" s="1038">
        <v>0</v>
      </c>
      <c r="AW138" s="1039">
        <v>0</v>
      </c>
      <c r="AX138" s="1040">
        <f t="shared" si="273"/>
        <v>0</v>
      </c>
      <c r="AY138" s="1038">
        <v>0</v>
      </c>
      <c r="AZ138" s="1040">
        <f t="shared" si="274"/>
        <v>0</v>
      </c>
      <c r="BA138" s="1038">
        <v>0</v>
      </c>
      <c r="BB138" s="1039">
        <v>0</v>
      </c>
      <c r="BC138" s="1040">
        <f t="shared" si="275"/>
        <v>0</v>
      </c>
      <c r="BD138" s="1042">
        <f t="shared" si="276"/>
        <v>0</v>
      </c>
      <c r="BE138" s="1052"/>
      <c r="BF138" s="1053"/>
      <c r="BG138" s="1048">
        <f t="shared" si="204"/>
        <v>0</v>
      </c>
      <c r="BH138" s="1052"/>
      <c r="BI138" s="1053"/>
      <c r="BJ138" s="1053"/>
      <c r="BK138" s="1053"/>
      <c r="BL138" s="1048">
        <f t="shared" si="277"/>
        <v>0</v>
      </c>
      <c r="BM138" s="1052"/>
      <c r="BN138" s="1053"/>
      <c r="BO138" s="1048">
        <f t="shared" si="278"/>
        <v>0</v>
      </c>
      <c r="BP138" s="1049"/>
      <c r="BQ138" s="1050"/>
      <c r="BR138" s="1050"/>
      <c r="BS138" s="1050"/>
      <c r="BT138" s="1053"/>
      <c r="BU138" s="1048">
        <f t="shared" si="279"/>
        <v>0</v>
      </c>
      <c r="BV138" s="1049"/>
      <c r="BW138" s="1050"/>
      <c r="BX138" s="1050"/>
      <c r="BY138" s="1050"/>
      <c r="BZ138" s="1050"/>
      <c r="CA138" s="1050"/>
      <c r="CB138" s="1053"/>
      <c r="CC138" s="1048">
        <f t="shared" si="280"/>
        <v>0</v>
      </c>
      <c r="CD138" s="1052"/>
      <c r="CE138" s="1053"/>
      <c r="CF138" s="1053"/>
      <c r="CG138" s="1053"/>
      <c r="CH138" s="1048">
        <f t="shared" si="281"/>
        <v>0</v>
      </c>
      <c r="CI138" s="1049"/>
      <c r="CJ138" s="1050"/>
      <c r="CK138" s="1050"/>
      <c r="CL138" s="1050"/>
      <c r="CM138" s="1050"/>
      <c r="CN138" s="1050"/>
      <c r="CO138" s="1051">
        <f t="shared" si="282"/>
        <v>0</v>
      </c>
      <c r="CP138" s="1052"/>
      <c r="CQ138" s="1053"/>
      <c r="CR138" s="1048">
        <f t="shared" si="283"/>
        <v>0</v>
      </c>
      <c r="CS138" s="1052"/>
      <c r="CT138" s="1053"/>
      <c r="CU138" s="1053"/>
      <c r="CV138" s="1053"/>
      <c r="CW138" s="1048">
        <f t="shared" si="284"/>
        <v>0</v>
      </c>
      <c r="CX138" s="1052"/>
      <c r="CY138" s="1048">
        <f t="shared" si="285"/>
        <v>0</v>
      </c>
      <c r="CZ138" s="1103">
        <f t="shared" si="286"/>
        <v>0</v>
      </c>
      <c r="DA138" s="1104">
        <f t="shared" si="287"/>
        <v>0</v>
      </c>
      <c r="DI138" s="1042">
        <f t="shared" si="288"/>
        <v>0</v>
      </c>
    </row>
    <row r="139" spans="1:113" s="1055" customFormat="1">
      <c r="A139" s="955" t="s">
        <v>941</v>
      </c>
      <c r="B139" s="1102" t="s">
        <v>1407</v>
      </c>
      <c r="C139" s="1030" t="s">
        <v>38</v>
      </c>
      <c r="D139" s="1035">
        <v>56.457500000000003</v>
      </c>
      <c r="E139" s="1032">
        <f t="shared" si="191"/>
        <v>56.457500000000003</v>
      </c>
      <c r="F139" s="1035"/>
      <c r="G139" s="1036">
        <v>112.91500000000001</v>
      </c>
      <c r="H139" s="1032">
        <f t="shared" si="259"/>
        <v>112.91500000000001</v>
      </c>
      <c r="I139" s="1035">
        <v>56.457500000000003</v>
      </c>
      <c r="J139" s="1032">
        <f t="shared" si="260"/>
        <v>56.457500000000003</v>
      </c>
      <c r="K139" s="1035">
        <v>0</v>
      </c>
      <c r="L139" s="1074">
        <v>0</v>
      </c>
      <c r="M139" s="1032">
        <f t="shared" si="261"/>
        <v>0</v>
      </c>
      <c r="N139" s="1035">
        <v>0</v>
      </c>
      <c r="O139" s="1036">
        <v>0</v>
      </c>
      <c r="P139" s="1032">
        <f t="shared" si="262"/>
        <v>0</v>
      </c>
      <c r="Q139" s="1035">
        <v>0</v>
      </c>
      <c r="R139" s="1036">
        <v>0</v>
      </c>
      <c r="S139" s="1032">
        <f t="shared" si="263"/>
        <v>0</v>
      </c>
      <c r="T139" s="1035">
        <v>0</v>
      </c>
      <c r="U139" s="1036">
        <v>56.457500000000003</v>
      </c>
      <c r="V139" s="1032">
        <f t="shared" si="264"/>
        <v>56.457500000000003</v>
      </c>
      <c r="W139" s="1037">
        <f t="shared" si="265"/>
        <v>282.28750000000002</v>
      </c>
      <c r="X139" s="1038">
        <v>0</v>
      </c>
      <c r="Y139" s="1039">
        <v>0</v>
      </c>
      <c r="Z139" s="1408">
        <v>0</v>
      </c>
      <c r="AA139" s="1040">
        <f t="shared" si="266"/>
        <v>0</v>
      </c>
      <c r="AB139" s="1038">
        <v>0</v>
      </c>
      <c r="AC139" s="1039">
        <v>0</v>
      </c>
      <c r="AD139" s="1040">
        <f t="shared" si="267"/>
        <v>0</v>
      </c>
      <c r="AE139" s="1038">
        <v>112.91500000000001</v>
      </c>
      <c r="AF139" s="1040">
        <f t="shared" si="268"/>
        <v>112.91500000000001</v>
      </c>
      <c r="AG139" s="1038">
        <v>0</v>
      </c>
      <c r="AH139" s="1040">
        <f t="shared" si="269"/>
        <v>0</v>
      </c>
      <c r="AI139" s="1038">
        <v>0</v>
      </c>
      <c r="AJ139" s="1039">
        <v>0</v>
      </c>
      <c r="AK139" s="1039">
        <v>0</v>
      </c>
      <c r="AL139" s="1039">
        <v>0</v>
      </c>
      <c r="AM139" s="1041">
        <v>0</v>
      </c>
      <c r="AN139" s="1041">
        <v>0</v>
      </c>
      <c r="AO139" s="1040">
        <f t="shared" si="270"/>
        <v>0</v>
      </c>
      <c r="AP139" s="1038">
        <v>56.457500000000003</v>
      </c>
      <c r="AQ139" s="1040">
        <f t="shared" si="271"/>
        <v>56.457500000000003</v>
      </c>
      <c r="AR139" s="1038">
        <v>0</v>
      </c>
      <c r="AS139" s="1039">
        <v>0</v>
      </c>
      <c r="AT139" s="1408">
        <v>0</v>
      </c>
      <c r="AU139" s="1040">
        <f t="shared" si="272"/>
        <v>0</v>
      </c>
      <c r="AV139" s="1038">
        <v>0</v>
      </c>
      <c r="AW139" s="1039">
        <v>0</v>
      </c>
      <c r="AX139" s="1040">
        <f t="shared" si="273"/>
        <v>0</v>
      </c>
      <c r="AY139" s="1038">
        <v>0</v>
      </c>
      <c r="AZ139" s="1040">
        <f t="shared" si="274"/>
        <v>0</v>
      </c>
      <c r="BA139" s="1038">
        <v>0</v>
      </c>
      <c r="BB139" s="1039">
        <v>56.457500000000003</v>
      </c>
      <c r="BC139" s="1040">
        <f t="shared" si="275"/>
        <v>56.457500000000003</v>
      </c>
      <c r="BD139" s="1042">
        <f t="shared" si="276"/>
        <v>225.83</v>
      </c>
      <c r="BE139" s="1052">
        <v>56.457500000000003</v>
      </c>
      <c r="BF139" s="1053">
        <v>56.457500000000003</v>
      </c>
      <c r="BG139" s="1048">
        <f t="shared" si="204"/>
        <v>112.91500000000001</v>
      </c>
      <c r="BH139" s="1052"/>
      <c r="BI139" s="1053"/>
      <c r="BJ139" s="1053"/>
      <c r="BK139" s="1053"/>
      <c r="BL139" s="1048">
        <f t="shared" si="277"/>
        <v>0</v>
      </c>
      <c r="BM139" s="1052"/>
      <c r="BN139" s="1053"/>
      <c r="BO139" s="1048">
        <f t="shared" si="278"/>
        <v>0</v>
      </c>
      <c r="BP139" s="1049"/>
      <c r="BQ139" s="1050"/>
      <c r="BR139" s="1050"/>
      <c r="BS139" s="1050"/>
      <c r="BT139" s="1053"/>
      <c r="BU139" s="1048">
        <f t="shared" si="279"/>
        <v>0</v>
      </c>
      <c r="BV139" s="1049"/>
      <c r="BW139" s="1050"/>
      <c r="BX139" s="1050"/>
      <c r="BY139" s="1050"/>
      <c r="BZ139" s="1050"/>
      <c r="CA139" s="1050"/>
      <c r="CB139" s="1053"/>
      <c r="CC139" s="1048">
        <f t="shared" si="280"/>
        <v>0</v>
      </c>
      <c r="CD139" s="1052"/>
      <c r="CE139" s="1053"/>
      <c r="CF139" s="1053"/>
      <c r="CG139" s="1053"/>
      <c r="CH139" s="1048">
        <f t="shared" si="281"/>
        <v>0</v>
      </c>
      <c r="CI139" s="1049"/>
      <c r="CJ139" s="1050"/>
      <c r="CK139" s="1050">
        <v>56.457500000000003</v>
      </c>
      <c r="CL139" s="1050"/>
      <c r="CM139" s="1050">
        <v>56.457500000000003</v>
      </c>
      <c r="CN139" s="1050"/>
      <c r="CO139" s="1051">
        <f t="shared" si="282"/>
        <v>112.91500000000001</v>
      </c>
      <c r="CP139" s="1052"/>
      <c r="CQ139" s="1053"/>
      <c r="CR139" s="1048">
        <f t="shared" si="283"/>
        <v>0</v>
      </c>
      <c r="CS139" s="1052"/>
      <c r="CT139" s="1053"/>
      <c r="CU139" s="1053"/>
      <c r="CV139" s="1053"/>
      <c r="CW139" s="1048">
        <f t="shared" si="284"/>
        <v>0</v>
      </c>
      <c r="CX139" s="1052"/>
      <c r="CY139" s="1048">
        <f t="shared" si="285"/>
        <v>0</v>
      </c>
      <c r="CZ139" s="1103">
        <f t="shared" si="286"/>
        <v>225.83</v>
      </c>
      <c r="DA139" s="1104">
        <f t="shared" si="287"/>
        <v>733.94749999999999</v>
      </c>
      <c r="DI139" s="1042">
        <f t="shared" si="288"/>
        <v>0</v>
      </c>
    </row>
    <row r="140" spans="1:113" s="1055" customFormat="1">
      <c r="A140" s="955" t="s">
        <v>1408</v>
      </c>
      <c r="B140" s="1102" t="s">
        <v>1409</v>
      </c>
      <c r="C140" s="1030" t="s">
        <v>81</v>
      </c>
      <c r="D140" s="1035">
        <v>0</v>
      </c>
      <c r="E140" s="1032">
        <f t="shared" si="191"/>
        <v>0</v>
      </c>
      <c r="F140" s="1035"/>
      <c r="G140" s="1036">
        <v>0</v>
      </c>
      <c r="H140" s="1032">
        <f t="shared" si="259"/>
        <v>0</v>
      </c>
      <c r="I140" s="1035">
        <v>0</v>
      </c>
      <c r="J140" s="1032">
        <f t="shared" si="260"/>
        <v>0</v>
      </c>
      <c r="K140" s="1035">
        <v>0</v>
      </c>
      <c r="L140" s="1074">
        <v>0</v>
      </c>
      <c r="M140" s="1032">
        <f t="shared" si="261"/>
        <v>0</v>
      </c>
      <c r="N140" s="1035">
        <v>0</v>
      </c>
      <c r="O140" s="1036">
        <v>0</v>
      </c>
      <c r="P140" s="1032">
        <f t="shared" si="262"/>
        <v>0</v>
      </c>
      <c r="Q140" s="1035">
        <v>0</v>
      </c>
      <c r="R140" s="1036">
        <v>0</v>
      </c>
      <c r="S140" s="1032">
        <f t="shared" si="263"/>
        <v>0</v>
      </c>
      <c r="T140" s="1035">
        <v>0</v>
      </c>
      <c r="U140" s="1036">
        <v>0</v>
      </c>
      <c r="V140" s="1032">
        <f t="shared" si="264"/>
        <v>0</v>
      </c>
      <c r="W140" s="1037">
        <f t="shared" si="265"/>
        <v>0</v>
      </c>
      <c r="X140" s="1038">
        <v>0</v>
      </c>
      <c r="Y140" s="1039">
        <v>0</v>
      </c>
      <c r="Z140" s="1408">
        <v>0</v>
      </c>
      <c r="AA140" s="1040">
        <f t="shared" si="266"/>
        <v>0</v>
      </c>
      <c r="AB140" s="1038">
        <v>0</v>
      </c>
      <c r="AC140" s="1039">
        <v>0</v>
      </c>
      <c r="AD140" s="1040">
        <f t="shared" si="267"/>
        <v>0</v>
      </c>
      <c r="AE140" s="1038">
        <v>0</v>
      </c>
      <c r="AF140" s="1040">
        <f t="shared" si="268"/>
        <v>0</v>
      </c>
      <c r="AG140" s="1038">
        <v>0</v>
      </c>
      <c r="AH140" s="1040">
        <f t="shared" si="269"/>
        <v>0</v>
      </c>
      <c r="AI140" s="1038">
        <v>0</v>
      </c>
      <c r="AJ140" s="1039">
        <v>0</v>
      </c>
      <c r="AK140" s="1039">
        <v>0</v>
      </c>
      <c r="AL140" s="1039">
        <v>0</v>
      </c>
      <c r="AM140" s="1041">
        <v>0</v>
      </c>
      <c r="AN140" s="1041">
        <v>0</v>
      </c>
      <c r="AO140" s="1040">
        <f t="shared" si="270"/>
        <v>0</v>
      </c>
      <c r="AP140" s="1038">
        <v>0</v>
      </c>
      <c r="AQ140" s="1040">
        <f t="shared" si="271"/>
        <v>0</v>
      </c>
      <c r="AR140" s="1038">
        <v>0</v>
      </c>
      <c r="AS140" s="1039">
        <v>0</v>
      </c>
      <c r="AT140" s="1408">
        <v>0</v>
      </c>
      <c r="AU140" s="1040">
        <f t="shared" si="272"/>
        <v>0</v>
      </c>
      <c r="AV140" s="1038">
        <v>0</v>
      </c>
      <c r="AW140" s="1039">
        <v>0</v>
      </c>
      <c r="AX140" s="1040">
        <f t="shared" si="273"/>
        <v>0</v>
      </c>
      <c r="AY140" s="1038">
        <v>0</v>
      </c>
      <c r="AZ140" s="1040">
        <f t="shared" si="274"/>
        <v>0</v>
      </c>
      <c r="BA140" s="1038">
        <v>0</v>
      </c>
      <c r="BB140" s="1039">
        <v>0</v>
      </c>
      <c r="BC140" s="1040">
        <f t="shared" si="275"/>
        <v>0</v>
      </c>
      <c r="BD140" s="1042">
        <f t="shared" si="276"/>
        <v>0</v>
      </c>
      <c r="BE140" s="1052"/>
      <c r="BF140" s="1053"/>
      <c r="BG140" s="1048">
        <f t="shared" si="204"/>
        <v>0</v>
      </c>
      <c r="BH140" s="1052"/>
      <c r="BI140" s="1053"/>
      <c r="BJ140" s="1053"/>
      <c r="BK140" s="1053"/>
      <c r="BL140" s="1048">
        <f t="shared" si="277"/>
        <v>0</v>
      </c>
      <c r="BM140" s="1052"/>
      <c r="BN140" s="1053"/>
      <c r="BO140" s="1048">
        <f t="shared" si="278"/>
        <v>0</v>
      </c>
      <c r="BP140" s="1049"/>
      <c r="BQ140" s="1050"/>
      <c r="BR140" s="1050"/>
      <c r="BS140" s="1050"/>
      <c r="BT140" s="1053"/>
      <c r="BU140" s="1048">
        <f t="shared" si="279"/>
        <v>0</v>
      </c>
      <c r="BV140" s="1049"/>
      <c r="BW140" s="1050"/>
      <c r="BX140" s="1050"/>
      <c r="BY140" s="1050"/>
      <c r="BZ140" s="1050"/>
      <c r="CA140" s="1050"/>
      <c r="CB140" s="1053"/>
      <c r="CC140" s="1048">
        <f t="shared" si="280"/>
        <v>0</v>
      </c>
      <c r="CD140" s="1052"/>
      <c r="CE140" s="1053"/>
      <c r="CF140" s="1053"/>
      <c r="CG140" s="1053"/>
      <c r="CH140" s="1048">
        <f t="shared" si="281"/>
        <v>0</v>
      </c>
      <c r="CI140" s="1049"/>
      <c r="CJ140" s="1050"/>
      <c r="CK140" s="1050"/>
      <c r="CL140" s="1050"/>
      <c r="CM140" s="1050"/>
      <c r="CN140" s="1050"/>
      <c r="CO140" s="1051">
        <f t="shared" si="282"/>
        <v>0</v>
      </c>
      <c r="CP140" s="1052"/>
      <c r="CQ140" s="1053"/>
      <c r="CR140" s="1048">
        <f t="shared" si="283"/>
        <v>0</v>
      </c>
      <c r="CS140" s="1052"/>
      <c r="CT140" s="1053"/>
      <c r="CU140" s="1053"/>
      <c r="CV140" s="1053"/>
      <c r="CW140" s="1048">
        <f t="shared" si="284"/>
        <v>0</v>
      </c>
      <c r="CX140" s="1052"/>
      <c r="CY140" s="1048">
        <f t="shared" si="285"/>
        <v>0</v>
      </c>
      <c r="CZ140" s="1103">
        <f t="shared" si="286"/>
        <v>0</v>
      </c>
      <c r="DA140" s="1104">
        <f t="shared" si="287"/>
        <v>0</v>
      </c>
      <c r="DI140" s="1042">
        <f t="shared" si="288"/>
        <v>0</v>
      </c>
    </row>
    <row r="141" spans="1:113" s="1055" customFormat="1">
      <c r="A141" s="955" t="s">
        <v>946</v>
      </c>
      <c r="B141" s="1102" t="s">
        <v>947</v>
      </c>
      <c r="C141" s="1030" t="s">
        <v>829</v>
      </c>
      <c r="D141" s="1035">
        <v>0</v>
      </c>
      <c r="E141" s="1032">
        <f t="shared" si="191"/>
        <v>0</v>
      </c>
      <c r="F141" s="1035"/>
      <c r="G141" s="1036">
        <v>0</v>
      </c>
      <c r="H141" s="1032">
        <f t="shared" si="259"/>
        <v>0</v>
      </c>
      <c r="I141" s="1035">
        <v>0</v>
      </c>
      <c r="J141" s="1032">
        <f t="shared" si="260"/>
        <v>0</v>
      </c>
      <c r="K141" s="1035">
        <v>0</v>
      </c>
      <c r="L141" s="1074">
        <v>0</v>
      </c>
      <c r="M141" s="1032">
        <f t="shared" si="261"/>
        <v>0</v>
      </c>
      <c r="N141" s="1035">
        <v>0</v>
      </c>
      <c r="O141" s="1036">
        <v>0</v>
      </c>
      <c r="P141" s="1032">
        <f t="shared" si="262"/>
        <v>0</v>
      </c>
      <c r="Q141" s="1035">
        <v>0</v>
      </c>
      <c r="R141" s="1036">
        <v>0</v>
      </c>
      <c r="S141" s="1032">
        <f t="shared" si="263"/>
        <v>0</v>
      </c>
      <c r="T141" s="1035">
        <v>0</v>
      </c>
      <c r="U141" s="1036">
        <v>0</v>
      </c>
      <c r="V141" s="1032">
        <f t="shared" si="264"/>
        <v>0</v>
      </c>
      <c r="W141" s="1037">
        <f t="shared" si="265"/>
        <v>0</v>
      </c>
      <c r="X141" s="1038">
        <v>0</v>
      </c>
      <c r="Y141" s="1039">
        <v>0</v>
      </c>
      <c r="Z141" s="1408">
        <v>0</v>
      </c>
      <c r="AA141" s="1040">
        <f t="shared" si="266"/>
        <v>0</v>
      </c>
      <c r="AB141" s="1038">
        <v>0</v>
      </c>
      <c r="AC141" s="1039">
        <v>0</v>
      </c>
      <c r="AD141" s="1040">
        <f t="shared" si="267"/>
        <v>0</v>
      </c>
      <c r="AE141" s="1038">
        <v>0</v>
      </c>
      <c r="AF141" s="1040">
        <f t="shared" si="268"/>
        <v>0</v>
      </c>
      <c r="AG141" s="1038">
        <v>0</v>
      </c>
      <c r="AH141" s="1040">
        <f t="shared" si="269"/>
        <v>0</v>
      </c>
      <c r="AI141" s="1038">
        <v>0</v>
      </c>
      <c r="AJ141" s="1039">
        <v>0</v>
      </c>
      <c r="AK141" s="1039">
        <v>0</v>
      </c>
      <c r="AL141" s="1039">
        <v>0</v>
      </c>
      <c r="AM141" s="1041">
        <v>0</v>
      </c>
      <c r="AN141" s="1041">
        <v>0</v>
      </c>
      <c r="AO141" s="1040">
        <f t="shared" si="270"/>
        <v>0</v>
      </c>
      <c r="AP141" s="1038">
        <v>0</v>
      </c>
      <c r="AQ141" s="1040">
        <f t="shared" si="271"/>
        <v>0</v>
      </c>
      <c r="AR141" s="1038">
        <v>0</v>
      </c>
      <c r="AS141" s="1039">
        <v>0</v>
      </c>
      <c r="AT141" s="1408">
        <v>0</v>
      </c>
      <c r="AU141" s="1040">
        <f t="shared" si="272"/>
        <v>0</v>
      </c>
      <c r="AV141" s="1038">
        <v>0</v>
      </c>
      <c r="AW141" s="1039">
        <v>0</v>
      </c>
      <c r="AX141" s="1040">
        <f t="shared" si="273"/>
        <v>0</v>
      </c>
      <c r="AY141" s="1038">
        <v>0</v>
      </c>
      <c r="AZ141" s="1040">
        <f t="shared" si="274"/>
        <v>0</v>
      </c>
      <c r="BA141" s="1038">
        <v>0</v>
      </c>
      <c r="BB141" s="1039">
        <v>0</v>
      </c>
      <c r="BC141" s="1040">
        <f t="shared" si="275"/>
        <v>0</v>
      </c>
      <c r="BD141" s="1042">
        <f t="shared" si="276"/>
        <v>0</v>
      </c>
      <c r="BE141" s="1052"/>
      <c r="BF141" s="1053"/>
      <c r="BG141" s="1048">
        <f t="shared" si="204"/>
        <v>0</v>
      </c>
      <c r="BH141" s="1052"/>
      <c r="BI141" s="1053"/>
      <c r="BJ141" s="1053"/>
      <c r="BK141" s="1053"/>
      <c r="BL141" s="1048">
        <f t="shared" si="277"/>
        <v>0</v>
      </c>
      <c r="BM141" s="1052"/>
      <c r="BN141" s="1053"/>
      <c r="BO141" s="1048">
        <f t="shared" si="278"/>
        <v>0</v>
      </c>
      <c r="BP141" s="1049"/>
      <c r="BQ141" s="1050"/>
      <c r="BR141" s="1050"/>
      <c r="BS141" s="1050"/>
      <c r="BT141" s="1053"/>
      <c r="BU141" s="1048">
        <f t="shared" si="279"/>
        <v>0</v>
      </c>
      <c r="BV141" s="1049"/>
      <c r="BW141" s="1050"/>
      <c r="BX141" s="1050"/>
      <c r="BY141" s="1050"/>
      <c r="BZ141" s="1050"/>
      <c r="CA141" s="1050"/>
      <c r="CB141" s="1053"/>
      <c r="CC141" s="1048">
        <f t="shared" si="280"/>
        <v>0</v>
      </c>
      <c r="CD141" s="1052"/>
      <c r="CE141" s="1053"/>
      <c r="CF141" s="1053"/>
      <c r="CG141" s="1053"/>
      <c r="CH141" s="1048">
        <f t="shared" si="281"/>
        <v>0</v>
      </c>
      <c r="CI141" s="1049"/>
      <c r="CJ141" s="1050"/>
      <c r="CK141" s="1050"/>
      <c r="CL141" s="1050"/>
      <c r="CM141" s="1050"/>
      <c r="CN141" s="1050"/>
      <c r="CO141" s="1051">
        <f t="shared" si="282"/>
        <v>0</v>
      </c>
      <c r="CP141" s="1052"/>
      <c r="CQ141" s="1053"/>
      <c r="CR141" s="1048">
        <f t="shared" si="283"/>
        <v>0</v>
      </c>
      <c r="CS141" s="1052"/>
      <c r="CT141" s="1053"/>
      <c r="CU141" s="1053"/>
      <c r="CV141" s="1053"/>
      <c r="CW141" s="1048">
        <f t="shared" si="284"/>
        <v>0</v>
      </c>
      <c r="CX141" s="1052"/>
      <c r="CY141" s="1048">
        <f t="shared" si="285"/>
        <v>0</v>
      </c>
      <c r="CZ141" s="1103">
        <f t="shared" si="286"/>
        <v>0</v>
      </c>
      <c r="DA141" s="1104">
        <f t="shared" si="287"/>
        <v>0</v>
      </c>
      <c r="DI141" s="1042">
        <f t="shared" si="288"/>
        <v>0</v>
      </c>
    </row>
    <row r="142" spans="1:113" s="1055" customFormat="1" ht="45">
      <c r="A142" s="955" t="s">
        <v>98</v>
      </c>
      <c r="B142" s="1102" t="s">
        <v>1410</v>
      </c>
      <c r="C142" s="1030" t="s">
        <v>111</v>
      </c>
      <c r="D142" s="1035">
        <v>0</v>
      </c>
      <c r="E142" s="1032">
        <f t="shared" si="191"/>
        <v>0</v>
      </c>
      <c r="F142" s="1035"/>
      <c r="G142" s="1036">
        <v>0</v>
      </c>
      <c r="H142" s="1032">
        <f t="shared" si="259"/>
        <v>0</v>
      </c>
      <c r="I142" s="1035">
        <v>0</v>
      </c>
      <c r="J142" s="1032">
        <f t="shared" si="260"/>
        <v>0</v>
      </c>
      <c r="K142" s="1035">
        <v>0</v>
      </c>
      <c r="L142" s="1074">
        <v>0</v>
      </c>
      <c r="M142" s="1032">
        <f t="shared" si="261"/>
        <v>0</v>
      </c>
      <c r="N142" s="1035">
        <v>0</v>
      </c>
      <c r="O142" s="1036">
        <v>0</v>
      </c>
      <c r="P142" s="1032">
        <f t="shared" si="262"/>
        <v>0</v>
      </c>
      <c r="Q142" s="1035">
        <v>0</v>
      </c>
      <c r="R142" s="1036">
        <v>0</v>
      </c>
      <c r="S142" s="1032">
        <f t="shared" si="263"/>
        <v>0</v>
      </c>
      <c r="T142" s="1035">
        <v>0</v>
      </c>
      <c r="U142" s="1036">
        <v>0</v>
      </c>
      <c r="V142" s="1032">
        <f t="shared" si="264"/>
        <v>0</v>
      </c>
      <c r="W142" s="1037">
        <f t="shared" si="265"/>
        <v>0</v>
      </c>
      <c r="X142" s="1038">
        <v>0</v>
      </c>
      <c r="Y142" s="1039">
        <v>0</v>
      </c>
      <c r="Z142" s="1408">
        <v>0</v>
      </c>
      <c r="AA142" s="1040">
        <f t="shared" si="266"/>
        <v>0</v>
      </c>
      <c r="AB142" s="1038">
        <v>0</v>
      </c>
      <c r="AC142" s="1039">
        <v>0</v>
      </c>
      <c r="AD142" s="1040">
        <f t="shared" si="267"/>
        <v>0</v>
      </c>
      <c r="AE142" s="1038">
        <v>0</v>
      </c>
      <c r="AF142" s="1040">
        <f t="shared" si="268"/>
        <v>0</v>
      </c>
      <c r="AG142" s="1038">
        <v>0</v>
      </c>
      <c r="AH142" s="1040">
        <f t="shared" si="269"/>
        <v>0</v>
      </c>
      <c r="AI142" s="1038">
        <v>0</v>
      </c>
      <c r="AJ142" s="1039">
        <v>0</v>
      </c>
      <c r="AK142" s="1039">
        <v>0</v>
      </c>
      <c r="AL142" s="1039">
        <v>0</v>
      </c>
      <c r="AM142" s="1041">
        <v>0</v>
      </c>
      <c r="AN142" s="1041">
        <v>0</v>
      </c>
      <c r="AO142" s="1040">
        <f t="shared" si="270"/>
        <v>0</v>
      </c>
      <c r="AP142" s="1038">
        <v>0</v>
      </c>
      <c r="AQ142" s="1040">
        <f t="shared" si="271"/>
        <v>0</v>
      </c>
      <c r="AR142" s="1038">
        <v>0</v>
      </c>
      <c r="AS142" s="1039">
        <v>0</v>
      </c>
      <c r="AT142" s="1408">
        <v>0</v>
      </c>
      <c r="AU142" s="1040">
        <f t="shared" si="272"/>
        <v>0</v>
      </c>
      <c r="AV142" s="1038">
        <v>0</v>
      </c>
      <c r="AW142" s="1039">
        <v>0</v>
      </c>
      <c r="AX142" s="1040">
        <f t="shared" si="273"/>
        <v>0</v>
      </c>
      <c r="AY142" s="1038">
        <v>0</v>
      </c>
      <c r="AZ142" s="1040">
        <f t="shared" si="274"/>
        <v>0</v>
      </c>
      <c r="BA142" s="1038">
        <v>0</v>
      </c>
      <c r="BB142" s="1039">
        <v>0</v>
      </c>
      <c r="BC142" s="1040">
        <f t="shared" si="275"/>
        <v>0</v>
      </c>
      <c r="BD142" s="1042">
        <f t="shared" si="276"/>
        <v>0</v>
      </c>
      <c r="BE142" s="1052"/>
      <c r="BF142" s="1053"/>
      <c r="BG142" s="1048">
        <f t="shared" si="204"/>
        <v>0</v>
      </c>
      <c r="BH142" s="1052"/>
      <c r="BI142" s="1053"/>
      <c r="BJ142" s="1053"/>
      <c r="BK142" s="1053"/>
      <c r="BL142" s="1048">
        <f t="shared" si="277"/>
        <v>0</v>
      </c>
      <c r="BM142" s="1052"/>
      <c r="BN142" s="1053"/>
      <c r="BO142" s="1048">
        <f t="shared" si="278"/>
        <v>0</v>
      </c>
      <c r="BP142" s="1049"/>
      <c r="BQ142" s="1050"/>
      <c r="BR142" s="1050"/>
      <c r="BS142" s="1050"/>
      <c r="BT142" s="1053"/>
      <c r="BU142" s="1048">
        <f t="shared" si="279"/>
        <v>0</v>
      </c>
      <c r="BV142" s="1049"/>
      <c r="BW142" s="1050"/>
      <c r="BX142" s="1050"/>
      <c r="BY142" s="1050"/>
      <c r="BZ142" s="1050"/>
      <c r="CA142" s="1050"/>
      <c r="CB142" s="1053"/>
      <c r="CC142" s="1048">
        <f t="shared" si="280"/>
        <v>0</v>
      </c>
      <c r="CD142" s="1052"/>
      <c r="CE142" s="1053"/>
      <c r="CF142" s="1053"/>
      <c r="CG142" s="1053"/>
      <c r="CH142" s="1048">
        <f t="shared" si="281"/>
        <v>0</v>
      </c>
      <c r="CI142" s="1049"/>
      <c r="CJ142" s="1050"/>
      <c r="CK142" s="1050"/>
      <c r="CL142" s="1050"/>
      <c r="CM142" s="1050"/>
      <c r="CN142" s="1050"/>
      <c r="CO142" s="1051">
        <f t="shared" si="282"/>
        <v>0</v>
      </c>
      <c r="CP142" s="1052"/>
      <c r="CQ142" s="1053"/>
      <c r="CR142" s="1048">
        <f t="shared" si="283"/>
        <v>0</v>
      </c>
      <c r="CS142" s="1052"/>
      <c r="CT142" s="1053"/>
      <c r="CU142" s="1053"/>
      <c r="CV142" s="1053"/>
      <c r="CW142" s="1048">
        <f t="shared" si="284"/>
        <v>0</v>
      </c>
      <c r="CX142" s="1052"/>
      <c r="CY142" s="1048">
        <f t="shared" si="285"/>
        <v>0</v>
      </c>
      <c r="CZ142" s="1103">
        <f t="shared" si="286"/>
        <v>0</v>
      </c>
      <c r="DA142" s="1104">
        <f t="shared" si="287"/>
        <v>0</v>
      </c>
      <c r="DI142" s="1042">
        <f t="shared" si="288"/>
        <v>0</v>
      </c>
    </row>
    <row r="143" spans="1:113" s="1101" customFormat="1">
      <c r="A143" s="1081"/>
      <c r="B143" s="1082" t="s">
        <v>953</v>
      </c>
      <c r="C143" s="1083"/>
      <c r="D143" s="1084"/>
      <c r="E143" s="1085"/>
      <c r="F143" s="1084" t="s">
        <v>816</v>
      </c>
      <c r="G143" s="1086" t="s">
        <v>816</v>
      </c>
      <c r="H143" s="1085"/>
      <c r="I143" s="1084" t="s">
        <v>816</v>
      </c>
      <c r="J143" s="1085"/>
      <c r="K143" s="1084" t="s">
        <v>816</v>
      </c>
      <c r="L143" s="1087" t="s">
        <v>816</v>
      </c>
      <c r="M143" s="1085"/>
      <c r="N143" s="1084" t="s">
        <v>816</v>
      </c>
      <c r="O143" s="1086" t="s">
        <v>816</v>
      </c>
      <c r="P143" s="1085"/>
      <c r="Q143" s="1084" t="s">
        <v>816</v>
      </c>
      <c r="R143" s="1086" t="s">
        <v>816</v>
      </c>
      <c r="S143" s="1085"/>
      <c r="T143" s="1084" t="s">
        <v>816</v>
      </c>
      <c r="U143" s="1086" t="s">
        <v>816</v>
      </c>
      <c r="V143" s="1085"/>
      <c r="W143" s="1088"/>
      <c r="X143" s="1089"/>
      <c r="Y143" s="1090"/>
      <c r="Z143" s="1407"/>
      <c r="AA143" s="1091"/>
      <c r="AB143" s="1089"/>
      <c r="AC143" s="1090"/>
      <c r="AD143" s="1091"/>
      <c r="AE143" s="1089"/>
      <c r="AF143" s="1091"/>
      <c r="AG143" s="1089"/>
      <c r="AH143" s="1091"/>
      <c r="AI143" s="1089"/>
      <c r="AJ143" s="1090"/>
      <c r="AK143" s="1090"/>
      <c r="AL143" s="1090"/>
      <c r="AM143" s="1092"/>
      <c r="AN143" s="1092"/>
      <c r="AO143" s="1091"/>
      <c r="AP143" s="1089"/>
      <c r="AQ143" s="1091"/>
      <c r="AR143" s="1089"/>
      <c r="AS143" s="1090"/>
      <c r="AT143" s="1407"/>
      <c r="AU143" s="1091"/>
      <c r="AV143" s="1089"/>
      <c r="AW143" s="1090"/>
      <c r="AX143" s="1091"/>
      <c r="AY143" s="1089"/>
      <c r="AZ143" s="1091"/>
      <c r="BA143" s="1089"/>
      <c r="BB143" s="1090"/>
      <c r="BC143" s="1091"/>
      <c r="BD143" s="1093"/>
      <c r="BE143" s="1094"/>
      <c r="BF143" s="1095"/>
      <c r="BG143" s="1096"/>
      <c r="BH143" s="1094"/>
      <c r="BI143" s="1095"/>
      <c r="BJ143" s="1095"/>
      <c r="BK143" s="1095"/>
      <c r="BL143" s="1096"/>
      <c r="BM143" s="1094"/>
      <c r="BN143" s="1095"/>
      <c r="BO143" s="1096"/>
      <c r="BP143" s="1097"/>
      <c r="BQ143" s="1098"/>
      <c r="BR143" s="1098"/>
      <c r="BS143" s="1098"/>
      <c r="BT143" s="1095"/>
      <c r="BU143" s="1096"/>
      <c r="BV143" s="1097"/>
      <c r="BW143" s="1098"/>
      <c r="BX143" s="1098"/>
      <c r="BY143" s="1098"/>
      <c r="BZ143" s="1098"/>
      <c r="CA143" s="1098"/>
      <c r="CB143" s="1095"/>
      <c r="CC143" s="1096"/>
      <c r="CD143" s="1094"/>
      <c r="CE143" s="1095"/>
      <c r="CF143" s="1095"/>
      <c r="CG143" s="1095"/>
      <c r="CH143" s="1096"/>
      <c r="CI143" s="1097"/>
      <c r="CJ143" s="1098"/>
      <c r="CK143" s="1098"/>
      <c r="CL143" s="1098"/>
      <c r="CM143" s="1098"/>
      <c r="CN143" s="1098"/>
      <c r="CO143" s="1099"/>
      <c r="CP143" s="1094"/>
      <c r="CQ143" s="1095"/>
      <c r="CR143" s="1096"/>
      <c r="CS143" s="1094"/>
      <c r="CT143" s="1095"/>
      <c r="CU143" s="1095"/>
      <c r="CV143" s="1095"/>
      <c r="CW143" s="1096"/>
      <c r="CX143" s="1094"/>
      <c r="CY143" s="1096"/>
      <c r="CZ143" s="1096"/>
      <c r="DA143" s="1105"/>
      <c r="DI143" s="1093"/>
    </row>
    <row r="144" spans="1:113" s="1055" customFormat="1">
      <c r="A144" s="955" t="s">
        <v>100</v>
      </c>
      <c r="B144" s="1102" t="s">
        <v>1411</v>
      </c>
      <c r="C144" s="1030" t="s">
        <v>81</v>
      </c>
      <c r="D144" s="1035"/>
      <c r="E144" s="1032">
        <f t="shared" si="191"/>
        <v>0</v>
      </c>
      <c r="F144" s="1035">
        <v>0</v>
      </c>
      <c r="G144" s="1036">
        <v>0</v>
      </c>
      <c r="H144" s="1032">
        <f t="shared" ref="H144:H156" si="289">+IF(C144="", 0,SUM(F144:G144))</f>
        <v>0</v>
      </c>
      <c r="I144" s="1035">
        <v>0</v>
      </c>
      <c r="J144" s="1032">
        <f t="shared" ref="J144:J156" si="290">+IF(C144="", 0,I144)</f>
        <v>0</v>
      </c>
      <c r="K144" s="1035">
        <v>0</v>
      </c>
      <c r="L144" s="1074">
        <v>220</v>
      </c>
      <c r="M144" s="1032">
        <f t="shared" ref="M144:M156" si="291">+IF(C144="",0,K144+L144)</f>
        <v>220</v>
      </c>
      <c r="N144" s="1035">
        <v>0</v>
      </c>
      <c r="O144" s="1036">
        <v>0</v>
      </c>
      <c r="P144" s="1032">
        <f t="shared" ref="P144:P156" si="292">+IF(C144="", 0,SUM(N144:O144))</f>
        <v>0</v>
      </c>
      <c r="Q144" s="1035">
        <v>0</v>
      </c>
      <c r="R144" s="1036">
        <v>340</v>
      </c>
      <c r="S144" s="1032">
        <f t="shared" ref="S144:S156" si="293">+IF(C144="",0,SUM(Q144:R144))</f>
        <v>340</v>
      </c>
      <c r="T144" s="1035">
        <v>0</v>
      </c>
      <c r="U144" s="1036">
        <v>80</v>
      </c>
      <c r="V144" s="1032">
        <f t="shared" ref="V144:V156" si="294">+IF(C144="",0,SUM(T144:U144))</f>
        <v>80</v>
      </c>
      <c r="W144" s="1037">
        <f t="shared" ref="W144:W156" si="295">+IF(C144="",0,E144+H144+J144+M144+P144+S144+V144)</f>
        <v>640</v>
      </c>
      <c r="X144" s="1038">
        <v>0</v>
      </c>
      <c r="Y144" s="1039">
        <v>0</v>
      </c>
      <c r="Z144" s="1408">
        <v>0</v>
      </c>
      <c r="AA144" s="1040">
        <f t="shared" ref="AA144:AA156" si="296">SUM(X144:Z144)</f>
        <v>0</v>
      </c>
      <c r="AB144" s="1038">
        <v>0</v>
      </c>
      <c r="AC144" s="1039">
        <v>0</v>
      </c>
      <c r="AD144" s="1040">
        <f t="shared" ref="AD144:AD156" si="297">SUM(AB144:AC144)</f>
        <v>0</v>
      </c>
      <c r="AE144" s="1038">
        <v>38</v>
      </c>
      <c r="AF144" s="1040">
        <f t="shared" ref="AF144:AF156" si="298">+AE144</f>
        <v>38</v>
      </c>
      <c r="AG144" s="1038">
        <v>0</v>
      </c>
      <c r="AH144" s="1040">
        <f t="shared" ref="AH144:AH156" si="299">+AG144</f>
        <v>0</v>
      </c>
      <c r="AI144" s="1038">
        <v>0</v>
      </c>
      <c r="AJ144" s="1039">
        <v>162</v>
      </c>
      <c r="AK144" s="1039">
        <v>98</v>
      </c>
      <c r="AL144" s="1039">
        <v>276</v>
      </c>
      <c r="AM144" s="1041">
        <v>0</v>
      </c>
      <c r="AN144" s="1041">
        <v>0</v>
      </c>
      <c r="AO144" s="1040">
        <f t="shared" ref="AO144" si="300">AI144+AM144+AN144</f>
        <v>0</v>
      </c>
      <c r="AP144" s="1038">
        <v>0</v>
      </c>
      <c r="AQ144" s="1040">
        <f t="shared" ref="AQ144:AQ156" si="301">+AP144</f>
        <v>0</v>
      </c>
      <c r="AR144" s="1038">
        <v>0</v>
      </c>
      <c r="AS144" s="1039">
        <v>0</v>
      </c>
      <c r="AT144" s="1408">
        <v>0</v>
      </c>
      <c r="AU144" s="1040">
        <f t="shared" si="272"/>
        <v>0</v>
      </c>
      <c r="AV144" s="1038">
        <v>0</v>
      </c>
      <c r="AW144" s="1039">
        <v>0</v>
      </c>
      <c r="AX144" s="1040">
        <f t="shared" ref="AX144:AX156" si="302">SUM(AV144:AW144)</f>
        <v>0</v>
      </c>
      <c r="AY144" s="1038">
        <v>0</v>
      </c>
      <c r="AZ144" s="1040">
        <f t="shared" ref="AZ144:AZ156" si="303">+AY144</f>
        <v>0</v>
      </c>
      <c r="BA144" s="1038">
        <v>0</v>
      </c>
      <c r="BB144" s="1039">
        <v>0</v>
      </c>
      <c r="BC144" s="1040">
        <f t="shared" ref="BC144:BC156" si="304">SUM(BA144:BB144)</f>
        <v>0</v>
      </c>
      <c r="BD144" s="1042">
        <f t="shared" ref="BD144:BD156" si="305">+IF(C144="",0,BC144+AZ144+AX144+AU144+AQ144+AO144+AH144+AF144+AD144+AA144)</f>
        <v>38</v>
      </c>
      <c r="BE144" s="1052"/>
      <c r="BF144" s="1053"/>
      <c r="BG144" s="1048">
        <f t="shared" si="204"/>
        <v>0</v>
      </c>
      <c r="BH144" s="1052"/>
      <c r="BI144" s="1053"/>
      <c r="BJ144" s="1053"/>
      <c r="BK144" s="1053"/>
      <c r="BL144" s="1048">
        <f t="shared" ref="BL144:BL156" si="306">+BH144+BI144+BJ144+BK144</f>
        <v>0</v>
      </c>
      <c r="BM144" s="1052"/>
      <c r="BN144" s="1053"/>
      <c r="BO144" s="1048">
        <f t="shared" ref="BO144:BO156" si="307">+BM144+BN144</f>
        <v>0</v>
      </c>
      <c r="BP144" s="1049"/>
      <c r="BQ144" s="1050"/>
      <c r="BR144" s="1050"/>
      <c r="BS144" s="1050"/>
      <c r="BT144" s="1053">
        <v>47</v>
      </c>
      <c r="BU144" s="1048">
        <f t="shared" ref="BU144:BU156" si="308">+SUM(BP144:BT144)</f>
        <v>47</v>
      </c>
      <c r="BV144" s="1052"/>
      <c r="BW144" s="1053">
        <v>22</v>
      </c>
      <c r="BX144" s="1053">
        <v>20</v>
      </c>
      <c r="BY144" s="1053">
        <v>60</v>
      </c>
      <c r="BZ144" s="1053"/>
      <c r="CA144" s="1053">
        <v>22</v>
      </c>
      <c r="CB144" s="1053"/>
      <c r="CC144" s="1048">
        <f t="shared" ref="CC144:CC156" si="309">+SUM(BV144:CB144)</f>
        <v>124</v>
      </c>
      <c r="CD144" s="1052"/>
      <c r="CE144" s="1053"/>
      <c r="CF144" s="1053"/>
      <c r="CG144" s="1053"/>
      <c r="CH144" s="1048">
        <f t="shared" ref="CH144:CH156" si="310">+SUM(CD144:CG144)</f>
        <v>0</v>
      </c>
      <c r="CI144" s="1052">
        <v>69</v>
      </c>
      <c r="CJ144" s="1053"/>
      <c r="CK144" s="1053">
        <v>67</v>
      </c>
      <c r="CL144" s="1053"/>
      <c r="CM144" s="1053">
        <v>108</v>
      </c>
      <c r="CN144" s="1053">
        <v>70</v>
      </c>
      <c r="CO144" s="1051">
        <f t="shared" ref="CO144:CO156" si="311">+SUM(CI144:CN144)</f>
        <v>314</v>
      </c>
      <c r="CP144" s="1052">
        <v>128</v>
      </c>
      <c r="CQ144" s="1053">
        <v>43</v>
      </c>
      <c r="CR144" s="1048">
        <f t="shared" ref="CR144:CR156" si="312">+SUM(CP144:CQ144)</f>
        <v>171</v>
      </c>
      <c r="CS144" s="1052"/>
      <c r="CT144" s="1053">
        <v>47</v>
      </c>
      <c r="CU144" s="1053"/>
      <c r="CV144" s="1053">
        <v>112</v>
      </c>
      <c r="CW144" s="1048">
        <f t="shared" ref="CW144:CW156" si="313">+SUM(CS144:CV144)</f>
        <v>159</v>
      </c>
      <c r="CX144" s="1052"/>
      <c r="CY144" s="1048">
        <f t="shared" ref="CY144:CY156" si="314">+CX144</f>
        <v>0</v>
      </c>
      <c r="CZ144" s="1103">
        <f t="shared" ref="CZ144:CZ156" si="315">+IF(C144="",0,CY144+CR144+CH144+BU144+BO144+BL144+CO144+CW144+CC144+BG144)</f>
        <v>815</v>
      </c>
      <c r="DA144" s="1104">
        <f t="shared" ref="DA144:DA156" si="316">IF(C144="",0,CZ144+BD144+W144)</f>
        <v>1493</v>
      </c>
      <c r="DI144" s="1042">
        <f t="shared" ref="DI144:DI156" si="317">+IF(BH144="",0,DH144+DE144+DC144+CZ144+CV144+CT144+CM144+CK144+CI144+CF144)</f>
        <v>0</v>
      </c>
    </row>
    <row r="145" spans="1:113" s="1055" customFormat="1">
      <c r="A145" s="955" t="s">
        <v>16</v>
      </c>
      <c r="B145" s="1102" t="s">
        <v>1369</v>
      </c>
      <c r="C145" s="1030" t="s">
        <v>111</v>
      </c>
      <c r="D145" s="1035"/>
      <c r="E145" s="1032">
        <f t="shared" si="191"/>
        <v>0</v>
      </c>
      <c r="F145" s="1035">
        <v>0.48</v>
      </c>
      <c r="G145" s="1036">
        <v>3.21</v>
      </c>
      <c r="H145" s="1032">
        <f t="shared" si="289"/>
        <v>3.69</v>
      </c>
      <c r="I145" s="1035">
        <v>2.1015595686858948</v>
      </c>
      <c r="J145" s="1032">
        <f t="shared" si="290"/>
        <v>2.1015595686858948</v>
      </c>
      <c r="K145" s="1035">
        <v>0</v>
      </c>
      <c r="L145" s="1074">
        <v>0</v>
      </c>
      <c r="M145" s="1032">
        <f t="shared" si="291"/>
        <v>0</v>
      </c>
      <c r="N145" s="1035">
        <v>0</v>
      </c>
      <c r="O145" s="1036">
        <v>0</v>
      </c>
      <c r="P145" s="1032">
        <f t="shared" si="292"/>
        <v>0</v>
      </c>
      <c r="Q145" s="1035">
        <v>0</v>
      </c>
      <c r="R145" s="1036">
        <v>0</v>
      </c>
      <c r="S145" s="1032">
        <f t="shared" si="293"/>
        <v>0</v>
      </c>
      <c r="T145" s="1035">
        <v>0</v>
      </c>
      <c r="U145" s="1036">
        <v>0</v>
      </c>
      <c r="V145" s="1032">
        <f t="shared" si="294"/>
        <v>0</v>
      </c>
      <c r="W145" s="1037">
        <f t="shared" si="295"/>
        <v>5.7915595686858943</v>
      </c>
      <c r="X145" s="1038">
        <v>0</v>
      </c>
      <c r="Y145" s="1039">
        <v>0</v>
      </c>
      <c r="Z145" s="1408">
        <v>0</v>
      </c>
      <c r="AA145" s="1040">
        <f t="shared" si="296"/>
        <v>0</v>
      </c>
      <c r="AB145" s="1038">
        <v>0</v>
      </c>
      <c r="AC145" s="1039">
        <v>0</v>
      </c>
      <c r="AD145" s="1040">
        <f t="shared" si="297"/>
        <v>0</v>
      </c>
      <c r="AE145" s="1038">
        <v>0</v>
      </c>
      <c r="AF145" s="1040">
        <f t="shared" si="298"/>
        <v>0</v>
      </c>
      <c r="AG145" s="1038">
        <v>0</v>
      </c>
      <c r="AH145" s="1040">
        <f t="shared" si="299"/>
        <v>0</v>
      </c>
      <c r="AI145" s="1038">
        <v>0</v>
      </c>
      <c r="AJ145" s="1039">
        <v>0</v>
      </c>
      <c r="AK145" s="1039">
        <v>0</v>
      </c>
      <c r="AL145" s="1039">
        <v>0</v>
      </c>
      <c r="AM145" s="1041">
        <v>0</v>
      </c>
      <c r="AN145" s="1041">
        <v>0</v>
      </c>
      <c r="AO145" s="1040">
        <f t="shared" ref="AO145:AO156" si="318">SUM(AI145:AN145)</f>
        <v>0</v>
      </c>
      <c r="AP145" s="1038">
        <v>0</v>
      </c>
      <c r="AQ145" s="1040">
        <f t="shared" si="301"/>
        <v>0</v>
      </c>
      <c r="AR145" s="1038">
        <v>0</v>
      </c>
      <c r="AS145" s="1039">
        <v>0</v>
      </c>
      <c r="AT145" s="1408">
        <v>0</v>
      </c>
      <c r="AU145" s="1040">
        <f t="shared" si="272"/>
        <v>0</v>
      </c>
      <c r="AV145" s="1038">
        <v>0</v>
      </c>
      <c r="AW145" s="1039">
        <v>0</v>
      </c>
      <c r="AX145" s="1040">
        <f t="shared" si="302"/>
        <v>0</v>
      </c>
      <c r="AY145" s="1038">
        <v>0</v>
      </c>
      <c r="AZ145" s="1040">
        <f t="shared" si="303"/>
        <v>0</v>
      </c>
      <c r="BA145" s="1038">
        <v>0</v>
      </c>
      <c r="BB145" s="1039">
        <v>0</v>
      </c>
      <c r="BC145" s="1040">
        <f t="shared" si="304"/>
        <v>0</v>
      </c>
      <c r="BD145" s="1042">
        <f t="shared" si="305"/>
        <v>0</v>
      </c>
      <c r="BE145" s="1052"/>
      <c r="BF145" s="1053"/>
      <c r="BG145" s="1048">
        <f t="shared" si="204"/>
        <v>0</v>
      </c>
      <c r="BH145" s="1052"/>
      <c r="BI145" s="1053"/>
      <c r="BJ145" s="1053"/>
      <c r="BK145" s="1053"/>
      <c r="BL145" s="1048">
        <f t="shared" si="306"/>
        <v>0</v>
      </c>
      <c r="BM145" s="1052"/>
      <c r="BN145" s="1053"/>
      <c r="BO145" s="1048">
        <f t="shared" si="307"/>
        <v>0</v>
      </c>
      <c r="BP145" s="1049"/>
      <c r="BQ145" s="1050"/>
      <c r="BR145" s="1050"/>
      <c r="BS145" s="1050"/>
      <c r="BT145" s="1053"/>
      <c r="BU145" s="1048">
        <f t="shared" si="308"/>
        <v>0</v>
      </c>
      <c r="BV145" s="1052"/>
      <c r="BW145" s="1053"/>
      <c r="BX145" s="1053"/>
      <c r="BY145" s="1053"/>
      <c r="BZ145" s="1053"/>
      <c r="CA145" s="1053"/>
      <c r="CB145" s="1053"/>
      <c r="CC145" s="1048">
        <f t="shared" si="309"/>
        <v>0</v>
      </c>
      <c r="CD145" s="1052"/>
      <c r="CE145" s="1053"/>
      <c r="CF145" s="1053"/>
      <c r="CG145" s="1053"/>
      <c r="CH145" s="1048">
        <f t="shared" si="310"/>
        <v>0</v>
      </c>
      <c r="CI145" s="1052"/>
      <c r="CJ145" s="1053"/>
      <c r="CK145" s="1053"/>
      <c r="CL145" s="1053"/>
      <c r="CM145" s="1053"/>
      <c r="CN145" s="1053"/>
      <c r="CO145" s="1051">
        <f t="shared" si="311"/>
        <v>0</v>
      </c>
      <c r="CP145" s="1052"/>
      <c r="CQ145" s="1053"/>
      <c r="CR145" s="1048">
        <f t="shared" si="312"/>
        <v>0</v>
      </c>
      <c r="CS145" s="1052"/>
      <c r="CT145" s="1053"/>
      <c r="CU145" s="1053"/>
      <c r="CV145" s="1053"/>
      <c r="CW145" s="1048">
        <f t="shared" si="313"/>
        <v>0</v>
      </c>
      <c r="CX145" s="1052"/>
      <c r="CY145" s="1048">
        <f t="shared" si="314"/>
        <v>0</v>
      </c>
      <c r="CZ145" s="1103">
        <f t="shared" si="315"/>
        <v>0</v>
      </c>
      <c r="DA145" s="1104">
        <f t="shared" si="316"/>
        <v>5.7915595686858943</v>
      </c>
      <c r="DI145" s="1042">
        <f t="shared" si="317"/>
        <v>0</v>
      </c>
    </row>
    <row r="146" spans="1:113" s="1055" customFormat="1">
      <c r="A146" s="955" t="s">
        <v>955</v>
      </c>
      <c r="B146" s="1102" t="s">
        <v>1412</v>
      </c>
      <c r="C146" s="1030" t="s">
        <v>81</v>
      </c>
      <c r="D146" s="1035"/>
      <c r="E146" s="1032">
        <f t="shared" si="191"/>
        <v>0</v>
      </c>
      <c r="F146" s="1035">
        <v>4116</v>
      </c>
      <c r="G146" s="1036">
        <v>26155.410000000003</v>
      </c>
      <c r="H146" s="1032">
        <f t="shared" si="289"/>
        <v>30271.410000000003</v>
      </c>
      <c r="I146" s="1035">
        <v>40000</v>
      </c>
      <c r="J146" s="1032">
        <f t="shared" si="290"/>
        <v>40000</v>
      </c>
      <c r="K146" s="1035">
        <v>1899</v>
      </c>
      <c r="L146" s="1074">
        <v>1050</v>
      </c>
      <c r="M146" s="1032">
        <f t="shared" si="291"/>
        <v>2949</v>
      </c>
      <c r="N146" s="1035">
        <v>9378</v>
      </c>
      <c r="O146" s="1036">
        <v>5940</v>
      </c>
      <c r="P146" s="1032">
        <f t="shared" si="292"/>
        <v>15318</v>
      </c>
      <c r="Q146" s="1035">
        <v>2715</v>
      </c>
      <c r="R146" s="1036">
        <v>6090</v>
      </c>
      <c r="S146" s="1032">
        <f t="shared" si="293"/>
        <v>8805</v>
      </c>
      <c r="T146" s="1035">
        <v>2610</v>
      </c>
      <c r="U146" s="1036">
        <v>6090</v>
      </c>
      <c r="V146" s="1032">
        <f t="shared" si="294"/>
        <v>8700</v>
      </c>
      <c r="W146" s="1037">
        <f t="shared" si="295"/>
        <v>106043.41</v>
      </c>
      <c r="X146" s="1038">
        <v>201</v>
      </c>
      <c r="Y146" s="1039">
        <v>552</v>
      </c>
      <c r="Z146" s="1408">
        <v>1620</v>
      </c>
      <c r="AA146" s="1040">
        <f t="shared" ref="AA146:AA154" si="319">SUM(Z146)</f>
        <v>1620</v>
      </c>
      <c r="AB146" s="1038">
        <v>4857</v>
      </c>
      <c r="AC146" s="1039">
        <v>4500</v>
      </c>
      <c r="AD146" s="1040">
        <f t="shared" si="297"/>
        <v>9357</v>
      </c>
      <c r="AE146" s="1038">
        <v>30299.999999999996</v>
      </c>
      <c r="AF146" s="1040">
        <f t="shared" si="298"/>
        <v>30299.999999999996</v>
      </c>
      <c r="AG146" s="1038">
        <v>30000</v>
      </c>
      <c r="AH146" s="1040">
        <f t="shared" si="299"/>
        <v>30000</v>
      </c>
      <c r="AI146" s="1038">
        <v>5601</v>
      </c>
      <c r="AJ146" s="1039">
        <v>789</v>
      </c>
      <c r="AK146" s="1039">
        <v>2916</v>
      </c>
      <c r="AL146" s="1039">
        <v>8076.0000000000009</v>
      </c>
      <c r="AM146" s="1041">
        <v>0</v>
      </c>
      <c r="AN146" s="1041">
        <v>0</v>
      </c>
      <c r="AO146" s="1040">
        <f t="shared" ref="AO146:AO149" si="320">AI146+AM146+AN146</f>
        <v>5601</v>
      </c>
      <c r="AP146" s="1038">
        <v>30000</v>
      </c>
      <c r="AQ146" s="1040">
        <f t="shared" si="301"/>
        <v>30000</v>
      </c>
      <c r="AR146" s="1038">
        <v>5679</v>
      </c>
      <c r="AS146" s="1039">
        <v>6456</v>
      </c>
      <c r="AT146" s="1408">
        <v>2583</v>
      </c>
      <c r="AU146" s="1040">
        <f t="shared" si="272"/>
        <v>2583</v>
      </c>
      <c r="AV146" s="1038">
        <v>180</v>
      </c>
      <c r="AW146" s="1039">
        <v>19878</v>
      </c>
      <c r="AX146" s="1040">
        <f t="shared" si="302"/>
        <v>20058</v>
      </c>
      <c r="AY146" s="1038">
        <v>1620</v>
      </c>
      <c r="AZ146" s="1040">
        <f t="shared" si="303"/>
        <v>1620</v>
      </c>
      <c r="BA146" s="1038">
        <v>10431.18</v>
      </c>
      <c r="BB146" s="1039">
        <v>5919.0000000000009</v>
      </c>
      <c r="BC146" s="1040">
        <f t="shared" si="304"/>
        <v>16350.18</v>
      </c>
      <c r="BD146" s="1042">
        <f t="shared" si="305"/>
        <v>147489.18</v>
      </c>
      <c r="BE146" s="1052"/>
      <c r="BF146" s="1053"/>
      <c r="BG146" s="1048">
        <f t="shared" si="204"/>
        <v>0</v>
      </c>
      <c r="BH146" s="1052">
        <v>2310</v>
      </c>
      <c r="BI146" s="1053">
        <v>660</v>
      </c>
      <c r="BJ146" s="1053">
        <v>3000</v>
      </c>
      <c r="BK146" s="1053">
        <v>600</v>
      </c>
      <c r="BL146" s="1048">
        <f t="shared" si="306"/>
        <v>6570</v>
      </c>
      <c r="BM146" s="1052">
        <v>3600</v>
      </c>
      <c r="BN146" s="1053">
        <v>600</v>
      </c>
      <c r="BO146" s="1048">
        <f t="shared" si="307"/>
        <v>4200</v>
      </c>
      <c r="BP146" s="1052"/>
      <c r="BQ146" s="1053">
        <v>1830</v>
      </c>
      <c r="BR146" s="1053">
        <v>1920</v>
      </c>
      <c r="BS146" s="1053">
        <v>3252</v>
      </c>
      <c r="BT146" s="1053">
        <v>1440</v>
      </c>
      <c r="BU146" s="1048">
        <f t="shared" si="308"/>
        <v>8442</v>
      </c>
      <c r="BV146" s="1052">
        <v>486.42</v>
      </c>
      <c r="BW146" s="1053">
        <v>1606.56</v>
      </c>
      <c r="BX146" s="1053">
        <v>7170</v>
      </c>
      <c r="BY146" s="1053">
        <v>810</v>
      </c>
      <c r="BZ146" s="1053">
        <v>2610</v>
      </c>
      <c r="CA146" s="1053">
        <v>990</v>
      </c>
      <c r="CB146" s="1053">
        <v>1440</v>
      </c>
      <c r="CC146" s="1048">
        <f t="shared" si="309"/>
        <v>15112.98</v>
      </c>
      <c r="CD146" s="1052">
        <v>180</v>
      </c>
      <c r="CE146" s="1053">
        <v>990</v>
      </c>
      <c r="CF146" s="1053">
        <v>360</v>
      </c>
      <c r="CG146" s="1053">
        <v>360</v>
      </c>
      <c r="CH146" s="1048">
        <f t="shared" si="310"/>
        <v>1890</v>
      </c>
      <c r="CI146" s="1052">
        <v>1830</v>
      </c>
      <c r="CJ146" s="1053">
        <v>270</v>
      </c>
      <c r="CK146" s="1053">
        <v>2130</v>
      </c>
      <c r="CL146" s="1053">
        <v>780</v>
      </c>
      <c r="CM146" s="1053">
        <v>6390</v>
      </c>
      <c r="CN146" s="1053">
        <v>4966.26</v>
      </c>
      <c r="CO146" s="1051">
        <f t="shared" si="311"/>
        <v>16366.26</v>
      </c>
      <c r="CP146" s="1052">
        <v>1890</v>
      </c>
      <c r="CQ146" s="1053">
        <v>1142.49</v>
      </c>
      <c r="CR146" s="1048">
        <f t="shared" si="312"/>
        <v>3032.49</v>
      </c>
      <c r="CS146" s="1052">
        <v>3681</v>
      </c>
      <c r="CT146" s="1053">
        <v>2424</v>
      </c>
      <c r="CU146" s="1053">
        <v>378</v>
      </c>
      <c r="CV146" s="1053">
        <v>1665</v>
      </c>
      <c r="CW146" s="1048">
        <f t="shared" si="313"/>
        <v>8148</v>
      </c>
      <c r="CX146" s="1052">
        <v>720</v>
      </c>
      <c r="CY146" s="1048">
        <f t="shared" si="314"/>
        <v>720</v>
      </c>
      <c r="CZ146" s="1103">
        <f t="shared" si="315"/>
        <v>64481.729999999996</v>
      </c>
      <c r="DA146" s="1104">
        <f t="shared" si="316"/>
        <v>318014.31999999995</v>
      </c>
      <c r="DI146" s="1042">
        <f t="shared" si="317"/>
        <v>79280.73</v>
      </c>
    </row>
    <row r="147" spans="1:113" s="1055" customFormat="1">
      <c r="A147" s="955" t="s">
        <v>957</v>
      </c>
      <c r="B147" s="1102" t="s">
        <v>21</v>
      </c>
      <c r="C147" s="1030" t="s">
        <v>81</v>
      </c>
      <c r="D147" s="1035"/>
      <c r="E147" s="1032">
        <f t="shared" si="191"/>
        <v>0</v>
      </c>
      <c r="F147" s="1035">
        <v>172</v>
      </c>
      <c r="G147" s="1036">
        <v>1075</v>
      </c>
      <c r="H147" s="1032">
        <f t="shared" si="289"/>
        <v>1247</v>
      </c>
      <c r="I147" s="1035">
        <v>1248</v>
      </c>
      <c r="J147" s="1032">
        <f t="shared" si="290"/>
        <v>1248</v>
      </c>
      <c r="K147" s="1035">
        <v>52.75</v>
      </c>
      <c r="L147" s="1074">
        <v>43.75</v>
      </c>
      <c r="M147" s="1032">
        <f t="shared" si="291"/>
        <v>96.5</v>
      </c>
      <c r="N147" s="1035">
        <v>311.33333333333331</v>
      </c>
      <c r="O147" s="1036">
        <v>165</v>
      </c>
      <c r="P147" s="1032">
        <f t="shared" si="292"/>
        <v>476.33333333333331</v>
      </c>
      <c r="Q147" s="1035">
        <v>113</v>
      </c>
      <c r="R147" s="1036">
        <v>254</v>
      </c>
      <c r="S147" s="1032">
        <f t="shared" si="293"/>
        <v>367</v>
      </c>
      <c r="T147" s="1035">
        <v>109</v>
      </c>
      <c r="U147" s="1036">
        <v>254</v>
      </c>
      <c r="V147" s="1032">
        <f t="shared" si="294"/>
        <v>363</v>
      </c>
      <c r="W147" s="1037">
        <f t="shared" si="295"/>
        <v>3797.8333333333335</v>
      </c>
      <c r="X147" s="1038">
        <v>201</v>
      </c>
      <c r="Y147" s="1039">
        <v>552</v>
      </c>
      <c r="Z147" s="1408">
        <v>1620</v>
      </c>
      <c r="AA147" s="1040">
        <f t="shared" si="319"/>
        <v>1620</v>
      </c>
      <c r="AB147" s="1038">
        <v>4857</v>
      </c>
      <c r="AC147" s="1039">
        <v>4500</v>
      </c>
      <c r="AD147" s="1040">
        <f t="shared" si="297"/>
        <v>9357</v>
      </c>
      <c r="AE147" s="1038">
        <v>30299.999999999996</v>
      </c>
      <c r="AF147" s="1040">
        <f t="shared" si="298"/>
        <v>30299.999999999996</v>
      </c>
      <c r="AG147" s="1038">
        <v>30000</v>
      </c>
      <c r="AH147" s="1040">
        <f t="shared" si="299"/>
        <v>30000</v>
      </c>
      <c r="AI147" s="1038">
        <v>5601</v>
      </c>
      <c r="AJ147" s="1039">
        <v>789</v>
      </c>
      <c r="AK147" s="1039">
        <v>2916</v>
      </c>
      <c r="AL147" s="1039">
        <v>8076.0000000000009</v>
      </c>
      <c r="AM147" s="1041">
        <v>0</v>
      </c>
      <c r="AN147" s="1041">
        <v>0</v>
      </c>
      <c r="AO147" s="1040">
        <f t="shared" si="320"/>
        <v>5601</v>
      </c>
      <c r="AP147" s="1038">
        <v>30000</v>
      </c>
      <c r="AQ147" s="1040">
        <f t="shared" si="301"/>
        <v>30000</v>
      </c>
      <c r="AR147" s="1038">
        <v>5679</v>
      </c>
      <c r="AS147" s="1039">
        <v>6456</v>
      </c>
      <c r="AT147" s="1408">
        <v>2583</v>
      </c>
      <c r="AU147" s="1040">
        <f t="shared" si="272"/>
        <v>2583</v>
      </c>
      <c r="AV147" s="1038">
        <v>180</v>
      </c>
      <c r="AW147" s="1039">
        <v>19878</v>
      </c>
      <c r="AX147" s="1040">
        <f t="shared" si="302"/>
        <v>20058</v>
      </c>
      <c r="AY147" s="1038">
        <v>1620</v>
      </c>
      <c r="AZ147" s="1040">
        <f t="shared" si="303"/>
        <v>1620</v>
      </c>
      <c r="BA147" s="1038">
        <v>10431.18</v>
      </c>
      <c r="BB147" s="1039">
        <v>5919.0000000000009</v>
      </c>
      <c r="BC147" s="1040">
        <f t="shared" si="304"/>
        <v>16350.18</v>
      </c>
      <c r="BD147" s="1042">
        <f t="shared" si="305"/>
        <v>147489.18</v>
      </c>
      <c r="BE147" s="1052"/>
      <c r="BF147" s="1053"/>
      <c r="BG147" s="1048">
        <f t="shared" si="204"/>
        <v>0</v>
      </c>
      <c r="BH147" s="1052">
        <v>65</v>
      </c>
      <c r="BI147" s="1053">
        <v>19</v>
      </c>
      <c r="BJ147" s="1053">
        <v>84</v>
      </c>
      <c r="BK147" s="1053">
        <v>17</v>
      </c>
      <c r="BL147" s="1048">
        <f t="shared" si="306"/>
        <v>185</v>
      </c>
      <c r="BM147" s="1052">
        <v>100</v>
      </c>
      <c r="BN147" s="1053">
        <v>17</v>
      </c>
      <c r="BO147" s="1048">
        <f t="shared" si="307"/>
        <v>117</v>
      </c>
      <c r="BP147" s="1052"/>
      <c r="BQ147" s="1053">
        <v>50.83</v>
      </c>
      <c r="BR147" s="1053">
        <v>53.33</v>
      </c>
      <c r="BS147" s="1053">
        <v>90.33</v>
      </c>
      <c r="BT147" s="1053">
        <v>40</v>
      </c>
      <c r="BU147" s="1048">
        <f t="shared" si="308"/>
        <v>234.49</v>
      </c>
      <c r="BV147" s="1052">
        <v>14</v>
      </c>
      <c r="BW147" s="1053">
        <v>45</v>
      </c>
      <c r="BX147" s="1053">
        <v>200</v>
      </c>
      <c r="BY147" s="1053">
        <v>23</v>
      </c>
      <c r="BZ147" s="1053">
        <v>73</v>
      </c>
      <c r="CA147" s="1053">
        <v>28</v>
      </c>
      <c r="CB147" s="1053">
        <v>40</v>
      </c>
      <c r="CC147" s="1048">
        <f t="shared" si="309"/>
        <v>423</v>
      </c>
      <c r="CD147" s="1052">
        <v>10.5</v>
      </c>
      <c r="CE147" s="1053">
        <v>44</v>
      </c>
      <c r="CF147" s="1053">
        <v>15</v>
      </c>
      <c r="CG147" s="1053">
        <v>15</v>
      </c>
      <c r="CH147" s="1048">
        <f t="shared" si="310"/>
        <v>84.5</v>
      </c>
      <c r="CI147" s="1052">
        <v>79.25</v>
      </c>
      <c r="CJ147" s="1053">
        <v>11.25</v>
      </c>
      <c r="CK147" s="1053">
        <v>88.75</v>
      </c>
      <c r="CL147" s="1053">
        <v>32.5</v>
      </c>
      <c r="CM147" s="1053">
        <v>266.25</v>
      </c>
      <c r="CN147" s="1053">
        <v>206.93</v>
      </c>
      <c r="CO147" s="1051">
        <f t="shared" si="311"/>
        <v>684.93000000000006</v>
      </c>
      <c r="CP147" s="1052">
        <v>81.75</v>
      </c>
      <c r="CQ147" s="1053">
        <v>47.6</v>
      </c>
      <c r="CR147" s="1048">
        <f t="shared" si="312"/>
        <v>129.35</v>
      </c>
      <c r="CS147" s="1052">
        <v>156.375</v>
      </c>
      <c r="CT147" s="1053">
        <v>104</v>
      </c>
      <c r="CU147" s="1053">
        <v>15.75</v>
      </c>
      <c r="CV147" s="1053">
        <v>69.38</v>
      </c>
      <c r="CW147" s="1048">
        <f t="shared" si="313"/>
        <v>345.505</v>
      </c>
      <c r="CX147" s="1052">
        <v>33</v>
      </c>
      <c r="CY147" s="1048">
        <f t="shared" si="314"/>
        <v>33</v>
      </c>
      <c r="CZ147" s="1103">
        <f t="shared" si="315"/>
        <v>2236.7750000000001</v>
      </c>
      <c r="DA147" s="1104">
        <f t="shared" si="316"/>
        <v>153523.78833333333</v>
      </c>
      <c r="DI147" s="1042">
        <f t="shared" si="317"/>
        <v>2859.4050000000002</v>
      </c>
    </row>
    <row r="148" spans="1:113" s="1055" customFormat="1">
      <c r="A148" s="955" t="s">
        <v>958</v>
      </c>
      <c r="B148" s="1102" t="s">
        <v>1413</v>
      </c>
      <c r="C148" s="1030" t="s">
        <v>28</v>
      </c>
      <c r="D148" s="1035"/>
      <c r="E148" s="1032">
        <f t="shared" si="191"/>
        <v>0</v>
      </c>
      <c r="F148" s="1035">
        <v>0</v>
      </c>
      <c r="G148" s="1036">
        <v>145.09</v>
      </c>
      <c r="H148" s="1032">
        <f t="shared" si="289"/>
        <v>145.09</v>
      </c>
      <c r="I148" s="1035">
        <v>110.46000000000001</v>
      </c>
      <c r="J148" s="1032">
        <f t="shared" si="290"/>
        <v>110.46000000000001</v>
      </c>
      <c r="K148" s="1035">
        <v>0</v>
      </c>
      <c r="L148" s="1074">
        <v>0</v>
      </c>
      <c r="M148" s="1032">
        <f t="shared" si="291"/>
        <v>0</v>
      </c>
      <c r="N148" s="1035">
        <v>0</v>
      </c>
      <c r="O148" s="1036">
        <v>0</v>
      </c>
      <c r="P148" s="1032">
        <f t="shared" si="292"/>
        <v>0</v>
      </c>
      <c r="Q148" s="1035">
        <v>17.52</v>
      </c>
      <c r="R148" s="1036">
        <v>4.1399999999999997</v>
      </c>
      <c r="S148" s="1032">
        <f t="shared" si="293"/>
        <v>21.66</v>
      </c>
      <c r="T148" s="1035">
        <v>0</v>
      </c>
      <c r="U148" s="1036">
        <v>4.1399999999999997</v>
      </c>
      <c r="V148" s="1032">
        <f t="shared" si="294"/>
        <v>4.1399999999999997</v>
      </c>
      <c r="W148" s="1037">
        <f t="shared" si="295"/>
        <v>281.35000000000002</v>
      </c>
      <c r="X148" s="1038">
        <v>0</v>
      </c>
      <c r="Y148" s="1039">
        <v>3.6</v>
      </c>
      <c r="Z148" s="1408">
        <v>27.17</v>
      </c>
      <c r="AA148" s="1040">
        <f t="shared" si="319"/>
        <v>27.17</v>
      </c>
      <c r="AB148" s="1038">
        <v>0</v>
      </c>
      <c r="AC148" s="1039">
        <v>13.129999999999999</v>
      </c>
      <c r="AD148" s="1040">
        <f t="shared" si="297"/>
        <v>13.129999999999999</v>
      </c>
      <c r="AE148" s="1038">
        <v>70.330000000000013</v>
      </c>
      <c r="AF148" s="1040">
        <f t="shared" si="298"/>
        <v>70.330000000000013</v>
      </c>
      <c r="AG148" s="1038">
        <v>32.72</v>
      </c>
      <c r="AH148" s="1040">
        <f t="shared" si="299"/>
        <v>32.72</v>
      </c>
      <c r="AI148" s="1038">
        <v>29.5</v>
      </c>
      <c r="AJ148" s="1039">
        <v>0</v>
      </c>
      <c r="AK148" s="1039">
        <v>0</v>
      </c>
      <c r="AL148" s="1039">
        <v>5.93</v>
      </c>
      <c r="AM148" s="1041">
        <v>0</v>
      </c>
      <c r="AN148" s="1041">
        <v>0</v>
      </c>
      <c r="AO148" s="1040">
        <f t="shared" si="320"/>
        <v>29.5</v>
      </c>
      <c r="AP148" s="1038">
        <v>98.73</v>
      </c>
      <c r="AQ148" s="1040">
        <f t="shared" si="301"/>
        <v>98.73</v>
      </c>
      <c r="AR148" s="1038">
        <v>29.5</v>
      </c>
      <c r="AS148" s="1039">
        <v>25.9</v>
      </c>
      <c r="AT148" s="1408">
        <v>0</v>
      </c>
      <c r="AU148" s="1040">
        <f t="shared" si="272"/>
        <v>0</v>
      </c>
      <c r="AV148" s="1038">
        <v>5.93</v>
      </c>
      <c r="AW148" s="1039">
        <v>53.6</v>
      </c>
      <c r="AX148" s="1040">
        <f t="shared" si="302"/>
        <v>59.53</v>
      </c>
      <c r="AY148" s="1038">
        <v>0</v>
      </c>
      <c r="AZ148" s="1040">
        <f t="shared" si="303"/>
        <v>0</v>
      </c>
      <c r="BA148" s="1038">
        <v>41.74</v>
      </c>
      <c r="BB148" s="1039">
        <v>0</v>
      </c>
      <c r="BC148" s="1040">
        <f t="shared" si="304"/>
        <v>41.74</v>
      </c>
      <c r="BD148" s="1042">
        <f t="shared" si="305"/>
        <v>372.85000000000008</v>
      </c>
      <c r="BE148" s="1052"/>
      <c r="BF148" s="1053"/>
      <c r="BG148" s="1048">
        <f t="shared" si="204"/>
        <v>0</v>
      </c>
      <c r="BH148" s="1052"/>
      <c r="BI148" s="1053"/>
      <c r="BJ148" s="1053"/>
      <c r="BK148" s="1053"/>
      <c r="BL148" s="1048">
        <f t="shared" si="306"/>
        <v>0</v>
      </c>
      <c r="BM148" s="1052"/>
      <c r="BN148" s="1053"/>
      <c r="BO148" s="1048">
        <f t="shared" si="307"/>
        <v>0</v>
      </c>
      <c r="BP148" s="1049"/>
      <c r="BQ148" s="1050"/>
      <c r="BR148" s="1050"/>
      <c r="BS148" s="1050"/>
      <c r="BT148" s="1053"/>
      <c r="BU148" s="1048">
        <f t="shared" si="308"/>
        <v>0</v>
      </c>
      <c r="BV148" s="1052"/>
      <c r="BW148" s="1053"/>
      <c r="BX148" s="1053"/>
      <c r="BY148" s="1053"/>
      <c r="BZ148" s="1053"/>
      <c r="CA148" s="1053"/>
      <c r="CB148" s="1053"/>
      <c r="CC148" s="1048">
        <f t="shared" si="309"/>
        <v>0</v>
      </c>
      <c r="CD148" s="1052"/>
      <c r="CE148" s="1053"/>
      <c r="CF148" s="1053"/>
      <c r="CG148" s="1053"/>
      <c r="CH148" s="1048">
        <f t="shared" si="310"/>
        <v>0</v>
      </c>
      <c r="CI148" s="1052"/>
      <c r="CJ148" s="1053"/>
      <c r="CK148" s="1053"/>
      <c r="CL148" s="1053"/>
      <c r="CM148" s="1053"/>
      <c r="CN148" s="1053"/>
      <c r="CO148" s="1051">
        <f t="shared" si="311"/>
        <v>0</v>
      </c>
      <c r="CP148" s="1052"/>
      <c r="CQ148" s="1053"/>
      <c r="CR148" s="1048">
        <f t="shared" si="312"/>
        <v>0</v>
      </c>
      <c r="CS148" s="1052"/>
      <c r="CT148" s="1053"/>
      <c r="CU148" s="1053"/>
      <c r="CV148" s="1053"/>
      <c r="CW148" s="1048">
        <f t="shared" si="313"/>
        <v>0</v>
      </c>
      <c r="CX148" s="1052"/>
      <c r="CY148" s="1048">
        <f t="shared" si="314"/>
        <v>0</v>
      </c>
      <c r="CZ148" s="1103">
        <f t="shared" si="315"/>
        <v>0</v>
      </c>
      <c r="DA148" s="1104">
        <f t="shared" si="316"/>
        <v>654.20000000000005</v>
      </c>
      <c r="DI148" s="1042">
        <f t="shared" si="317"/>
        <v>0</v>
      </c>
    </row>
    <row r="149" spans="1:113" s="1055" customFormat="1" ht="30">
      <c r="A149" s="955" t="s">
        <v>1414</v>
      </c>
      <c r="B149" s="1102" t="s">
        <v>1415</v>
      </c>
      <c r="C149" s="1030" t="s">
        <v>38</v>
      </c>
      <c r="D149" s="1035"/>
      <c r="E149" s="1032">
        <f t="shared" si="191"/>
        <v>0</v>
      </c>
      <c r="F149" s="1035">
        <v>0</v>
      </c>
      <c r="G149" s="1036">
        <v>0</v>
      </c>
      <c r="H149" s="1032">
        <f t="shared" si="289"/>
        <v>0</v>
      </c>
      <c r="I149" s="1035">
        <v>0</v>
      </c>
      <c r="J149" s="1032">
        <f t="shared" si="290"/>
        <v>0</v>
      </c>
      <c r="K149" s="1035">
        <v>0</v>
      </c>
      <c r="L149" s="1074">
        <v>0</v>
      </c>
      <c r="M149" s="1032">
        <f t="shared" si="291"/>
        <v>0</v>
      </c>
      <c r="N149" s="1035">
        <v>0</v>
      </c>
      <c r="O149" s="1036">
        <v>0</v>
      </c>
      <c r="P149" s="1032">
        <f t="shared" si="292"/>
        <v>0</v>
      </c>
      <c r="Q149" s="1035">
        <v>0</v>
      </c>
      <c r="R149" s="1036">
        <v>0</v>
      </c>
      <c r="S149" s="1032">
        <f t="shared" si="293"/>
        <v>0</v>
      </c>
      <c r="T149" s="1035">
        <v>0</v>
      </c>
      <c r="U149" s="1036">
        <v>0</v>
      </c>
      <c r="V149" s="1032">
        <f t="shared" si="294"/>
        <v>0</v>
      </c>
      <c r="W149" s="1037">
        <f t="shared" si="295"/>
        <v>0</v>
      </c>
      <c r="X149" s="1038">
        <v>0</v>
      </c>
      <c r="Y149" s="1039">
        <v>1</v>
      </c>
      <c r="Z149" s="1408">
        <v>3</v>
      </c>
      <c r="AA149" s="1040">
        <f t="shared" si="319"/>
        <v>3</v>
      </c>
      <c r="AB149" s="1038">
        <v>0</v>
      </c>
      <c r="AC149" s="1039">
        <v>4</v>
      </c>
      <c r="AD149" s="1040">
        <f t="shared" si="297"/>
        <v>4</v>
      </c>
      <c r="AE149" s="1038">
        <v>14</v>
      </c>
      <c r="AF149" s="1040">
        <f t="shared" si="298"/>
        <v>14</v>
      </c>
      <c r="AG149" s="1038">
        <v>15</v>
      </c>
      <c r="AH149" s="1040">
        <f t="shared" si="299"/>
        <v>15</v>
      </c>
      <c r="AI149" s="1038">
        <v>1</v>
      </c>
      <c r="AJ149" s="1039">
        <v>0</v>
      </c>
      <c r="AK149" s="1039">
        <v>4</v>
      </c>
      <c r="AL149" s="1039">
        <v>2</v>
      </c>
      <c r="AM149" s="1041">
        <v>0</v>
      </c>
      <c r="AN149" s="1041">
        <v>0</v>
      </c>
      <c r="AO149" s="1040">
        <f t="shared" si="320"/>
        <v>1</v>
      </c>
      <c r="AP149" s="1038">
        <v>25</v>
      </c>
      <c r="AQ149" s="1040">
        <f t="shared" si="301"/>
        <v>25</v>
      </c>
      <c r="AR149" s="1038">
        <v>3</v>
      </c>
      <c r="AS149" s="1039">
        <v>7</v>
      </c>
      <c r="AT149" s="1408">
        <v>0</v>
      </c>
      <c r="AU149" s="1040">
        <f t="shared" si="272"/>
        <v>0</v>
      </c>
      <c r="AV149" s="1038">
        <v>1</v>
      </c>
      <c r="AW149" s="1039">
        <v>13</v>
      </c>
      <c r="AX149" s="1040">
        <f t="shared" si="302"/>
        <v>14</v>
      </c>
      <c r="AY149" s="1038">
        <v>1</v>
      </c>
      <c r="AZ149" s="1040">
        <f t="shared" si="303"/>
        <v>1</v>
      </c>
      <c r="BA149" s="1038">
        <v>7</v>
      </c>
      <c r="BB149" s="1039">
        <v>1</v>
      </c>
      <c r="BC149" s="1040">
        <f t="shared" si="304"/>
        <v>8</v>
      </c>
      <c r="BD149" s="1042">
        <f t="shared" si="305"/>
        <v>85</v>
      </c>
      <c r="BE149" s="1052"/>
      <c r="BF149" s="1053"/>
      <c r="BG149" s="1048">
        <f t="shared" si="204"/>
        <v>0</v>
      </c>
      <c r="BH149" s="1052">
        <v>4</v>
      </c>
      <c r="BI149" s="1053"/>
      <c r="BJ149" s="1053">
        <v>3</v>
      </c>
      <c r="BK149" s="1053"/>
      <c r="BL149" s="1048">
        <f t="shared" si="306"/>
        <v>7</v>
      </c>
      <c r="BM149" s="1052">
        <v>3</v>
      </c>
      <c r="BN149" s="1053"/>
      <c r="BO149" s="1048">
        <f t="shared" si="307"/>
        <v>3</v>
      </c>
      <c r="BP149" s="1052"/>
      <c r="BQ149" s="1053">
        <v>2</v>
      </c>
      <c r="BR149" s="1053">
        <v>7</v>
      </c>
      <c r="BS149" s="1053">
        <v>1</v>
      </c>
      <c r="BT149" s="1053"/>
      <c r="BU149" s="1048">
        <f t="shared" si="308"/>
        <v>10</v>
      </c>
      <c r="BV149" s="1052">
        <v>1</v>
      </c>
      <c r="BW149" s="1053">
        <v>4</v>
      </c>
      <c r="BX149" s="1053">
        <v>4</v>
      </c>
      <c r="BY149" s="1053"/>
      <c r="BZ149" s="1053">
        <v>2</v>
      </c>
      <c r="CA149" s="1053"/>
      <c r="CB149" s="1053"/>
      <c r="CC149" s="1048">
        <f t="shared" si="309"/>
        <v>11</v>
      </c>
      <c r="CD149" s="1052"/>
      <c r="CE149" s="1053"/>
      <c r="CF149" s="1053"/>
      <c r="CG149" s="1053"/>
      <c r="CH149" s="1048">
        <f t="shared" si="310"/>
        <v>0</v>
      </c>
      <c r="CI149" s="1052"/>
      <c r="CJ149" s="1053"/>
      <c r="CK149" s="1053"/>
      <c r="CL149" s="1053"/>
      <c r="CM149" s="1053"/>
      <c r="CN149" s="1053"/>
      <c r="CO149" s="1051">
        <f t="shared" si="311"/>
        <v>0</v>
      </c>
      <c r="CP149" s="1052"/>
      <c r="CQ149" s="1053"/>
      <c r="CR149" s="1048">
        <f t="shared" si="312"/>
        <v>0</v>
      </c>
      <c r="CS149" s="1052"/>
      <c r="CT149" s="1053"/>
      <c r="CU149" s="1053"/>
      <c r="CV149" s="1053"/>
      <c r="CW149" s="1048">
        <f t="shared" si="313"/>
        <v>0</v>
      </c>
      <c r="CX149" s="1052"/>
      <c r="CY149" s="1048">
        <f t="shared" si="314"/>
        <v>0</v>
      </c>
      <c r="CZ149" s="1103">
        <f t="shared" si="315"/>
        <v>31</v>
      </c>
      <c r="DA149" s="1104">
        <f t="shared" si="316"/>
        <v>116</v>
      </c>
      <c r="DI149" s="1042">
        <f t="shared" si="317"/>
        <v>31</v>
      </c>
    </row>
    <row r="150" spans="1:113" s="1055" customFormat="1" ht="30">
      <c r="A150" s="955" t="s">
        <v>1416</v>
      </c>
      <c r="B150" s="1102" t="s">
        <v>1417</v>
      </c>
      <c r="C150" s="1030" t="s">
        <v>38</v>
      </c>
      <c r="D150" s="1035"/>
      <c r="E150" s="1032">
        <f t="shared" si="191"/>
        <v>0</v>
      </c>
      <c r="F150" s="1035">
        <v>2</v>
      </c>
      <c r="G150" s="1036">
        <v>24</v>
      </c>
      <c r="H150" s="1032">
        <f t="shared" si="289"/>
        <v>26</v>
      </c>
      <c r="I150" s="1035">
        <v>22</v>
      </c>
      <c r="J150" s="1032">
        <f t="shared" si="290"/>
        <v>22</v>
      </c>
      <c r="K150" s="1035">
        <v>0</v>
      </c>
      <c r="L150" s="1074">
        <v>0</v>
      </c>
      <c r="M150" s="1032">
        <f t="shared" si="291"/>
        <v>0</v>
      </c>
      <c r="N150" s="1035">
        <v>0</v>
      </c>
      <c r="O150" s="1036">
        <v>0</v>
      </c>
      <c r="P150" s="1032">
        <f t="shared" si="292"/>
        <v>0</v>
      </c>
      <c r="Q150" s="1035">
        <v>0</v>
      </c>
      <c r="R150" s="1036">
        <v>0</v>
      </c>
      <c r="S150" s="1032">
        <f t="shared" si="293"/>
        <v>0</v>
      </c>
      <c r="T150" s="1035">
        <v>0</v>
      </c>
      <c r="U150" s="1036">
        <v>0</v>
      </c>
      <c r="V150" s="1032">
        <f t="shared" si="294"/>
        <v>0</v>
      </c>
      <c r="W150" s="1037">
        <f t="shared" si="295"/>
        <v>48</v>
      </c>
      <c r="X150" s="1038">
        <v>0</v>
      </c>
      <c r="Y150" s="1039">
        <v>0</v>
      </c>
      <c r="Z150" s="1408">
        <v>0</v>
      </c>
      <c r="AA150" s="1040">
        <f t="shared" si="319"/>
        <v>0</v>
      </c>
      <c r="AB150" s="1038">
        <v>0</v>
      </c>
      <c r="AC150" s="1039">
        <v>0</v>
      </c>
      <c r="AD150" s="1040">
        <f t="shared" si="297"/>
        <v>0</v>
      </c>
      <c r="AE150" s="1038">
        <v>0</v>
      </c>
      <c r="AF150" s="1040">
        <f t="shared" si="298"/>
        <v>0</v>
      </c>
      <c r="AG150" s="1038">
        <v>0</v>
      </c>
      <c r="AH150" s="1040">
        <f t="shared" si="299"/>
        <v>0</v>
      </c>
      <c r="AI150" s="1038">
        <v>0</v>
      </c>
      <c r="AJ150" s="1039">
        <v>0</v>
      </c>
      <c r="AK150" s="1039">
        <v>0</v>
      </c>
      <c r="AL150" s="1039">
        <v>0</v>
      </c>
      <c r="AM150" s="1041">
        <v>0</v>
      </c>
      <c r="AN150" s="1041">
        <v>0</v>
      </c>
      <c r="AO150" s="1040">
        <f t="shared" si="318"/>
        <v>0</v>
      </c>
      <c r="AP150" s="1038">
        <v>0</v>
      </c>
      <c r="AQ150" s="1040">
        <f t="shared" si="301"/>
        <v>0</v>
      </c>
      <c r="AR150" s="1038">
        <v>0</v>
      </c>
      <c r="AS150" s="1039">
        <v>0</v>
      </c>
      <c r="AT150" s="1408">
        <v>0</v>
      </c>
      <c r="AU150" s="1040">
        <f t="shared" si="272"/>
        <v>0</v>
      </c>
      <c r="AV150" s="1038">
        <v>0</v>
      </c>
      <c r="AW150" s="1039">
        <v>0</v>
      </c>
      <c r="AX150" s="1040">
        <f t="shared" si="302"/>
        <v>0</v>
      </c>
      <c r="AY150" s="1038">
        <v>0</v>
      </c>
      <c r="AZ150" s="1040">
        <f t="shared" si="303"/>
        <v>0</v>
      </c>
      <c r="BA150" s="1038">
        <v>0</v>
      </c>
      <c r="BB150" s="1039">
        <v>0</v>
      </c>
      <c r="BC150" s="1040">
        <f t="shared" si="304"/>
        <v>0</v>
      </c>
      <c r="BD150" s="1042">
        <f t="shared" si="305"/>
        <v>0</v>
      </c>
      <c r="BE150" s="1052"/>
      <c r="BF150" s="1053"/>
      <c r="BG150" s="1048">
        <f t="shared" si="204"/>
        <v>0</v>
      </c>
      <c r="BH150" s="1052"/>
      <c r="BI150" s="1053"/>
      <c r="BJ150" s="1053"/>
      <c r="BK150" s="1053"/>
      <c r="BL150" s="1048">
        <f t="shared" si="306"/>
        <v>0</v>
      </c>
      <c r="BM150" s="1052">
        <v>2</v>
      </c>
      <c r="BN150" s="1053"/>
      <c r="BO150" s="1048">
        <f t="shared" si="307"/>
        <v>2</v>
      </c>
      <c r="BP150" s="1049"/>
      <c r="BQ150" s="1050"/>
      <c r="BR150" s="1050">
        <v>1</v>
      </c>
      <c r="BS150" s="1050"/>
      <c r="BT150" s="1053"/>
      <c r="BU150" s="1048">
        <f t="shared" si="308"/>
        <v>1</v>
      </c>
      <c r="BV150" s="1052">
        <v>1</v>
      </c>
      <c r="BW150" s="1053">
        <v>3</v>
      </c>
      <c r="BX150" s="1053"/>
      <c r="BY150" s="1053"/>
      <c r="BZ150" s="1053">
        <v>1</v>
      </c>
      <c r="CA150" s="1053"/>
      <c r="CB150" s="1053"/>
      <c r="CC150" s="1048">
        <f t="shared" si="309"/>
        <v>5</v>
      </c>
      <c r="CD150" s="1052">
        <v>2</v>
      </c>
      <c r="CE150" s="1053">
        <v>3</v>
      </c>
      <c r="CF150" s="1053"/>
      <c r="CG150" s="1053"/>
      <c r="CH150" s="1048">
        <f t="shared" si="310"/>
        <v>5</v>
      </c>
      <c r="CI150" s="1052">
        <v>20</v>
      </c>
      <c r="CJ150" s="1053"/>
      <c r="CK150" s="1053">
        <v>5</v>
      </c>
      <c r="CL150" s="1053">
        <v>9</v>
      </c>
      <c r="CM150" s="1053">
        <v>6</v>
      </c>
      <c r="CN150" s="1053">
        <v>16</v>
      </c>
      <c r="CO150" s="1051">
        <f t="shared" si="311"/>
        <v>56</v>
      </c>
      <c r="CP150" s="1052">
        <v>11</v>
      </c>
      <c r="CQ150" s="1053">
        <v>7</v>
      </c>
      <c r="CR150" s="1048">
        <f t="shared" si="312"/>
        <v>18</v>
      </c>
      <c r="CS150" s="1052">
        <v>3</v>
      </c>
      <c r="CT150" s="1053">
        <v>4</v>
      </c>
      <c r="CU150" s="1053"/>
      <c r="CV150" s="1053">
        <v>1</v>
      </c>
      <c r="CW150" s="1048">
        <f t="shared" si="313"/>
        <v>8</v>
      </c>
      <c r="CX150" s="1052">
        <v>1</v>
      </c>
      <c r="CY150" s="1048">
        <f t="shared" si="314"/>
        <v>1</v>
      </c>
      <c r="CZ150" s="1103">
        <f t="shared" si="315"/>
        <v>96</v>
      </c>
      <c r="DA150" s="1104">
        <f t="shared" si="316"/>
        <v>144</v>
      </c>
      <c r="DI150" s="1042">
        <f t="shared" si="317"/>
        <v>0</v>
      </c>
    </row>
    <row r="151" spans="1:113" s="1055" customFormat="1" ht="45">
      <c r="A151" s="955" t="s">
        <v>1418</v>
      </c>
      <c r="B151" s="1102" t="s">
        <v>1419</v>
      </c>
      <c r="C151" s="1030" t="s">
        <v>38</v>
      </c>
      <c r="D151" s="1035"/>
      <c r="E151" s="1032">
        <f t="shared" si="191"/>
        <v>0</v>
      </c>
      <c r="F151" s="1035">
        <v>0</v>
      </c>
      <c r="G151" s="1036">
        <v>0</v>
      </c>
      <c r="H151" s="1032">
        <f t="shared" si="289"/>
        <v>0</v>
      </c>
      <c r="I151" s="1035">
        <v>0</v>
      </c>
      <c r="J151" s="1032">
        <f t="shared" si="290"/>
        <v>0</v>
      </c>
      <c r="K151" s="1035">
        <v>0</v>
      </c>
      <c r="L151" s="1074">
        <v>0</v>
      </c>
      <c r="M151" s="1032">
        <f t="shared" si="291"/>
        <v>0</v>
      </c>
      <c r="N151" s="1035">
        <v>0</v>
      </c>
      <c r="O151" s="1036">
        <v>0</v>
      </c>
      <c r="P151" s="1032">
        <f t="shared" si="292"/>
        <v>0</v>
      </c>
      <c r="Q151" s="1035">
        <v>0</v>
      </c>
      <c r="R151" s="1036">
        <v>0</v>
      </c>
      <c r="S151" s="1032">
        <f t="shared" si="293"/>
        <v>0</v>
      </c>
      <c r="T151" s="1035">
        <v>0</v>
      </c>
      <c r="U151" s="1036">
        <v>0</v>
      </c>
      <c r="V151" s="1032">
        <f t="shared" si="294"/>
        <v>0</v>
      </c>
      <c r="W151" s="1037">
        <f t="shared" si="295"/>
        <v>0</v>
      </c>
      <c r="X151" s="1038">
        <v>0</v>
      </c>
      <c r="Y151" s="1039">
        <v>0</v>
      </c>
      <c r="Z151" s="1408">
        <v>0</v>
      </c>
      <c r="AA151" s="1040">
        <f t="shared" si="319"/>
        <v>0</v>
      </c>
      <c r="AB151" s="1038">
        <v>0</v>
      </c>
      <c r="AC151" s="1039">
        <v>0</v>
      </c>
      <c r="AD151" s="1040">
        <f t="shared" si="297"/>
        <v>0</v>
      </c>
      <c r="AE151" s="1038">
        <v>0</v>
      </c>
      <c r="AF151" s="1040">
        <f t="shared" si="298"/>
        <v>0</v>
      </c>
      <c r="AG151" s="1038">
        <v>0</v>
      </c>
      <c r="AH151" s="1040">
        <f t="shared" si="299"/>
        <v>0</v>
      </c>
      <c r="AI151" s="1038">
        <v>0</v>
      </c>
      <c r="AJ151" s="1039">
        <v>0</v>
      </c>
      <c r="AK151" s="1039">
        <v>0</v>
      </c>
      <c r="AL151" s="1039">
        <v>0</v>
      </c>
      <c r="AM151" s="1041">
        <v>0</v>
      </c>
      <c r="AN151" s="1041">
        <v>0</v>
      </c>
      <c r="AO151" s="1040">
        <f t="shared" si="318"/>
        <v>0</v>
      </c>
      <c r="AP151" s="1038">
        <v>0</v>
      </c>
      <c r="AQ151" s="1040">
        <f t="shared" si="301"/>
        <v>0</v>
      </c>
      <c r="AR151" s="1038">
        <v>0</v>
      </c>
      <c r="AS151" s="1039">
        <v>0</v>
      </c>
      <c r="AT151" s="1408">
        <v>0</v>
      </c>
      <c r="AU151" s="1040">
        <f t="shared" si="272"/>
        <v>0</v>
      </c>
      <c r="AV151" s="1038">
        <v>0</v>
      </c>
      <c r="AW151" s="1039">
        <v>0</v>
      </c>
      <c r="AX151" s="1040">
        <f t="shared" si="302"/>
        <v>0</v>
      </c>
      <c r="AY151" s="1038">
        <v>0</v>
      </c>
      <c r="AZ151" s="1040">
        <f t="shared" si="303"/>
        <v>0</v>
      </c>
      <c r="BA151" s="1038">
        <v>0</v>
      </c>
      <c r="BB151" s="1039">
        <v>0</v>
      </c>
      <c r="BC151" s="1040">
        <f t="shared" si="304"/>
        <v>0</v>
      </c>
      <c r="BD151" s="1042">
        <f t="shared" si="305"/>
        <v>0</v>
      </c>
      <c r="BE151" s="1052"/>
      <c r="BF151" s="1053"/>
      <c r="BG151" s="1048">
        <f t="shared" si="204"/>
        <v>0</v>
      </c>
      <c r="BH151" s="1052"/>
      <c r="BI151" s="1053"/>
      <c r="BJ151" s="1053"/>
      <c r="BK151" s="1053"/>
      <c r="BL151" s="1048">
        <f t="shared" si="306"/>
        <v>0</v>
      </c>
      <c r="BM151" s="1052"/>
      <c r="BN151" s="1053"/>
      <c r="BO151" s="1048">
        <f t="shared" si="307"/>
        <v>0</v>
      </c>
      <c r="BP151" s="1049"/>
      <c r="BQ151" s="1050"/>
      <c r="BR151" s="1050"/>
      <c r="BS151" s="1050"/>
      <c r="BT151" s="1053"/>
      <c r="BU151" s="1048">
        <f t="shared" si="308"/>
        <v>0</v>
      </c>
      <c r="BV151" s="1052"/>
      <c r="BW151" s="1053"/>
      <c r="BX151" s="1053"/>
      <c r="BY151" s="1053"/>
      <c r="BZ151" s="1053"/>
      <c r="CA151" s="1053"/>
      <c r="CB151" s="1053"/>
      <c r="CC151" s="1048">
        <f t="shared" si="309"/>
        <v>0</v>
      </c>
      <c r="CD151" s="1052"/>
      <c r="CE151" s="1053"/>
      <c r="CF151" s="1053"/>
      <c r="CG151" s="1053"/>
      <c r="CH151" s="1048">
        <f t="shared" si="310"/>
        <v>0</v>
      </c>
      <c r="CI151" s="1052"/>
      <c r="CJ151" s="1053"/>
      <c r="CK151" s="1053"/>
      <c r="CL151" s="1053"/>
      <c r="CM151" s="1053"/>
      <c r="CN151" s="1053"/>
      <c r="CO151" s="1051">
        <f t="shared" si="311"/>
        <v>0</v>
      </c>
      <c r="CP151" s="1052"/>
      <c r="CQ151" s="1053"/>
      <c r="CR151" s="1048">
        <f t="shared" si="312"/>
        <v>0</v>
      </c>
      <c r="CS151" s="1052"/>
      <c r="CT151" s="1053"/>
      <c r="CU151" s="1053"/>
      <c r="CV151" s="1053"/>
      <c r="CW151" s="1048">
        <f t="shared" si="313"/>
        <v>0</v>
      </c>
      <c r="CX151" s="1052"/>
      <c r="CY151" s="1048">
        <f t="shared" si="314"/>
        <v>0</v>
      </c>
      <c r="CZ151" s="1103">
        <f t="shared" si="315"/>
        <v>0</v>
      </c>
      <c r="DA151" s="1104">
        <f t="shared" si="316"/>
        <v>0</v>
      </c>
      <c r="DI151" s="1042">
        <f t="shared" si="317"/>
        <v>0</v>
      </c>
    </row>
    <row r="152" spans="1:113" s="1055" customFormat="1" ht="45">
      <c r="A152" s="955" t="s">
        <v>1420</v>
      </c>
      <c r="B152" s="1102" t="s">
        <v>1421</v>
      </c>
      <c r="C152" s="1030" t="s">
        <v>38</v>
      </c>
      <c r="D152" s="1035"/>
      <c r="E152" s="1032">
        <f t="shared" ref="E152:E190" si="321">+IF(C152="", 0,D152)</f>
        <v>0</v>
      </c>
      <c r="F152" s="1035">
        <v>0</v>
      </c>
      <c r="G152" s="1036">
        <v>39</v>
      </c>
      <c r="H152" s="1032">
        <f t="shared" si="289"/>
        <v>39</v>
      </c>
      <c r="I152" s="1035">
        <v>35</v>
      </c>
      <c r="J152" s="1032">
        <f t="shared" si="290"/>
        <v>35</v>
      </c>
      <c r="K152" s="1035">
        <v>0</v>
      </c>
      <c r="L152" s="1074">
        <v>0</v>
      </c>
      <c r="M152" s="1032">
        <f t="shared" si="291"/>
        <v>0</v>
      </c>
      <c r="N152" s="1035">
        <v>0</v>
      </c>
      <c r="O152" s="1036">
        <v>0</v>
      </c>
      <c r="P152" s="1032">
        <f t="shared" si="292"/>
        <v>0</v>
      </c>
      <c r="Q152" s="1035">
        <v>10</v>
      </c>
      <c r="R152" s="1036">
        <v>6</v>
      </c>
      <c r="S152" s="1032">
        <f t="shared" si="293"/>
        <v>16</v>
      </c>
      <c r="T152" s="1035">
        <v>0</v>
      </c>
      <c r="U152" s="1036">
        <v>0</v>
      </c>
      <c r="V152" s="1032">
        <f t="shared" si="294"/>
        <v>0</v>
      </c>
      <c r="W152" s="1037">
        <f t="shared" si="295"/>
        <v>90</v>
      </c>
      <c r="X152" s="1038">
        <v>0</v>
      </c>
      <c r="Y152" s="1039">
        <v>0</v>
      </c>
      <c r="Z152" s="1408">
        <v>10</v>
      </c>
      <c r="AA152" s="1040">
        <f t="shared" si="319"/>
        <v>10</v>
      </c>
      <c r="AB152" s="1038">
        <v>0</v>
      </c>
      <c r="AC152" s="1039">
        <v>1</v>
      </c>
      <c r="AD152" s="1040">
        <f t="shared" si="297"/>
        <v>1</v>
      </c>
      <c r="AE152" s="1038">
        <v>57</v>
      </c>
      <c r="AF152" s="1040">
        <f t="shared" si="298"/>
        <v>57</v>
      </c>
      <c r="AG152" s="1038">
        <v>42</v>
      </c>
      <c r="AH152" s="1040">
        <f t="shared" si="299"/>
        <v>42</v>
      </c>
      <c r="AI152" s="1038">
        <v>0</v>
      </c>
      <c r="AJ152" s="1039">
        <v>0</v>
      </c>
      <c r="AK152" s="1039">
        <v>0</v>
      </c>
      <c r="AL152" s="1039">
        <v>0</v>
      </c>
      <c r="AM152" s="1041">
        <v>0</v>
      </c>
      <c r="AN152" s="1041">
        <v>0</v>
      </c>
      <c r="AO152" s="1040">
        <f t="shared" si="318"/>
        <v>0</v>
      </c>
      <c r="AP152" s="1038">
        <v>21</v>
      </c>
      <c r="AQ152" s="1040">
        <f t="shared" si="301"/>
        <v>21</v>
      </c>
      <c r="AR152" s="1038">
        <v>19</v>
      </c>
      <c r="AS152" s="1039">
        <v>11</v>
      </c>
      <c r="AT152" s="1408">
        <v>0</v>
      </c>
      <c r="AU152" s="1040">
        <f t="shared" si="272"/>
        <v>0</v>
      </c>
      <c r="AV152" s="1038">
        <v>0</v>
      </c>
      <c r="AW152" s="1039">
        <v>9</v>
      </c>
      <c r="AX152" s="1040">
        <f t="shared" si="302"/>
        <v>9</v>
      </c>
      <c r="AY152" s="1038">
        <v>18</v>
      </c>
      <c r="AZ152" s="1040">
        <f t="shared" si="303"/>
        <v>18</v>
      </c>
      <c r="BA152" s="1038">
        <v>0</v>
      </c>
      <c r="BB152" s="1039">
        <v>0</v>
      </c>
      <c r="BC152" s="1040">
        <f t="shared" si="304"/>
        <v>0</v>
      </c>
      <c r="BD152" s="1042">
        <f t="shared" si="305"/>
        <v>158</v>
      </c>
      <c r="BE152" s="1052"/>
      <c r="BF152" s="1053"/>
      <c r="BG152" s="1048">
        <f t="shared" ref="BG152:BG190" si="322">+BE152+BF152</f>
        <v>0</v>
      </c>
      <c r="BH152" s="1052"/>
      <c r="BI152" s="1053">
        <v>8</v>
      </c>
      <c r="BJ152" s="1053">
        <v>19</v>
      </c>
      <c r="BK152" s="1053">
        <v>5</v>
      </c>
      <c r="BL152" s="1048">
        <f t="shared" si="306"/>
        <v>32</v>
      </c>
      <c r="BM152" s="1052">
        <v>28</v>
      </c>
      <c r="BN152" s="1053">
        <v>8</v>
      </c>
      <c r="BO152" s="1048">
        <f t="shared" si="307"/>
        <v>36</v>
      </c>
      <c r="BP152" s="1049"/>
      <c r="BQ152" s="1050">
        <v>5</v>
      </c>
      <c r="BR152" s="1050">
        <v>5</v>
      </c>
      <c r="BS152" s="1050"/>
      <c r="BT152" s="1053"/>
      <c r="BU152" s="1048">
        <f t="shared" si="308"/>
        <v>10</v>
      </c>
      <c r="BV152" s="1052">
        <v>4</v>
      </c>
      <c r="BW152" s="1053">
        <v>4</v>
      </c>
      <c r="BX152" s="1053"/>
      <c r="BY152" s="1053"/>
      <c r="BZ152" s="1053"/>
      <c r="CA152" s="1053"/>
      <c r="CB152" s="1053"/>
      <c r="CC152" s="1048">
        <f t="shared" si="309"/>
        <v>8</v>
      </c>
      <c r="CD152" s="1052"/>
      <c r="CE152" s="1053"/>
      <c r="CF152" s="1053"/>
      <c r="CG152" s="1053"/>
      <c r="CH152" s="1048">
        <f t="shared" si="310"/>
        <v>0</v>
      </c>
      <c r="CI152" s="1052"/>
      <c r="CJ152" s="1053"/>
      <c r="CK152" s="1053"/>
      <c r="CL152" s="1053"/>
      <c r="CM152" s="1053"/>
      <c r="CN152" s="1053"/>
      <c r="CO152" s="1051">
        <f t="shared" si="311"/>
        <v>0</v>
      </c>
      <c r="CP152" s="1052"/>
      <c r="CQ152" s="1053"/>
      <c r="CR152" s="1048">
        <f t="shared" si="312"/>
        <v>0</v>
      </c>
      <c r="CS152" s="1052"/>
      <c r="CT152" s="1053"/>
      <c r="CU152" s="1053"/>
      <c r="CV152" s="1053"/>
      <c r="CW152" s="1048">
        <f t="shared" si="313"/>
        <v>0</v>
      </c>
      <c r="CX152" s="1052"/>
      <c r="CY152" s="1048">
        <f t="shared" si="314"/>
        <v>0</v>
      </c>
      <c r="CZ152" s="1103">
        <f t="shared" si="315"/>
        <v>86</v>
      </c>
      <c r="DA152" s="1104">
        <f t="shared" si="316"/>
        <v>334</v>
      </c>
      <c r="DI152" s="1042">
        <f t="shared" si="317"/>
        <v>0</v>
      </c>
    </row>
    <row r="153" spans="1:113" s="1055" customFormat="1" ht="30">
      <c r="A153" s="955" t="s">
        <v>1422</v>
      </c>
      <c r="B153" s="1102" t="s">
        <v>1423</v>
      </c>
      <c r="C153" s="1030" t="s">
        <v>28</v>
      </c>
      <c r="D153" s="1035"/>
      <c r="E153" s="1032">
        <f t="shared" si="321"/>
        <v>0</v>
      </c>
      <c r="F153" s="1035">
        <v>20.532600000000002</v>
      </c>
      <c r="G153" s="1036">
        <v>48.223929269999999</v>
      </c>
      <c r="H153" s="1032">
        <f t="shared" si="289"/>
        <v>68.756529270000001</v>
      </c>
      <c r="I153" s="1035">
        <v>44.665199999999999</v>
      </c>
      <c r="J153" s="1032">
        <f t="shared" si="290"/>
        <v>44.665199999999999</v>
      </c>
      <c r="K153" s="1035">
        <v>2.4735467105846514</v>
      </c>
      <c r="L153" s="1074">
        <v>0</v>
      </c>
      <c r="M153" s="1032">
        <f t="shared" si="291"/>
        <v>2.4735467105846514</v>
      </c>
      <c r="N153" s="1035">
        <v>7.5425733552923244</v>
      </c>
      <c r="O153" s="1036">
        <v>2.4735467105846514</v>
      </c>
      <c r="P153" s="1032">
        <f t="shared" si="292"/>
        <v>10.016120065876976</v>
      </c>
      <c r="Q153" s="1035">
        <v>18.760960065876979</v>
      </c>
      <c r="R153" s="1036">
        <v>4.3845000000000001</v>
      </c>
      <c r="S153" s="1032">
        <f t="shared" si="293"/>
        <v>23.145460065876978</v>
      </c>
      <c r="T153" s="1035">
        <v>4.1027699999999996</v>
      </c>
      <c r="U153" s="1036">
        <v>6.6464467105846508</v>
      </c>
      <c r="V153" s="1032">
        <f t="shared" si="294"/>
        <v>10.749216710584651</v>
      </c>
      <c r="W153" s="1037">
        <f t="shared" si="295"/>
        <v>159.80607282292326</v>
      </c>
      <c r="X153" s="1038">
        <v>0</v>
      </c>
      <c r="Y153" s="1039">
        <v>0</v>
      </c>
      <c r="Z153" s="1408">
        <v>0</v>
      </c>
      <c r="AA153" s="1040">
        <f t="shared" si="319"/>
        <v>0</v>
      </c>
      <c r="AB153" s="1038">
        <v>0</v>
      </c>
      <c r="AC153" s="1039">
        <v>4</v>
      </c>
      <c r="AD153" s="1040">
        <f t="shared" si="297"/>
        <v>4</v>
      </c>
      <c r="AE153" s="1038">
        <v>7</v>
      </c>
      <c r="AF153" s="1040">
        <f t="shared" si="298"/>
        <v>7</v>
      </c>
      <c r="AG153" s="1038">
        <v>11</v>
      </c>
      <c r="AH153" s="1040">
        <f t="shared" si="299"/>
        <v>11</v>
      </c>
      <c r="AI153" s="1038">
        <v>3</v>
      </c>
      <c r="AJ153" s="1039">
        <v>0</v>
      </c>
      <c r="AK153" s="1039">
        <v>0</v>
      </c>
      <c r="AL153" s="1039">
        <v>0</v>
      </c>
      <c r="AM153" s="1041">
        <v>0</v>
      </c>
      <c r="AN153" s="1041">
        <v>0</v>
      </c>
      <c r="AO153" s="1040">
        <f t="shared" ref="AO153:AO155" si="323">AI153+AM153+AN153</f>
        <v>3</v>
      </c>
      <c r="AP153" s="1038">
        <v>13</v>
      </c>
      <c r="AQ153" s="1040">
        <f t="shared" si="301"/>
        <v>13</v>
      </c>
      <c r="AR153" s="1038">
        <v>3</v>
      </c>
      <c r="AS153" s="1039">
        <v>3</v>
      </c>
      <c r="AT153" s="1408">
        <v>3</v>
      </c>
      <c r="AU153" s="1040">
        <f t="shared" si="272"/>
        <v>3</v>
      </c>
      <c r="AV153" s="1038">
        <v>2</v>
      </c>
      <c r="AW153" s="1039">
        <v>9</v>
      </c>
      <c r="AX153" s="1040">
        <f t="shared" si="302"/>
        <v>11</v>
      </c>
      <c r="AY153" s="1038">
        <v>1</v>
      </c>
      <c r="AZ153" s="1040">
        <f t="shared" si="303"/>
        <v>1</v>
      </c>
      <c r="BA153" s="1038">
        <v>1</v>
      </c>
      <c r="BB153" s="1039">
        <v>3</v>
      </c>
      <c r="BC153" s="1040">
        <f t="shared" si="304"/>
        <v>4</v>
      </c>
      <c r="BD153" s="1042">
        <f t="shared" si="305"/>
        <v>57</v>
      </c>
      <c r="BE153" s="1052"/>
      <c r="BF153" s="1053"/>
      <c r="BG153" s="1048">
        <f t="shared" si="322"/>
        <v>0</v>
      </c>
      <c r="BH153" s="1052"/>
      <c r="BI153" s="1053">
        <v>1</v>
      </c>
      <c r="BJ153" s="1053">
        <v>3</v>
      </c>
      <c r="BK153" s="1053"/>
      <c r="BL153" s="1048">
        <f t="shared" si="306"/>
        <v>4</v>
      </c>
      <c r="BM153" s="1052">
        <v>2</v>
      </c>
      <c r="BN153" s="1053"/>
      <c r="BO153" s="1048">
        <f t="shared" si="307"/>
        <v>2</v>
      </c>
      <c r="BP153" s="1049"/>
      <c r="BQ153" s="1050">
        <v>2</v>
      </c>
      <c r="BR153" s="1050">
        <v>3</v>
      </c>
      <c r="BS153" s="1050"/>
      <c r="BT153" s="1053"/>
      <c r="BU153" s="1048">
        <f t="shared" si="308"/>
        <v>5</v>
      </c>
      <c r="BV153" s="1052">
        <v>1</v>
      </c>
      <c r="BW153" s="1053">
        <v>1</v>
      </c>
      <c r="BX153" s="1053">
        <v>4</v>
      </c>
      <c r="BY153" s="1053"/>
      <c r="BZ153" s="1053">
        <v>1</v>
      </c>
      <c r="CA153" s="1053">
        <v>2</v>
      </c>
      <c r="CB153" s="1053"/>
      <c r="CC153" s="1048">
        <f t="shared" si="309"/>
        <v>9</v>
      </c>
      <c r="CD153" s="1052"/>
      <c r="CE153" s="1053"/>
      <c r="CF153" s="1053"/>
      <c r="CG153" s="1053"/>
      <c r="CH153" s="1048">
        <f t="shared" si="310"/>
        <v>0</v>
      </c>
      <c r="CI153" s="1052"/>
      <c r="CJ153" s="1053"/>
      <c r="CK153" s="1053"/>
      <c r="CL153" s="1053"/>
      <c r="CM153" s="1053"/>
      <c r="CN153" s="1053"/>
      <c r="CO153" s="1051">
        <f t="shared" si="311"/>
        <v>0</v>
      </c>
      <c r="CP153" s="1052"/>
      <c r="CQ153" s="1053"/>
      <c r="CR153" s="1048">
        <f t="shared" si="312"/>
        <v>0</v>
      </c>
      <c r="CS153" s="1052"/>
      <c r="CT153" s="1053"/>
      <c r="CU153" s="1053"/>
      <c r="CV153" s="1053"/>
      <c r="CW153" s="1048">
        <f t="shared" si="313"/>
        <v>0</v>
      </c>
      <c r="CX153" s="1052"/>
      <c r="CY153" s="1048">
        <f t="shared" si="314"/>
        <v>0</v>
      </c>
      <c r="CZ153" s="1103">
        <f t="shared" si="315"/>
        <v>20</v>
      </c>
      <c r="DA153" s="1104">
        <f t="shared" si="316"/>
        <v>236.80607282292326</v>
      </c>
      <c r="DI153" s="1042">
        <f t="shared" si="317"/>
        <v>0</v>
      </c>
    </row>
    <row r="154" spans="1:113" s="1055" customFormat="1">
      <c r="A154" s="955" t="s">
        <v>99</v>
      </c>
      <c r="B154" s="1102" t="s">
        <v>970</v>
      </c>
      <c r="C154" s="1030" t="s">
        <v>38</v>
      </c>
      <c r="D154" s="1035"/>
      <c r="E154" s="1032">
        <f t="shared" si="321"/>
        <v>0</v>
      </c>
      <c r="F154" s="1035">
        <v>2</v>
      </c>
      <c r="G154" s="1036">
        <v>18</v>
      </c>
      <c r="H154" s="1032">
        <f t="shared" si="289"/>
        <v>20</v>
      </c>
      <c r="I154" s="1035">
        <v>10</v>
      </c>
      <c r="J154" s="1032">
        <f t="shared" si="290"/>
        <v>10</v>
      </c>
      <c r="K154" s="1035">
        <v>0</v>
      </c>
      <c r="L154" s="1074">
        <v>1</v>
      </c>
      <c r="M154" s="1032">
        <f t="shared" si="291"/>
        <v>1</v>
      </c>
      <c r="N154" s="1035">
        <v>4</v>
      </c>
      <c r="O154" s="1036">
        <v>2</v>
      </c>
      <c r="P154" s="1032">
        <f t="shared" si="292"/>
        <v>6</v>
      </c>
      <c r="Q154" s="1035">
        <v>1</v>
      </c>
      <c r="R154" s="1036">
        <v>3</v>
      </c>
      <c r="S154" s="1032">
        <f t="shared" si="293"/>
        <v>4</v>
      </c>
      <c r="T154" s="1035">
        <v>0</v>
      </c>
      <c r="U154" s="1036">
        <v>0</v>
      </c>
      <c r="V154" s="1032">
        <f t="shared" si="294"/>
        <v>0</v>
      </c>
      <c r="W154" s="1037">
        <f t="shared" si="295"/>
        <v>41</v>
      </c>
      <c r="X154" s="1038">
        <v>0</v>
      </c>
      <c r="Y154" s="1039">
        <v>1</v>
      </c>
      <c r="Z154" s="1408">
        <v>1</v>
      </c>
      <c r="AA154" s="1040">
        <f t="shared" si="319"/>
        <v>1</v>
      </c>
      <c r="AB154" s="1038">
        <v>2</v>
      </c>
      <c r="AC154" s="1039">
        <v>2</v>
      </c>
      <c r="AD154" s="1040">
        <f t="shared" si="297"/>
        <v>4</v>
      </c>
      <c r="AE154" s="1038">
        <v>10</v>
      </c>
      <c r="AF154" s="1040">
        <f t="shared" si="298"/>
        <v>10</v>
      </c>
      <c r="AG154" s="1038">
        <v>10</v>
      </c>
      <c r="AH154" s="1040">
        <f t="shared" si="299"/>
        <v>10</v>
      </c>
      <c r="AI154" s="1038">
        <v>1</v>
      </c>
      <c r="AJ154" s="1039">
        <v>0</v>
      </c>
      <c r="AK154" s="1039">
        <v>0</v>
      </c>
      <c r="AL154" s="1039">
        <v>0</v>
      </c>
      <c r="AM154" s="1041">
        <v>0</v>
      </c>
      <c r="AN154" s="1041">
        <v>0</v>
      </c>
      <c r="AO154" s="1040">
        <f t="shared" si="323"/>
        <v>1</v>
      </c>
      <c r="AP154" s="1038">
        <v>11</v>
      </c>
      <c r="AQ154" s="1040">
        <f t="shared" si="301"/>
        <v>11</v>
      </c>
      <c r="AR154" s="1038">
        <v>2</v>
      </c>
      <c r="AS154" s="1039">
        <v>3</v>
      </c>
      <c r="AT154" s="1408">
        <v>1</v>
      </c>
      <c r="AU154" s="1040">
        <f t="shared" si="272"/>
        <v>1</v>
      </c>
      <c r="AV154" s="1038">
        <v>0</v>
      </c>
      <c r="AW154" s="1039">
        <v>7</v>
      </c>
      <c r="AX154" s="1040">
        <f t="shared" si="302"/>
        <v>7</v>
      </c>
      <c r="AY154" s="1038">
        <v>0</v>
      </c>
      <c r="AZ154" s="1040">
        <f t="shared" si="303"/>
        <v>0</v>
      </c>
      <c r="BA154" s="1038">
        <v>2</v>
      </c>
      <c r="BB154" s="1039">
        <v>2</v>
      </c>
      <c r="BC154" s="1040">
        <f t="shared" si="304"/>
        <v>4</v>
      </c>
      <c r="BD154" s="1042">
        <f t="shared" si="305"/>
        <v>49</v>
      </c>
      <c r="BE154" s="1052"/>
      <c r="BF154" s="1053"/>
      <c r="BG154" s="1048">
        <f t="shared" si="322"/>
        <v>0</v>
      </c>
      <c r="BH154" s="1052"/>
      <c r="BI154" s="1053"/>
      <c r="BJ154" s="1053"/>
      <c r="BK154" s="1053"/>
      <c r="BL154" s="1048">
        <f t="shared" si="306"/>
        <v>0</v>
      </c>
      <c r="BM154" s="1052"/>
      <c r="BN154" s="1053"/>
      <c r="BO154" s="1048">
        <f t="shared" si="307"/>
        <v>0</v>
      </c>
      <c r="BP154" s="1049"/>
      <c r="BQ154" s="1050"/>
      <c r="BR154" s="1050"/>
      <c r="BS154" s="1050"/>
      <c r="BT154" s="1053"/>
      <c r="BU154" s="1048">
        <f t="shared" si="308"/>
        <v>0</v>
      </c>
      <c r="BV154" s="1052"/>
      <c r="BW154" s="1053"/>
      <c r="BX154" s="1053"/>
      <c r="BY154" s="1053"/>
      <c r="BZ154" s="1053"/>
      <c r="CA154" s="1053"/>
      <c r="CB154" s="1053"/>
      <c r="CC154" s="1048">
        <f t="shared" si="309"/>
        <v>0</v>
      </c>
      <c r="CD154" s="1052"/>
      <c r="CE154" s="1053"/>
      <c r="CF154" s="1053"/>
      <c r="CG154" s="1053"/>
      <c r="CH154" s="1048">
        <f t="shared" si="310"/>
        <v>0</v>
      </c>
      <c r="CI154" s="1052"/>
      <c r="CJ154" s="1053"/>
      <c r="CK154" s="1053"/>
      <c r="CL154" s="1053"/>
      <c r="CM154" s="1053"/>
      <c r="CN154" s="1053"/>
      <c r="CO154" s="1051">
        <f t="shared" si="311"/>
        <v>0</v>
      </c>
      <c r="CP154" s="1052"/>
      <c r="CQ154" s="1053"/>
      <c r="CR154" s="1048">
        <f t="shared" si="312"/>
        <v>0</v>
      </c>
      <c r="CS154" s="1052"/>
      <c r="CT154" s="1053"/>
      <c r="CU154" s="1053"/>
      <c r="CV154" s="1053"/>
      <c r="CW154" s="1048">
        <f t="shared" si="313"/>
        <v>0</v>
      </c>
      <c r="CX154" s="1052"/>
      <c r="CY154" s="1048">
        <f t="shared" si="314"/>
        <v>0</v>
      </c>
      <c r="CZ154" s="1103">
        <f t="shared" si="315"/>
        <v>0</v>
      </c>
      <c r="DA154" s="1104">
        <f t="shared" si="316"/>
        <v>90</v>
      </c>
      <c r="DI154" s="1042">
        <f t="shared" si="317"/>
        <v>0</v>
      </c>
    </row>
    <row r="155" spans="1:113" s="1055" customFormat="1">
      <c r="A155" s="955" t="s">
        <v>101</v>
      </c>
      <c r="B155" s="1102" t="s">
        <v>971</v>
      </c>
      <c r="C155" s="1030" t="s">
        <v>38</v>
      </c>
      <c r="D155" s="1035"/>
      <c r="E155" s="1032">
        <f t="shared" si="321"/>
        <v>0</v>
      </c>
      <c r="F155" s="1035">
        <v>0</v>
      </c>
      <c r="G155" s="1036">
        <v>0</v>
      </c>
      <c r="H155" s="1032">
        <f t="shared" si="289"/>
        <v>0</v>
      </c>
      <c r="I155" s="1035">
        <v>0</v>
      </c>
      <c r="J155" s="1032">
        <f t="shared" si="290"/>
        <v>0</v>
      </c>
      <c r="K155" s="1035">
        <v>0</v>
      </c>
      <c r="L155" s="1074">
        <v>73.333333333333329</v>
      </c>
      <c r="M155" s="1032">
        <f t="shared" si="291"/>
        <v>73.333333333333329</v>
      </c>
      <c r="N155" s="1035">
        <v>0</v>
      </c>
      <c r="O155" s="1036">
        <v>0</v>
      </c>
      <c r="P155" s="1032">
        <f t="shared" si="292"/>
        <v>0</v>
      </c>
      <c r="Q155" s="1035">
        <v>0</v>
      </c>
      <c r="R155" s="1036">
        <v>113</v>
      </c>
      <c r="S155" s="1032">
        <f t="shared" si="293"/>
        <v>113</v>
      </c>
      <c r="T155" s="1035">
        <v>0</v>
      </c>
      <c r="U155" s="1036">
        <v>27</v>
      </c>
      <c r="V155" s="1032">
        <f t="shared" si="294"/>
        <v>27</v>
      </c>
      <c r="W155" s="1037">
        <f t="shared" si="295"/>
        <v>213.33333333333331</v>
      </c>
      <c r="X155" s="1038">
        <v>0</v>
      </c>
      <c r="Y155" s="1039">
        <v>0</v>
      </c>
      <c r="Z155" s="1408">
        <v>0</v>
      </c>
      <c r="AA155" s="1040">
        <f t="shared" si="296"/>
        <v>0</v>
      </c>
      <c r="AB155" s="1038">
        <v>0</v>
      </c>
      <c r="AC155" s="1039">
        <v>0</v>
      </c>
      <c r="AD155" s="1040">
        <f t="shared" si="297"/>
        <v>0</v>
      </c>
      <c r="AE155" s="1038">
        <v>11</v>
      </c>
      <c r="AF155" s="1040">
        <f t="shared" si="298"/>
        <v>11</v>
      </c>
      <c r="AG155" s="1038">
        <v>0</v>
      </c>
      <c r="AH155" s="1040">
        <f t="shared" si="299"/>
        <v>0</v>
      </c>
      <c r="AI155" s="1038">
        <v>0</v>
      </c>
      <c r="AJ155" s="1039">
        <v>44</v>
      </c>
      <c r="AK155" s="1039">
        <v>27</v>
      </c>
      <c r="AL155" s="1039">
        <v>74</v>
      </c>
      <c r="AM155" s="1041">
        <v>0</v>
      </c>
      <c r="AN155" s="1041">
        <v>0</v>
      </c>
      <c r="AO155" s="1040">
        <f t="shared" si="323"/>
        <v>0</v>
      </c>
      <c r="AP155" s="1038">
        <v>0</v>
      </c>
      <c r="AQ155" s="1040">
        <f t="shared" si="301"/>
        <v>0</v>
      </c>
      <c r="AR155" s="1038">
        <v>0</v>
      </c>
      <c r="AS155" s="1039">
        <v>0</v>
      </c>
      <c r="AT155" s="1408">
        <v>0</v>
      </c>
      <c r="AU155" s="1040">
        <f t="shared" ref="AU155:AU156" si="324">SUM(AR155:AT155)</f>
        <v>0</v>
      </c>
      <c r="AV155" s="1038">
        <v>0</v>
      </c>
      <c r="AW155" s="1039">
        <v>0</v>
      </c>
      <c r="AX155" s="1040">
        <f t="shared" si="302"/>
        <v>0</v>
      </c>
      <c r="AY155" s="1038">
        <v>0</v>
      </c>
      <c r="AZ155" s="1040">
        <f t="shared" si="303"/>
        <v>0</v>
      </c>
      <c r="BA155" s="1038">
        <v>0</v>
      </c>
      <c r="BB155" s="1039">
        <v>0</v>
      </c>
      <c r="BC155" s="1040">
        <f t="shared" si="304"/>
        <v>0</v>
      </c>
      <c r="BD155" s="1042">
        <f t="shared" si="305"/>
        <v>11</v>
      </c>
      <c r="BE155" s="1052"/>
      <c r="BF155" s="1053"/>
      <c r="BG155" s="1048">
        <f t="shared" si="322"/>
        <v>0</v>
      </c>
      <c r="BH155" s="1052"/>
      <c r="BI155" s="1053"/>
      <c r="BJ155" s="1053"/>
      <c r="BK155" s="1053"/>
      <c r="BL155" s="1048">
        <f t="shared" si="306"/>
        <v>0</v>
      </c>
      <c r="BM155" s="1052"/>
      <c r="BN155" s="1053"/>
      <c r="BO155" s="1048">
        <f t="shared" si="307"/>
        <v>0</v>
      </c>
      <c r="BP155" s="1049"/>
      <c r="BQ155" s="1050"/>
      <c r="BR155" s="1050"/>
      <c r="BS155" s="1050"/>
      <c r="BT155" s="1053">
        <v>13</v>
      </c>
      <c r="BU155" s="1048">
        <f t="shared" si="308"/>
        <v>13</v>
      </c>
      <c r="BV155" s="1052"/>
      <c r="BW155" s="1053">
        <v>7</v>
      </c>
      <c r="BX155" s="1053">
        <v>6</v>
      </c>
      <c r="BY155" s="1053">
        <v>17</v>
      </c>
      <c r="BZ155" s="1053"/>
      <c r="CA155" s="1053">
        <v>7</v>
      </c>
      <c r="CB155" s="1053"/>
      <c r="CC155" s="1048">
        <f t="shared" si="309"/>
        <v>37</v>
      </c>
      <c r="CD155" s="1052"/>
      <c r="CE155" s="1053"/>
      <c r="CF155" s="1053"/>
      <c r="CG155" s="1053"/>
      <c r="CH155" s="1048">
        <f t="shared" si="310"/>
        <v>0</v>
      </c>
      <c r="CI155" s="1052">
        <v>19</v>
      </c>
      <c r="CJ155" s="1053"/>
      <c r="CK155" s="1053">
        <v>21</v>
      </c>
      <c r="CL155" s="1053"/>
      <c r="CM155" s="1053">
        <v>29</v>
      </c>
      <c r="CN155" s="1053">
        <v>21</v>
      </c>
      <c r="CO155" s="1051">
        <f t="shared" si="311"/>
        <v>90</v>
      </c>
      <c r="CP155" s="1052">
        <v>35</v>
      </c>
      <c r="CQ155" s="1053">
        <v>13</v>
      </c>
      <c r="CR155" s="1048">
        <f t="shared" si="312"/>
        <v>48</v>
      </c>
      <c r="CS155" s="1052"/>
      <c r="CT155" s="1053">
        <v>14</v>
      </c>
      <c r="CU155" s="1053"/>
      <c r="CV155" s="1053">
        <v>30.5</v>
      </c>
      <c r="CW155" s="1159">
        <f t="shared" si="313"/>
        <v>44.5</v>
      </c>
      <c r="CX155" s="1052"/>
      <c r="CY155" s="1048">
        <f t="shared" si="314"/>
        <v>0</v>
      </c>
      <c r="CZ155" s="1103">
        <f t="shared" si="315"/>
        <v>232.5</v>
      </c>
      <c r="DA155" s="1104">
        <f t="shared" si="316"/>
        <v>456.83333333333331</v>
      </c>
      <c r="DI155" s="1042">
        <f t="shared" si="317"/>
        <v>0</v>
      </c>
    </row>
    <row r="156" spans="1:113" s="1055" customFormat="1">
      <c r="A156" s="955" t="s">
        <v>972</v>
      </c>
      <c r="B156" s="1102" t="s">
        <v>681</v>
      </c>
      <c r="C156" s="1030" t="s">
        <v>827</v>
      </c>
      <c r="D156" s="1035"/>
      <c r="E156" s="1032">
        <f t="shared" si="321"/>
        <v>0</v>
      </c>
      <c r="F156" s="1035">
        <v>0</v>
      </c>
      <c r="G156" s="1036">
        <v>115</v>
      </c>
      <c r="H156" s="1032">
        <f t="shared" si="289"/>
        <v>115</v>
      </c>
      <c r="I156" s="1035">
        <v>288</v>
      </c>
      <c r="J156" s="1032">
        <f t="shared" si="290"/>
        <v>288</v>
      </c>
      <c r="K156" s="1035">
        <v>0</v>
      </c>
      <c r="L156" s="1074">
        <v>0</v>
      </c>
      <c r="M156" s="1032">
        <f t="shared" si="291"/>
        <v>0</v>
      </c>
      <c r="N156" s="1035">
        <v>0</v>
      </c>
      <c r="O156" s="1036">
        <v>0</v>
      </c>
      <c r="P156" s="1032">
        <f t="shared" si="292"/>
        <v>0</v>
      </c>
      <c r="Q156" s="1035">
        <v>15</v>
      </c>
      <c r="R156" s="1036">
        <v>0</v>
      </c>
      <c r="S156" s="1032">
        <f t="shared" si="293"/>
        <v>15</v>
      </c>
      <c r="T156" s="1035">
        <v>0</v>
      </c>
      <c r="U156" s="1036">
        <v>0</v>
      </c>
      <c r="V156" s="1032">
        <f t="shared" si="294"/>
        <v>0</v>
      </c>
      <c r="W156" s="1037">
        <f t="shared" si="295"/>
        <v>418</v>
      </c>
      <c r="X156" s="1038">
        <v>0</v>
      </c>
      <c r="Y156" s="1039">
        <v>0</v>
      </c>
      <c r="Z156" s="1408">
        <v>0</v>
      </c>
      <c r="AA156" s="1040">
        <f t="shared" si="296"/>
        <v>0</v>
      </c>
      <c r="AB156" s="1038">
        <v>0</v>
      </c>
      <c r="AC156" s="1039">
        <v>0</v>
      </c>
      <c r="AD156" s="1040">
        <f t="shared" si="297"/>
        <v>0</v>
      </c>
      <c r="AE156" s="1038">
        <v>0</v>
      </c>
      <c r="AF156" s="1040">
        <f t="shared" si="298"/>
        <v>0</v>
      </c>
      <c r="AG156" s="1038">
        <v>0</v>
      </c>
      <c r="AH156" s="1040">
        <f t="shared" si="299"/>
        <v>0</v>
      </c>
      <c r="AI156" s="1038">
        <v>0</v>
      </c>
      <c r="AJ156" s="1039">
        <v>0</v>
      </c>
      <c r="AK156" s="1039">
        <v>0</v>
      </c>
      <c r="AL156" s="1039">
        <v>0</v>
      </c>
      <c r="AM156" s="1041">
        <v>0</v>
      </c>
      <c r="AN156" s="1041">
        <v>0</v>
      </c>
      <c r="AO156" s="1040">
        <f t="shared" si="318"/>
        <v>0</v>
      </c>
      <c r="AP156" s="1038">
        <v>0</v>
      </c>
      <c r="AQ156" s="1040">
        <f t="shared" si="301"/>
        <v>0</v>
      </c>
      <c r="AR156" s="1038">
        <v>0</v>
      </c>
      <c r="AS156" s="1039">
        <v>0</v>
      </c>
      <c r="AT156" s="1408">
        <v>0</v>
      </c>
      <c r="AU156" s="1040">
        <f t="shared" si="324"/>
        <v>0</v>
      </c>
      <c r="AV156" s="1038">
        <v>0</v>
      </c>
      <c r="AW156" s="1039">
        <v>0</v>
      </c>
      <c r="AX156" s="1040">
        <f t="shared" si="302"/>
        <v>0</v>
      </c>
      <c r="AY156" s="1038">
        <v>0</v>
      </c>
      <c r="AZ156" s="1040">
        <f t="shared" si="303"/>
        <v>0</v>
      </c>
      <c r="BA156" s="1038">
        <v>0</v>
      </c>
      <c r="BB156" s="1039">
        <v>0</v>
      </c>
      <c r="BC156" s="1040">
        <f t="shared" si="304"/>
        <v>0</v>
      </c>
      <c r="BD156" s="1042">
        <f t="shared" si="305"/>
        <v>0</v>
      </c>
      <c r="BE156" s="1052"/>
      <c r="BF156" s="1053"/>
      <c r="BG156" s="1048">
        <f t="shared" si="322"/>
        <v>0</v>
      </c>
      <c r="BH156" s="1052"/>
      <c r="BI156" s="1053"/>
      <c r="BJ156" s="1053"/>
      <c r="BK156" s="1053"/>
      <c r="BL156" s="1048">
        <f t="shared" si="306"/>
        <v>0</v>
      </c>
      <c r="BM156" s="1052"/>
      <c r="BN156" s="1053"/>
      <c r="BO156" s="1048">
        <f t="shared" si="307"/>
        <v>0</v>
      </c>
      <c r="BP156" s="1049"/>
      <c r="BQ156" s="1050"/>
      <c r="BR156" s="1050"/>
      <c r="BS156" s="1050"/>
      <c r="BT156" s="1053"/>
      <c r="BU156" s="1048">
        <f t="shared" si="308"/>
        <v>0</v>
      </c>
      <c r="BV156" s="1049"/>
      <c r="BW156" s="1050"/>
      <c r="BX156" s="1050"/>
      <c r="BY156" s="1050"/>
      <c r="BZ156" s="1050"/>
      <c r="CA156" s="1050"/>
      <c r="CB156" s="1053"/>
      <c r="CC156" s="1048">
        <f t="shared" si="309"/>
        <v>0</v>
      </c>
      <c r="CD156" s="1052"/>
      <c r="CE156" s="1053"/>
      <c r="CF156" s="1053"/>
      <c r="CG156" s="1053"/>
      <c r="CH156" s="1048">
        <f t="shared" si="310"/>
        <v>0</v>
      </c>
      <c r="CI156" s="1049"/>
      <c r="CJ156" s="1050"/>
      <c r="CK156" s="1050"/>
      <c r="CL156" s="1050"/>
      <c r="CM156" s="1050"/>
      <c r="CN156" s="1050"/>
      <c r="CO156" s="1051">
        <f t="shared" si="311"/>
        <v>0</v>
      </c>
      <c r="CP156" s="1052"/>
      <c r="CQ156" s="1053"/>
      <c r="CR156" s="1048">
        <f t="shared" si="312"/>
        <v>0</v>
      </c>
      <c r="CS156" s="1052"/>
      <c r="CT156" s="1053"/>
      <c r="CU156" s="1053"/>
      <c r="CV156" s="1053"/>
      <c r="CW156" s="1048">
        <f t="shared" si="313"/>
        <v>0</v>
      </c>
      <c r="CX156" s="1052"/>
      <c r="CY156" s="1048">
        <f t="shared" si="314"/>
        <v>0</v>
      </c>
      <c r="CZ156" s="1103">
        <f t="shared" si="315"/>
        <v>0</v>
      </c>
      <c r="DA156" s="1104">
        <f t="shared" si="316"/>
        <v>418</v>
      </c>
      <c r="DI156" s="1042">
        <f t="shared" si="317"/>
        <v>0</v>
      </c>
    </row>
    <row r="157" spans="1:113" s="1101" customFormat="1">
      <c r="A157" s="1081"/>
      <c r="B157" s="1082" t="s">
        <v>973</v>
      </c>
      <c r="C157" s="1083"/>
      <c r="D157" s="1084"/>
      <c r="E157" s="1085"/>
      <c r="F157" s="1084" t="s">
        <v>816</v>
      </c>
      <c r="G157" s="1086" t="s">
        <v>816</v>
      </c>
      <c r="H157" s="1085"/>
      <c r="I157" s="1084" t="s">
        <v>816</v>
      </c>
      <c r="J157" s="1085"/>
      <c r="K157" s="1084" t="s">
        <v>816</v>
      </c>
      <c r="L157" s="1087" t="s">
        <v>816</v>
      </c>
      <c r="M157" s="1085"/>
      <c r="N157" s="1084" t="s">
        <v>816</v>
      </c>
      <c r="O157" s="1086" t="s">
        <v>816</v>
      </c>
      <c r="P157" s="1085"/>
      <c r="Q157" s="1084" t="s">
        <v>816</v>
      </c>
      <c r="R157" s="1086" t="s">
        <v>816</v>
      </c>
      <c r="S157" s="1085"/>
      <c r="T157" s="1084" t="s">
        <v>816</v>
      </c>
      <c r="U157" s="1086" t="s">
        <v>816</v>
      </c>
      <c r="V157" s="1085"/>
      <c r="W157" s="1088"/>
      <c r="X157" s="1089"/>
      <c r="Y157" s="1090"/>
      <c r="Z157" s="1407"/>
      <c r="AA157" s="1091"/>
      <c r="AB157" s="1089"/>
      <c r="AC157" s="1090"/>
      <c r="AD157" s="1091"/>
      <c r="AE157" s="1089"/>
      <c r="AF157" s="1091"/>
      <c r="AG157" s="1089"/>
      <c r="AH157" s="1091"/>
      <c r="AI157" s="1089"/>
      <c r="AJ157" s="1090"/>
      <c r="AK157" s="1090"/>
      <c r="AL157" s="1090"/>
      <c r="AM157" s="1092"/>
      <c r="AN157" s="1092"/>
      <c r="AO157" s="1091"/>
      <c r="AP157" s="1089"/>
      <c r="AQ157" s="1091"/>
      <c r="AR157" s="1089"/>
      <c r="AS157" s="1090"/>
      <c r="AT157" s="1407"/>
      <c r="AU157" s="1091"/>
      <c r="AV157" s="1089"/>
      <c r="AW157" s="1090"/>
      <c r="AX157" s="1091"/>
      <c r="AY157" s="1089"/>
      <c r="AZ157" s="1091"/>
      <c r="BA157" s="1089"/>
      <c r="BB157" s="1090"/>
      <c r="BC157" s="1091"/>
      <c r="BD157" s="1093"/>
      <c r="BE157" s="1094"/>
      <c r="BF157" s="1095"/>
      <c r="BG157" s="1096"/>
      <c r="BH157" s="1094"/>
      <c r="BI157" s="1095"/>
      <c r="BJ157" s="1095"/>
      <c r="BK157" s="1095"/>
      <c r="BL157" s="1096"/>
      <c r="BM157" s="1094"/>
      <c r="BN157" s="1095"/>
      <c r="BO157" s="1096"/>
      <c r="BP157" s="1097"/>
      <c r="BQ157" s="1098"/>
      <c r="BR157" s="1098"/>
      <c r="BS157" s="1098"/>
      <c r="BT157" s="1095"/>
      <c r="BU157" s="1096"/>
      <c r="BV157" s="1097"/>
      <c r="BW157" s="1098"/>
      <c r="BX157" s="1098"/>
      <c r="BY157" s="1098"/>
      <c r="BZ157" s="1098"/>
      <c r="CA157" s="1098"/>
      <c r="CB157" s="1095"/>
      <c r="CC157" s="1096"/>
      <c r="CD157" s="1094"/>
      <c r="CE157" s="1095"/>
      <c r="CF157" s="1095"/>
      <c r="CG157" s="1095"/>
      <c r="CH157" s="1096"/>
      <c r="CI157" s="1097"/>
      <c r="CJ157" s="1098"/>
      <c r="CK157" s="1098"/>
      <c r="CL157" s="1098"/>
      <c r="CM157" s="1098"/>
      <c r="CN157" s="1098"/>
      <c r="CO157" s="1099"/>
      <c r="CP157" s="1094"/>
      <c r="CQ157" s="1095"/>
      <c r="CR157" s="1096"/>
      <c r="CS157" s="1094"/>
      <c r="CT157" s="1095"/>
      <c r="CU157" s="1095"/>
      <c r="CV157" s="1095"/>
      <c r="CW157" s="1096"/>
      <c r="CX157" s="1094"/>
      <c r="CY157" s="1096"/>
      <c r="CZ157" s="1096"/>
      <c r="DA157" s="1105"/>
      <c r="DI157" s="1093"/>
    </row>
    <row r="158" spans="1:113" s="1055" customFormat="1">
      <c r="A158" s="955" t="s">
        <v>974</v>
      </c>
      <c r="B158" s="1102" t="s">
        <v>975</v>
      </c>
      <c r="C158" s="1030" t="s">
        <v>843</v>
      </c>
      <c r="D158" s="1035"/>
      <c r="E158" s="1032">
        <f t="shared" si="321"/>
        <v>0</v>
      </c>
      <c r="F158" s="1035">
        <v>0</v>
      </c>
      <c r="G158" s="1036">
        <v>0</v>
      </c>
      <c r="H158" s="1032">
        <f t="shared" ref="H158:H190" si="325">+IF(C158="", 0,SUM(F158:G158))</f>
        <v>0</v>
      </c>
      <c r="I158" s="1035">
        <v>0</v>
      </c>
      <c r="J158" s="1032">
        <f t="shared" ref="J158:J190" si="326">+IF(C158="", 0,I158)</f>
        <v>0</v>
      </c>
      <c r="K158" s="1035">
        <v>0</v>
      </c>
      <c r="L158" s="1074">
        <v>0</v>
      </c>
      <c r="M158" s="1032">
        <f t="shared" ref="M158:M190" si="327">+IF(C158="",0,K158+L158)</f>
        <v>0</v>
      </c>
      <c r="N158" s="1035">
        <v>0</v>
      </c>
      <c r="O158" s="1036">
        <v>0</v>
      </c>
      <c r="P158" s="1032">
        <f t="shared" ref="P158:P190" si="328">+IF(C158="", 0,SUM(N158:O158))</f>
        <v>0</v>
      </c>
      <c r="Q158" s="1035">
        <v>0</v>
      </c>
      <c r="R158" s="1036">
        <v>0</v>
      </c>
      <c r="S158" s="1032">
        <f t="shared" ref="S158:S190" si="329">+IF(C158="",0,SUM(Q158:R158))</f>
        <v>0</v>
      </c>
      <c r="T158" s="1035">
        <v>0</v>
      </c>
      <c r="U158" s="1036">
        <v>0</v>
      </c>
      <c r="V158" s="1032">
        <f t="shared" ref="V158:V190" si="330">+IF(C158="",0,SUM(T158:U158))</f>
        <v>0</v>
      </c>
      <c r="W158" s="1037">
        <f t="shared" ref="W158:W190" si="331">+IF(C158="",0,E158+H158+J158+M158+P158+S158+V158)</f>
        <v>0</v>
      </c>
      <c r="X158" s="1038">
        <v>0</v>
      </c>
      <c r="Y158" s="1039">
        <v>0</v>
      </c>
      <c r="Z158" s="1408">
        <v>0</v>
      </c>
      <c r="AA158" s="1040">
        <f t="shared" ref="AA158:AA190" si="332">SUM(X158:Z158)</f>
        <v>0</v>
      </c>
      <c r="AB158" s="1038">
        <v>0</v>
      </c>
      <c r="AC158" s="1039">
        <v>0</v>
      </c>
      <c r="AD158" s="1040">
        <f t="shared" ref="AD158:AD190" si="333">SUM(AB158:AC158)</f>
        <v>0</v>
      </c>
      <c r="AE158" s="1038">
        <v>0</v>
      </c>
      <c r="AF158" s="1040">
        <f t="shared" ref="AF158:AF190" si="334">+AE158</f>
        <v>0</v>
      </c>
      <c r="AG158" s="1038">
        <v>0</v>
      </c>
      <c r="AH158" s="1040">
        <f t="shared" ref="AH158:AH190" si="335">+AG158</f>
        <v>0</v>
      </c>
      <c r="AI158" s="1038">
        <v>0</v>
      </c>
      <c r="AJ158" s="1039">
        <v>0</v>
      </c>
      <c r="AK158" s="1039">
        <v>0</v>
      </c>
      <c r="AL158" s="1039">
        <v>0</v>
      </c>
      <c r="AM158" s="1041">
        <v>0</v>
      </c>
      <c r="AN158" s="1041">
        <v>0</v>
      </c>
      <c r="AO158" s="1040">
        <f t="shared" ref="AO158:AO187" si="336">SUM(AI158:AN158)</f>
        <v>0</v>
      </c>
      <c r="AP158" s="1038">
        <v>0</v>
      </c>
      <c r="AQ158" s="1040">
        <f t="shared" ref="AQ158:AQ190" si="337">+AP158</f>
        <v>0</v>
      </c>
      <c r="AR158" s="1038">
        <v>0</v>
      </c>
      <c r="AS158" s="1039">
        <v>0</v>
      </c>
      <c r="AT158" s="1408">
        <v>0</v>
      </c>
      <c r="AU158" s="1040">
        <f t="shared" ref="AU158:AU191" si="338">SUM(AT158)</f>
        <v>0</v>
      </c>
      <c r="AV158" s="1038">
        <v>0</v>
      </c>
      <c r="AW158" s="1039">
        <v>0</v>
      </c>
      <c r="AX158" s="1040">
        <f t="shared" ref="AX158:AX190" si="339">SUM(AV158:AW158)</f>
        <v>0</v>
      </c>
      <c r="AY158" s="1038">
        <v>0</v>
      </c>
      <c r="AZ158" s="1040">
        <f t="shared" ref="AZ158:AZ190" si="340">+AY158</f>
        <v>0</v>
      </c>
      <c r="BA158" s="1038">
        <v>0</v>
      </c>
      <c r="BB158" s="1039">
        <v>0</v>
      </c>
      <c r="BC158" s="1040">
        <f t="shared" ref="BC158:BC190" si="341">SUM(BA158:BB158)</f>
        <v>0</v>
      </c>
      <c r="BD158" s="1042">
        <f t="shared" ref="BD158:BD190" si="342">+IF(C158="",0,BC158+AZ158+AX158+AU158+AQ158+AO158+AH158+AF158+AD158+AA158)</f>
        <v>0</v>
      </c>
      <c r="BE158" s="1052"/>
      <c r="BF158" s="1053"/>
      <c r="BG158" s="1048">
        <f t="shared" si="322"/>
        <v>0</v>
      </c>
      <c r="BH158" s="1052"/>
      <c r="BI158" s="1053"/>
      <c r="BJ158" s="1053"/>
      <c r="BK158" s="1053"/>
      <c r="BL158" s="1048">
        <f t="shared" ref="BL158:BL190" si="343">+BH158+BI158+BJ158+BK158</f>
        <v>0</v>
      </c>
      <c r="BM158" s="1052"/>
      <c r="BN158" s="1053"/>
      <c r="BO158" s="1048">
        <f t="shared" ref="BO158:BO190" si="344">+BM158+BN158</f>
        <v>0</v>
      </c>
      <c r="BP158" s="1049"/>
      <c r="BQ158" s="1050"/>
      <c r="BR158" s="1050"/>
      <c r="BS158" s="1050"/>
      <c r="BT158" s="1053"/>
      <c r="BU158" s="1048">
        <f t="shared" ref="BU158:BU190" si="345">+SUM(BP158:BT158)</f>
        <v>0</v>
      </c>
      <c r="BV158" s="1049"/>
      <c r="BW158" s="1050"/>
      <c r="BX158" s="1050"/>
      <c r="BY158" s="1050"/>
      <c r="BZ158" s="1050"/>
      <c r="CA158" s="1050"/>
      <c r="CB158" s="1053"/>
      <c r="CC158" s="1048">
        <f t="shared" ref="CC158:CC190" si="346">+SUM(BV158:CB158)</f>
        <v>0</v>
      </c>
      <c r="CD158" s="1052"/>
      <c r="CE158" s="1053"/>
      <c r="CF158" s="1053"/>
      <c r="CG158" s="1053"/>
      <c r="CH158" s="1048">
        <f t="shared" ref="CH158:CH190" si="347">+SUM(CD158:CG158)</f>
        <v>0</v>
      </c>
      <c r="CI158" s="1049"/>
      <c r="CJ158" s="1050"/>
      <c r="CK158" s="1050"/>
      <c r="CL158" s="1050"/>
      <c r="CM158" s="1050"/>
      <c r="CN158" s="1050"/>
      <c r="CO158" s="1051">
        <f t="shared" ref="CO158:CO190" si="348">+SUM(CI158:CN158)</f>
        <v>0</v>
      </c>
      <c r="CP158" s="1052"/>
      <c r="CQ158" s="1053"/>
      <c r="CR158" s="1048">
        <f t="shared" ref="CR158:CR190" si="349">+SUM(CP158:CQ158)</f>
        <v>0</v>
      </c>
      <c r="CS158" s="1052"/>
      <c r="CT158" s="1053"/>
      <c r="CU158" s="1053"/>
      <c r="CV158" s="1053"/>
      <c r="CW158" s="1048">
        <f t="shared" ref="CW158:CW190" si="350">+SUM(CS158:CV158)</f>
        <v>0</v>
      </c>
      <c r="CX158" s="1052"/>
      <c r="CY158" s="1048">
        <f t="shared" ref="CY158:CY190" si="351">+CX158</f>
        <v>0</v>
      </c>
      <c r="CZ158" s="1103">
        <f t="shared" ref="CZ158:CZ191" si="352">+IF(C158="",0,CY158+CR158+CH158+BU158+BO158+BL158+CO158+CW158+CC158+BG158)</f>
        <v>0</v>
      </c>
      <c r="DA158" s="1104">
        <f t="shared" ref="DA158:DA191" si="353">IF(C158="",0,CZ158+BD158+W158)</f>
        <v>0</v>
      </c>
      <c r="DI158" s="1042">
        <f t="shared" ref="DI158:DI190" si="354">+IF(BH158="",0,DH158+DE158+DC158+CZ158+CV158+CT158+CM158+CK158+CI158+CF158)</f>
        <v>0</v>
      </c>
    </row>
    <row r="159" spans="1:113" s="1055" customFormat="1" ht="30">
      <c r="A159" s="955" t="s">
        <v>976</v>
      </c>
      <c r="B159" s="1102" t="s">
        <v>977</v>
      </c>
      <c r="C159" s="1030" t="s">
        <v>940</v>
      </c>
      <c r="D159" s="1035"/>
      <c r="E159" s="1032">
        <f t="shared" si="321"/>
        <v>0</v>
      </c>
      <c r="F159" s="1035">
        <v>0</v>
      </c>
      <c r="G159" s="1036">
        <v>0</v>
      </c>
      <c r="H159" s="1032">
        <f t="shared" si="325"/>
        <v>0</v>
      </c>
      <c r="I159" s="1035">
        <v>0</v>
      </c>
      <c r="J159" s="1032">
        <f t="shared" si="326"/>
        <v>0</v>
      </c>
      <c r="K159" s="1035">
        <v>0</v>
      </c>
      <c r="L159" s="1074">
        <v>0</v>
      </c>
      <c r="M159" s="1032">
        <f t="shared" si="327"/>
        <v>0</v>
      </c>
      <c r="N159" s="1035">
        <v>0</v>
      </c>
      <c r="O159" s="1036">
        <v>0</v>
      </c>
      <c r="P159" s="1032">
        <f t="shared" si="328"/>
        <v>0</v>
      </c>
      <c r="Q159" s="1035">
        <v>0</v>
      </c>
      <c r="R159" s="1036">
        <v>0</v>
      </c>
      <c r="S159" s="1032">
        <f t="shared" si="329"/>
        <v>0</v>
      </c>
      <c r="T159" s="1035">
        <v>0</v>
      </c>
      <c r="U159" s="1036">
        <v>0</v>
      </c>
      <c r="V159" s="1032">
        <f t="shared" si="330"/>
        <v>0</v>
      </c>
      <c r="W159" s="1037">
        <f t="shared" si="331"/>
        <v>0</v>
      </c>
      <c r="X159" s="1038">
        <v>0</v>
      </c>
      <c r="Y159" s="1039">
        <v>0</v>
      </c>
      <c r="Z159" s="1408">
        <v>0</v>
      </c>
      <c r="AA159" s="1040">
        <f t="shared" si="332"/>
        <v>0</v>
      </c>
      <c r="AB159" s="1038">
        <v>0</v>
      </c>
      <c r="AC159" s="1039">
        <v>0</v>
      </c>
      <c r="AD159" s="1040">
        <f t="shared" si="333"/>
        <v>0</v>
      </c>
      <c r="AE159" s="1038">
        <v>0</v>
      </c>
      <c r="AF159" s="1040">
        <f t="shared" si="334"/>
        <v>0</v>
      </c>
      <c r="AG159" s="1038">
        <v>0</v>
      </c>
      <c r="AH159" s="1040">
        <f t="shared" si="335"/>
        <v>0</v>
      </c>
      <c r="AI159" s="1038">
        <v>0</v>
      </c>
      <c r="AJ159" s="1039">
        <v>0</v>
      </c>
      <c r="AK159" s="1039">
        <v>0</v>
      </c>
      <c r="AL159" s="1039">
        <v>0</v>
      </c>
      <c r="AM159" s="1041">
        <v>0</v>
      </c>
      <c r="AN159" s="1041">
        <v>0</v>
      </c>
      <c r="AO159" s="1040">
        <f t="shared" si="336"/>
        <v>0</v>
      </c>
      <c r="AP159" s="1038">
        <v>0</v>
      </c>
      <c r="AQ159" s="1040">
        <f t="shared" si="337"/>
        <v>0</v>
      </c>
      <c r="AR159" s="1038">
        <v>0</v>
      </c>
      <c r="AS159" s="1039">
        <v>0</v>
      </c>
      <c r="AT159" s="1408">
        <v>0</v>
      </c>
      <c r="AU159" s="1040">
        <f t="shared" si="338"/>
        <v>0</v>
      </c>
      <c r="AV159" s="1038">
        <v>0</v>
      </c>
      <c r="AW159" s="1039">
        <v>0</v>
      </c>
      <c r="AX159" s="1040">
        <f t="shared" si="339"/>
        <v>0</v>
      </c>
      <c r="AY159" s="1038">
        <v>0</v>
      </c>
      <c r="AZ159" s="1040">
        <f t="shared" si="340"/>
        <v>0</v>
      </c>
      <c r="BA159" s="1038">
        <v>0</v>
      </c>
      <c r="BB159" s="1039">
        <v>0</v>
      </c>
      <c r="BC159" s="1040">
        <f t="shared" si="341"/>
        <v>0</v>
      </c>
      <c r="BD159" s="1042">
        <f t="shared" si="342"/>
        <v>0</v>
      </c>
      <c r="BE159" s="1052"/>
      <c r="BF159" s="1053"/>
      <c r="BG159" s="1048">
        <f t="shared" si="322"/>
        <v>0</v>
      </c>
      <c r="BH159" s="1052"/>
      <c r="BI159" s="1053"/>
      <c r="BJ159" s="1053"/>
      <c r="BK159" s="1053"/>
      <c r="BL159" s="1048">
        <f t="shared" si="343"/>
        <v>0</v>
      </c>
      <c r="BM159" s="1052"/>
      <c r="BN159" s="1053"/>
      <c r="BO159" s="1048">
        <f t="shared" si="344"/>
        <v>0</v>
      </c>
      <c r="BP159" s="1049"/>
      <c r="BQ159" s="1050"/>
      <c r="BR159" s="1050"/>
      <c r="BS159" s="1050"/>
      <c r="BT159" s="1053"/>
      <c r="BU159" s="1048">
        <f t="shared" si="345"/>
        <v>0</v>
      </c>
      <c r="BV159" s="1049"/>
      <c r="BW159" s="1050"/>
      <c r="BX159" s="1050"/>
      <c r="BY159" s="1050"/>
      <c r="BZ159" s="1050"/>
      <c r="CA159" s="1050"/>
      <c r="CB159" s="1053"/>
      <c r="CC159" s="1048">
        <f t="shared" si="346"/>
        <v>0</v>
      </c>
      <c r="CD159" s="1052"/>
      <c r="CE159" s="1053"/>
      <c r="CF159" s="1053"/>
      <c r="CG159" s="1053"/>
      <c r="CH159" s="1048">
        <f t="shared" si="347"/>
        <v>0</v>
      </c>
      <c r="CI159" s="1049"/>
      <c r="CJ159" s="1050"/>
      <c r="CK159" s="1050"/>
      <c r="CL159" s="1050"/>
      <c r="CM159" s="1050"/>
      <c r="CN159" s="1050"/>
      <c r="CO159" s="1051">
        <f t="shared" si="348"/>
        <v>0</v>
      </c>
      <c r="CP159" s="1052"/>
      <c r="CQ159" s="1053"/>
      <c r="CR159" s="1048">
        <f t="shared" si="349"/>
        <v>0</v>
      </c>
      <c r="CS159" s="1052"/>
      <c r="CT159" s="1053"/>
      <c r="CU159" s="1053"/>
      <c r="CV159" s="1053"/>
      <c r="CW159" s="1048">
        <f t="shared" si="350"/>
        <v>0</v>
      </c>
      <c r="CX159" s="1052"/>
      <c r="CY159" s="1048">
        <f t="shared" si="351"/>
        <v>0</v>
      </c>
      <c r="CZ159" s="1103">
        <f t="shared" si="352"/>
        <v>0</v>
      </c>
      <c r="DA159" s="1104">
        <f t="shared" si="353"/>
        <v>0</v>
      </c>
      <c r="DI159" s="1042">
        <f t="shared" si="354"/>
        <v>0</v>
      </c>
    </row>
    <row r="160" spans="1:113" s="1055" customFormat="1">
      <c r="A160" s="955" t="s">
        <v>346</v>
      </c>
      <c r="B160" s="1102" t="s">
        <v>1404</v>
      </c>
      <c r="C160" s="1030" t="s">
        <v>111</v>
      </c>
      <c r="D160" s="1035"/>
      <c r="E160" s="1032">
        <f t="shared" si="321"/>
        <v>0</v>
      </c>
      <c r="F160" s="1035">
        <v>0</v>
      </c>
      <c r="G160" s="1036">
        <v>0</v>
      </c>
      <c r="H160" s="1032">
        <f t="shared" si="325"/>
        <v>0</v>
      </c>
      <c r="I160" s="1035">
        <v>0</v>
      </c>
      <c r="J160" s="1032">
        <f t="shared" si="326"/>
        <v>0</v>
      </c>
      <c r="K160" s="1035">
        <v>0</v>
      </c>
      <c r="L160" s="1074">
        <v>0</v>
      </c>
      <c r="M160" s="1032">
        <f t="shared" si="327"/>
        <v>0</v>
      </c>
      <c r="N160" s="1035">
        <v>0</v>
      </c>
      <c r="O160" s="1036">
        <v>0</v>
      </c>
      <c r="P160" s="1032">
        <f t="shared" si="328"/>
        <v>0</v>
      </c>
      <c r="Q160" s="1035">
        <v>0</v>
      </c>
      <c r="R160" s="1036">
        <v>0</v>
      </c>
      <c r="S160" s="1032">
        <f t="shared" si="329"/>
        <v>0</v>
      </c>
      <c r="T160" s="1035">
        <v>0</v>
      </c>
      <c r="U160" s="1036">
        <v>0</v>
      </c>
      <c r="V160" s="1032">
        <f t="shared" si="330"/>
        <v>0</v>
      </c>
      <c r="W160" s="1037">
        <f t="shared" si="331"/>
        <v>0</v>
      </c>
      <c r="X160" s="1038">
        <v>0</v>
      </c>
      <c r="Y160" s="1039">
        <v>0</v>
      </c>
      <c r="Z160" s="1408">
        <v>0</v>
      </c>
      <c r="AA160" s="1040">
        <f t="shared" si="332"/>
        <v>0</v>
      </c>
      <c r="AB160" s="1038">
        <v>0</v>
      </c>
      <c r="AC160" s="1039">
        <v>0</v>
      </c>
      <c r="AD160" s="1040">
        <f t="shared" si="333"/>
        <v>0</v>
      </c>
      <c r="AE160" s="1038">
        <v>0</v>
      </c>
      <c r="AF160" s="1040">
        <f t="shared" si="334"/>
        <v>0</v>
      </c>
      <c r="AG160" s="1038">
        <v>0</v>
      </c>
      <c r="AH160" s="1040">
        <f t="shared" si="335"/>
        <v>0</v>
      </c>
      <c r="AI160" s="1038">
        <v>0</v>
      </c>
      <c r="AJ160" s="1039">
        <v>0</v>
      </c>
      <c r="AK160" s="1039">
        <v>0</v>
      </c>
      <c r="AL160" s="1039">
        <v>0</v>
      </c>
      <c r="AM160" s="1041">
        <v>0</v>
      </c>
      <c r="AN160" s="1041">
        <v>0</v>
      </c>
      <c r="AO160" s="1040">
        <f t="shared" si="336"/>
        <v>0</v>
      </c>
      <c r="AP160" s="1038">
        <v>0</v>
      </c>
      <c r="AQ160" s="1040">
        <f t="shared" si="337"/>
        <v>0</v>
      </c>
      <c r="AR160" s="1038">
        <v>0</v>
      </c>
      <c r="AS160" s="1039">
        <v>0</v>
      </c>
      <c r="AT160" s="1408">
        <v>0</v>
      </c>
      <c r="AU160" s="1040">
        <f t="shared" si="338"/>
        <v>0</v>
      </c>
      <c r="AV160" s="1038">
        <v>0</v>
      </c>
      <c r="AW160" s="1039">
        <v>0</v>
      </c>
      <c r="AX160" s="1040">
        <f t="shared" si="339"/>
        <v>0</v>
      </c>
      <c r="AY160" s="1038">
        <v>0</v>
      </c>
      <c r="AZ160" s="1040">
        <f t="shared" si="340"/>
        <v>0</v>
      </c>
      <c r="BA160" s="1038">
        <v>0</v>
      </c>
      <c r="BB160" s="1039">
        <v>0</v>
      </c>
      <c r="BC160" s="1040">
        <f t="shared" si="341"/>
        <v>0</v>
      </c>
      <c r="BD160" s="1042">
        <f t="shared" si="342"/>
        <v>0</v>
      </c>
      <c r="BE160" s="1052"/>
      <c r="BF160" s="1053"/>
      <c r="BG160" s="1048">
        <f t="shared" si="322"/>
        <v>0</v>
      </c>
      <c r="BH160" s="1052"/>
      <c r="BI160" s="1053"/>
      <c r="BJ160" s="1053"/>
      <c r="BK160" s="1053"/>
      <c r="BL160" s="1048">
        <f t="shared" si="343"/>
        <v>0</v>
      </c>
      <c r="BM160" s="1052"/>
      <c r="BN160" s="1053"/>
      <c r="BO160" s="1048">
        <f t="shared" si="344"/>
        <v>0</v>
      </c>
      <c r="BP160" s="1049"/>
      <c r="BQ160" s="1050"/>
      <c r="BR160" s="1050"/>
      <c r="BS160" s="1050"/>
      <c r="BT160" s="1053"/>
      <c r="BU160" s="1048">
        <f t="shared" si="345"/>
        <v>0</v>
      </c>
      <c r="BV160" s="1049"/>
      <c r="BW160" s="1050"/>
      <c r="BX160" s="1050"/>
      <c r="BY160" s="1050"/>
      <c r="BZ160" s="1050"/>
      <c r="CA160" s="1050"/>
      <c r="CB160" s="1053"/>
      <c r="CC160" s="1048">
        <f t="shared" si="346"/>
        <v>0</v>
      </c>
      <c r="CD160" s="1052"/>
      <c r="CE160" s="1053"/>
      <c r="CF160" s="1053"/>
      <c r="CG160" s="1053"/>
      <c r="CH160" s="1048">
        <f t="shared" si="347"/>
        <v>0</v>
      </c>
      <c r="CI160" s="1049"/>
      <c r="CJ160" s="1050"/>
      <c r="CK160" s="1050"/>
      <c r="CL160" s="1050"/>
      <c r="CM160" s="1050"/>
      <c r="CN160" s="1050"/>
      <c r="CO160" s="1051">
        <f t="shared" si="348"/>
        <v>0</v>
      </c>
      <c r="CP160" s="1052"/>
      <c r="CQ160" s="1053"/>
      <c r="CR160" s="1048">
        <f t="shared" si="349"/>
        <v>0</v>
      </c>
      <c r="CS160" s="1052"/>
      <c r="CT160" s="1053"/>
      <c r="CU160" s="1053"/>
      <c r="CV160" s="1053"/>
      <c r="CW160" s="1048">
        <f t="shared" si="350"/>
        <v>0</v>
      </c>
      <c r="CX160" s="1052"/>
      <c r="CY160" s="1048">
        <f t="shared" si="351"/>
        <v>0</v>
      </c>
      <c r="CZ160" s="1103">
        <f t="shared" si="352"/>
        <v>0</v>
      </c>
      <c r="DA160" s="1104">
        <f t="shared" si="353"/>
        <v>0</v>
      </c>
      <c r="DI160" s="1042">
        <f t="shared" si="354"/>
        <v>0</v>
      </c>
    </row>
    <row r="161" spans="1:113" s="1055" customFormat="1">
      <c r="A161" s="955" t="s">
        <v>978</v>
      </c>
      <c r="B161" s="1102" t="s">
        <v>979</v>
      </c>
      <c r="C161" s="1030" t="s">
        <v>829</v>
      </c>
      <c r="D161" s="1035"/>
      <c r="E161" s="1032">
        <f t="shared" si="321"/>
        <v>0</v>
      </c>
      <c r="F161" s="1035">
        <v>0</v>
      </c>
      <c r="G161" s="1036">
        <v>0</v>
      </c>
      <c r="H161" s="1032">
        <f t="shared" si="325"/>
        <v>0</v>
      </c>
      <c r="I161" s="1035">
        <v>0</v>
      </c>
      <c r="J161" s="1032">
        <f t="shared" si="326"/>
        <v>0</v>
      </c>
      <c r="K161" s="1035">
        <v>0</v>
      </c>
      <c r="L161" s="1074">
        <v>0</v>
      </c>
      <c r="M161" s="1032">
        <f t="shared" si="327"/>
        <v>0</v>
      </c>
      <c r="N161" s="1035">
        <v>0</v>
      </c>
      <c r="O161" s="1036">
        <v>0</v>
      </c>
      <c r="P161" s="1032">
        <f t="shared" si="328"/>
        <v>0</v>
      </c>
      <c r="Q161" s="1035">
        <v>0</v>
      </c>
      <c r="R161" s="1036">
        <v>0</v>
      </c>
      <c r="S161" s="1032">
        <f t="shared" si="329"/>
        <v>0</v>
      </c>
      <c r="T161" s="1035">
        <v>0</v>
      </c>
      <c r="U161" s="1036">
        <v>0</v>
      </c>
      <c r="V161" s="1032">
        <f t="shared" si="330"/>
        <v>0</v>
      </c>
      <c r="W161" s="1037">
        <f t="shared" si="331"/>
        <v>0</v>
      </c>
      <c r="X161" s="1038">
        <v>0</v>
      </c>
      <c r="Y161" s="1039">
        <v>0</v>
      </c>
      <c r="Z161" s="1408">
        <v>0</v>
      </c>
      <c r="AA161" s="1040">
        <f t="shared" si="332"/>
        <v>0</v>
      </c>
      <c r="AB161" s="1038">
        <v>0</v>
      </c>
      <c r="AC161" s="1039">
        <v>0</v>
      </c>
      <c r="AD161" s="1040">
        <f t="shared" si="333"/>
        <v>0</v>
      </c>
      <c r="AE161" s="1038">
        <v>0</v>
      </c>
      <c r="AF161" s="1040">
        <f t="shared" si="334"/>
        <v>0</v>
      </c>
      <c r="AG161" s="1038">
        <v>0</v>
      </c>
      <c r="AH161" s="1040">
        <f t="shared" si="335"/>
        <v>0</v>
      </c>
      <c r="AI161" s="1038">
        <v>0</v>
      </c>
      <c r="AJ161" s="1039">
        <v>0</v>
      </c>
      <c r="AK161" s="1039">
        <v>0</v>
      </c>
      <c r="AL161" s="1039">
        <v>0</v>
      </c>
      <c r="AM161" s="1041">
        <v>0</v>
      </c>
      <c r="AN161" s="1041">
        <v>0</v>
      </c>
      <c r="AO161" s="1040">
        <f t="shared" si="336"/>
        <v>0</v>
      </c>
      <c r="AP161" s="1038">
        <v>0</v>
      </c>
      <c r="AQ161" s="1040">
        <f t="shared" si="337"/>
        <v>0</v>
      </c>
      <c r="AR161" s="1038">
        <v>0</v>
      </c>
      <c r="AS161" s="1039">
        <v>0</v>
      </c>
      <c r="AT161" s="1408">
        <v>0</v>
      </c>
      <c r="AU161" s="1040">
        <f t="shared" si="338"/>
        <v>0</v>
      </c>
      <c r="AV161" s="1038">
        <v>0</v>
      </c>
      <c r="AW161" s="1039">
        <v>0</v>
      </c>
      <c r="AX161" s="1040">
        <f t="shared" si="339"/>
        <v>0</v>
      </c>
      <c r="AY161" s="1038">
        <v>0</v>
      </c>
      <c r="AZ161" s="1040">
        <f t="shared" si="340"/>
        <v>0</v>
      </c>
      <c r="BA161" s="1038">
        <v>0</v>
      </c>
      <c r="BB161" s="1039">
        <v>0</v>
      </c>
      <c r="BC161" s="1040">
        <f t="shared" si="341"/>
        <v>0</v>
      </c>
      <c r="BD161" s="1042">
        <f t="shared" si="342"/>
        <v>0</v>
      </c>
      <c r="BE161" s="1052"/>
      <c r="BF161" s="1053"/>
      <c r="BG161" s="1048">
        <f t="shared" si="322"/>
        <v>0</v>
      </c>
      <c r="BH161" s="1052"/>
      <c r="BI161" s="1053"/>
      <c r="BJ161" s="1053"/>
      <c r="BK161" s="1053"/>
      <c r="BL161" s="1048">
        <f t="shared" si="343"/>
        <v>0</v>
      </c>
      <c r="BM161" s="1052"/>
      <c r="BN161" s="1053"/>
      <c r="BO161" s="1048">
        <f t="shared" si="344"/>
        <v>0</v>
      </c>
      <c r="BP161" s="1049"/>
      <c r="BQ161" s="1050"/>
      <c r="BR161" s="1050"/>
      <c r="BS161" s="1050"/>
      <c r="BT161" s="1053"/>
      <c r="BU161" s="1048">
        <f t="shared" si="345"/>
        <v>0</v>
      </c>
      <c r="BV161" s="1049"/>
      <c r="BW161" s="1050"/>
      <c r="BX161" s="1050"/>
      <c r="BY161" s="1050"/>
      <c r="BZ161" s="1050"/>
      <c r="CA161" s="1050"/>
      <c r="CB161" s="1053"/>
      <c r="CC161" s="1048">
        <f t="shared" si="346"/>
        <v>0</v>
      </c>
      <c r="CD161" s="1052"/>
      <c r="CE161" s="1053"/>
      <c r="CF161" s="1053"/>
      <c r="CG161" s="1053"/>
      <c r="CH161" s="1048">
        <f t="shared" si="347"/>
        <v>0</v>
      </c>
      <c r="CI161" s="1049"/>
      <c r="CJ161" s="1050"/>
      <c r="CK161" s="1050"/>
      <c r="CL161" s="1050"/>
      <c r="CM161" s="1050"/>
      <c r="CN161" s="1050"/>
      <c r="CO161" s="1051">
        <f t="shared" si="348"/>
        <v>0</v>
      </c>
      <c r="CP161" s="1052"/>
      <c r="CQ161" s="1053"/>
      <c r="CR161" s="1048">
        <f t="shared" si="349"/>
        <v>0</v>
      </c>
      <c r="CS161" s="1052"/>
      <c r="CT161" s="1053"/>
      <c r="CU161" s="1053"/>
      <c r="CV161" s="1053"/>
      <c r="CW161" s="1048">
        <f t="shared" si="350"/>
        <v>0</v>
      </c>
      <c r="CX161" s="1052"/>
      <c r="CY161" s="1048">
        <f t="shared" si="351"/>
        <v>0</v>
      </c>
      <c r="CZ161" s="1103">
        <f t="shared" si="352"/>
        <v>0</v>
      </c>
      <c r="DA161" s="1104">
        <f t="shared" si="353"/>
        <v>0</v>
      </c>
      <c r="DI161" s="1042">
        <f t="shared" si="354"/>
        <v>0</v>
      </c>
    </row>
    <row r="162" spans="1:113" s="1055" customFormat="1">
      <c r="A162" s="955" t="s">
        <v>93</v>
      </c>
      <c r="B162" s="1102" t="s">
        <v>1403</v>
      </c>
      <c r="C162" s="1030" t="s">
        <v>111</v>
      </c>
      <c r="D162" s="1035"/>
      <c r="E162" s="1032">
        <f t="shared" si="321"/>
        <v>0</v>
      </c>
      <c r="F162" s="1035">
        <v>0</v>
      </c>
      <c r="G162" s="1036">
        <v>0</v>
      </c>
      <c r="H162" s="1032">
        <f t="shared" si="325"/>
        <v>0</v>
      </c>
      <c r="I162" s="1035">
        <v>264.69959959999994</v>
      </c>
      <c r="J162" s="1032">
        <f t="shared" si="326"/>
        <v>264.69959959999994</v>
      </c>
      <c r="K162" s="1035">
        <v>0</v>
      </c>
      <c r="L162" s="1074">
        <v>0</v>
      </c>
      <c r="M162" s="1032">
        <f t="shared" si="327"/>
        <v>0</v>
      </c>
      <c r="N162" s="1035">
        <v>0</v>
      </c>
      <c r="O162" s="1036">
        <v>0</v>
      </c>
      <c r="P162" s="1032">
        <f t="shared" si="328"/>
        <v>0</v>
      </c>
      <c r="Q162" s="1035">
        <v>0</v>
      </c>
      <c r="R162" s="1036">
        <v>0</v>
      </c>
      <c r="S162" s="1032">
        <f t="shared" si="329"/>
        <v>0</v>
      </c>
      <c r="T162" s="1035">
        <v>0</v>
      </c>
      <c r="U162" s="1036">
        <v>0</v>
      </c>
      <c r="V162" s="1032">
        <f t="shared" si="330"/>
        <v>0</v>
      </c>
      <c r="W162" s="1037">
        <f t="shared" si="331"/>
        <v>264.69959959999994</v>
      </c>
      <c r="X162" s="1038">
        <v>0</v>
      </c>
      <c r="Y162" s="1039">
        <v>0</v>
      </c>
      <c r="Z162" s="1408">
        <v>0</v>
      </c>
      <c r="AA162" s="1040">
        <f t="shared" si="332"/>
        <v>0</v>
      </c>
      <c r="AB162" s="1038">
        <v>0</v>
      </c>
      <c r="AC162" s="1039">
        <v>0</v>
      </c>
      <c r="AD162" s="1040">
        <f t="shared" si="333"/>
        <v>0</v>
      </c>
      <c r="AE162" s="1038">
        <v>0</v>
      </c>
      <c r="AF162" s="1040">
        <f t="shared" si="334"/>
        <v>0</v>
      </c>
      <c r="AG162" s="1038">
        <v>0</v>
      </c>
      <c r="AH162" s="1040">
        <f t="shared" si="335"/>
        <v>0</v>
      </c>
      <c r="AI162" s="1038">
        <v>0</v>
      </c>
      <c r="AJ162" s="1039">
        <v>0</v>
      </c>
      <c r="AK162" s="1039">
        <v>0</v>
      </c>
      <c r="AL162" s="1039">
        <v>0</v>
      </c>
      <c r="AM162" s="1041">
        <v>0</v>
      </c>
      <c r="AN162" s="1041">
        <v>0</v>
      </c>
      <c r="AO162" s="1040">
        <f t="shared" si="336"/>
        <v>0</v>
      </c>
      <c r="AP162" s="1038">
        <v>0</v>
      </c>
      <c r="AQ162" s="1040">
        <f t="shared" si="337"/>
        <v>0</v>
      </c>
      <c r="AR162" s="1038">
        <v>0</v>
      </c>
      <c r="AS162" s="1039">
        <v>0</v>
      </c>
      <c r="AT162" s="1408">
        <v>0</v>
      </c>
      <c r="AU162" s="1040">
        <f t="shared" si="338"/>
        <v>0</v>
      </c>
      <c r="AV162" s="1038">
        <v>0</v>
      </c>
      <c r="AW162" s="1039">
        <v>0</v>
      </c>
      <c r="AX162" s="1040">
        <f t="shared" si="339"/>
        <v>0</v>
      </c>
      <c r="AY162" s="1038">
        <v>0</v>
      </c>
      <c r="AZ162" s="1040">
        <f t="shared" si="340"/>
        <v>0</v>
      </c>
      <c r="BA162" s="1038">
        <v>0</v>
      </c>
      <c r="BB162" s="1039">
        <v>0</v>
      </c>
      <c r="BC162" s="1040">
        <f t="shared" si="341"/>
        <v>0</v>
      </c>
      <c r="BD162" s="1042">
        <f t="shared" si="342"/>
        <v>0</v>
      </c>
      <c r="BE162" s="1052"/>
      <c r="BF162" s="1053"/>
      <c r="BG162" s="1048">
        <f t="shared" si="322"/>
        <v>0</v>
      </c>
      <c r="BH162" s="1052"/>
      <c r="BI162" s="1053"/>
      <c r="BJ162" s="1053"/>
      <c r="BK162" s="1053"/>
      <c r="BL162" s="1048">
        <f t="shared" si="343"/>
        <v>0</v>
      </c>
      <c r="BM162" s="1052"/>
      <c r="BN162" s="1053"/>
      <c r="BO162" s="1048">
        <f t="shared" si="344"/>
        <v>0</v>
      </c>
      <c r="BP162" s="1049"/>
      <c r="BQ162" s="1050"/>
      <c r="BR162" s="1050"/>
      <c r="BS162" s="1050"/>
      <c r="BT162" s="1053"/>
      <c r="BU162" s="1048">
        <f t="shared" si="345"/>
        <v>0</v>
      </c>
      <c r="BV162" s="1049"/>
      <c r="BW162" s="1050"/>
      <c r="BX162" s="1050"/>
      <c r="BY162" s="1050"/>
      <c r="BZ162" s="1050"/>
      <c r="CA162" s="1050"/>
      <c r="CB162" s="1053"/>
      <c r="CC162" s="1048">
        <f t="shared" si="346"/>
        <v>0</v>
      </c>
      <c r="CD162" s="1052"/>
      <c r="CE162" s="1053"/>
      <c r="CF162" s="1053"/>
      <c r="CG162" s="1053"/>
      <c r="CH162" s="1048">
        <f t="shared" si="347"/>
        <v>0</v>
      </c>
      <c r="CI162" s="1049"/>
      <c r="CJ162" s="1050"/>
      <c r="CK162" s="1050"/>
      <c r="CL162" s="1050"/>
      <c r="CM162" s="1050"/>
      <c r="CN162" s="1050"/>
      <c r="CO162" s="1051">
        <f t="shared" si="348"/>
        <v>0</v>
      </c>
      <c r="CP162" s="1052"/>
      <c r="CQ162" s="1053"/>
      <c r="CR162" s="1048">
        <f t="shared" si="349"/>
        <v>0</v>
      </c>
      <c r="CS162" s="1052"/>
      <c r="CT162" s="1053"/>
      <c r="CU162" s="1053"/>
      <c r="CV162" s="1053"/>
      <c r="CW162" s="1048">
        <f t="shared" si="350"/>
        <v>0</v>
      </c>
      <c r="CX162" s="1052"/>
      <c r="CY162" s="1048">
        <f t="shared" si="351"/>
        <v>0</v>
      </c>
      <c r="CZ162" s="1103">
        <f t="shared" si="352"/>
        <v>0</v>
      </c>
      <c r="DA162" s="1104">
        <f t="shared" si="353"/>
        <v>264.69959959999994</v>
      </c>
      <c r="DI162" s="1042">
        <f t="shared" si="354"/>
        <v>0</v>
      </c>
    </row>
    <row r="163" spans="1:113" s="1055" customFormat="1">
      <c r="A163" s="955" t="s">
        <v>16</v>
      </c>
      <c r="B163" s="1102" t="s">
        <v>1369</v>
      </c>
      <c r="C163" s="1030" t="s">
        <v>111</v>
      </c>
      <c r="D163" s="1035"/>
      <c r="E163" s="1032">
        <f t="shared" si="321"/>
        <v>0</v>
      </c>
      <c r="F163" s="1035">
        <v>0</v>
      </c>
      <c r="G163" s="1036">
        <v>0</v>
      </c>
      <c r="H163" s="1032">
        <f t="shared" si="325"/>
        <v>0</v>
      </c>
      <c r="I163" s="1035">
        <v>0</v>
      </c>
      <c r="J163" s="1032">
        <f t="shared" si="326"/>
        <v>0</v>
      </c>
      <c r="K163" s="1035">
        <v>0</v>
      </c>
      <c r="L163" s="1074">
        <v>0</v>
      </c>
      <c r="M163" s="1032">
        <f t="shared" si="327"/>
        <v>0</v>
      </c>
      <c r="N163" s="1035">
        <v>0</v>
      </c>
      <c r="O163" s="1036">
        <v>0</v>
      </c>
      <c r="P163" s="1032">
        <f t="shared" si="328"/>
        <v>0</v>
      </c>
      <c r="Q163" s="1035">
        <v>0</v>
      </c>
      <c r="R163" s="1036">
        <v>0</v>
      </c>
      <c r="S163" s="1032">
        <f t="shared" si="329"/>
        <v>0</v>
      </c>
      <c r="T163" s="1035">
        <v>0</v>
      </c>
      <c r="U163" s="1036">
        <v>0</v>
      </c>
      <c r="V163" s="1032">
        <f t="shared" si="330"/>
        <v>0</v>
      </c>
      <c r="W163" s="1037">
        <f t="shared" si="331"/>
        <v>0</v>
      </c>
      <c r="X163" s="1038">
        <v>0</v>
      </c>
      <c r="Y163" s="1039">
        <v>0</v>
      </c>
      <c r="Z163" s="1408">
        <v>0</v>
      </c>
      <c r="AA163" s="1040">
        <f t="shared" si="332"/>
        <v>0</v>
      </c>
      <c r="AB163" s="1038">
        <v>0</v>
      </c>
      <c r="AC163" s="1039">
        <v>0</v>
      </c>
      <c r="AD163" s="1040">
        <f t="shared" si="333"/>
        <v>0</v>
      </c>
      <c r="AE163" s="1038">
        <v>0</v>
      </c>
      <c r="AF163" s="1040">
        <f t="shared" si="334"/>
        <v>0</v>
      </c>
      <c r="AG163" s="1038">
        <v>0</v>
      </c>
      <c r="AH163" s="1040">
        <f t="shared" si="335"/>
        <v>0</v>
      </c>
      <c r="AI163" s="1038">
        <v>0</v>
      </c>
      <c r="AJ163" s="1039">
        <v>0</v>
      </c>
      <c r="AK163" s="1039">
        <v>0</v>
      </c>
      <c r="AL163" s="1039">
        <v>0</v>
      </c>
      <c r="AM163" s="1041">
        <v>0</v>
      </c>
      <c r="AN163" s="1041">
        <v>0</v>
      </c>
      <c r="AO163" s="1040">
        <f t="shared" si="336"/>
        <v>0</v>
      </c>
      <c r="AP163" s="1038">
        <v>0</v>
      </c>
      <c r="AQ163" s="1040">
        <f t="shared" si="337"/>
        <v>0</v>
      </c>
      <c r="AR163" s="1038">
        <v>0</v>
      </c>
      <c r="AS163" s="1039">
        <v>0</v>
      </c>
      <c r="AT163" s="1408">
        <v>0</v>
      </c>
      <c r="AU163" s="1040">
        <f t="shared" si="338"/>
        <v>0</v>
      </c>
      <c r="AV163" s="1038">
        <v>0</v>
      </c>
      <c r="AW163" s="1039">
        <v>0</v>
      </c>
      <c r="AX163" s="1040">
        <f t="shared" si="339"/>
        <v>0</v>
      </c>
      <c r="AY163" s="1038">
        <v>0</v>
      </c>
      <c r="AZ163" s="1040">
        <f t="shared" si="340"/>
        <v>0</v>
      </c>
      <c r="BA163" s="1038">
        <v>0</v>
      </c>
      <c r="BB163" s="1039">
        <v>0</v>
      </c>
      <c r="BC163" s="1040">
        <f t="shared" si="341"/>
        <v>0</v>
      </c>
      <c r="BD163" s="1042">
        <f t="shared" si="342"/>
        <v>0</v>
      </c>
      <c r="BE163" s="1052"/>
      <c r="BF163" s="1053"/>
      <c r="BG163" s="1048">
        <f t="shared" si="322"/>
        <v>0</v>
      </c>
      <c r="BH163" s="1052"/>
      <c r="BI163" s="1053"/>
      <c r="BJ163" s="1053"/>
      <c r="BK163" s="1053"/>
      <c r="BL163" s="1048">
        <f t="shared" si="343"/>
        <v>0</v>
      </c>
      <c r="BM163" s="1052"/>
      <c r="BN163" s="1053"/>
      <c r="BO163" s="1048">
        <f t="shared" si="344"/>
        <v>0</v>
      </c>
      <c r="BP163" s="1049"/>
      <c r="BQ163" s="1050"/>
      <c r="BR163" s="1050"/>
      <c r="BS163" s="1050"/>
      <c r="BT163" s="1053"/>
      <c r="BU163" s="1048">
        <f t="shared" si="345"/>
        <v>0</v>
      </c>
      <c r="BV163" s="1049"/>
      <c r="BW163" s="1050"/>
      <c r="BX163" s="1050"/>
      <c r="BY163" s="1050"/>
      <c r="BZ163" s="1050"/>
      <c r="CA163" s="1050"/>
      <c r="CB163" s="1053"/>
      <c r="CC163" s="1048">
        <f t="shared" si="346"/>
        <v>0</v>
      </c>
      <c r="CD163" s="1052"/>
      <c r="CE163" s="1053"/>
      <c r="CF163" s="1053"/>
      <c r="CG163" s="1053">
        <v>141.88</v>
      </c>
      <c r="CH163" s="1048">
        <f t="shared" si="347"/>
        <v>141.88</v>
      </c>
      <c r="CI163" s="1049">
        <v>125.64</v>
      </c>
      <c r="CJ163" s="1050"/>
      <c r="CK163" s="1050">
        <v>67.959999999999994</v>
      </c>
      <c r="CL163" s="1050"/>
      <c r="CM163" s="1050"/>
      <c r="CN163" s="1050">
        <v>3.0716000000000001</v>
      </c>
      <c r="CO163" s="1051">
        <f t="shared" si="348"/>
        <v>196.67159999999998</v>
      </c>
      <c r="CP163" s="1052">
        <v>277.83999999999997</v>
      </c>
      <c r="CQ163" s="1053">
        <v>36</v>
      </c>
      <c r="CR163" s="1048">
        <f t="shared" si="349"/>
        <v>313.83999999999997</v>
      </c>
      <c r="CS163" s="1052"/>
      <c r="CT163" s="1053">
        <v>0</v>
      </c>
      <c r="CU163" s="1053"/>
      <c r="CV163" s="1053"/>
      <c r="CW163" s="1048">
        <f t="shared" si="350"/>
        <v>0</v>
      </c>
      <c r="CX163" s="1052"/>
      <c r="CY163" s="1048">
        <f t="shared" si="351"/>
        <v>0</v>
      </c>
      <c r="CZ163" s="1103">
        <f t="shared" si="352"/>
        <v>652.39159999999993</v>
      </c>
      <c r="DA163" s="1104">
        <f t="shared" si="353"/>
        <v>652.39159999999993</v>
      </c>
      <c r="DI163" s="1042">
        <f t="shared" si="354"/>
        <v>0</v>
      </c>
    </row>
    <row r="164" spans="1:113" s="1055" customFormat="1">
      <c r="A164" s="955" t="s">
        <v>889</v>
      </c>
      <c r="B164" s="1102" t="s">
        <v>890</v>
      </c>
      <c r="C164" s="1030" t="s">
        <v>829</v>
      </c>
      <c r="D164" s="1035"/>
      <c r="E164" s="1032">
        <f t="shared" si="321"/>
        <v>0</v>
      </c>
      <c r="F164" s="1035">
        <v>0</v>
      </c>
      <c r="G164" s="1036">
        <v>0</v>
      </c>
      <c r="H164" s="1032">
        <f t="shared" si="325"/>
        <v>0</v>
      </c>
      <c r="I164" s="1035">
        <v>0</v>
      </c>
      <c r="J164" s="1032">
        <f t="shared" si="326"/>
        <v>0</v>
      </c>
      <c r="K164" s="1035">
        <v>0</v>
      </c>
      <c r="L164" s="1074">
        <v>0</v>
      </c>
      <c r="M164" s="1032">
        <f t="shared" si="327"/>
        <v>0</v>
      </c>
      <c r="N164" s="1035">
        <v>0</v>
      </c>
      <c r="O164" s="1036">
        <v>0</v>
      </c>
      <c r="P164" s="1032">
        <f t="shared" si="328"/>
        <v>0</v>
      </c>
      <c r="Q164" s="1035">
        <v>0</v>
      </c>
      <c r="R164" s="1036">
        <v>0</v>
      </c>
      <c r="S164" s="1032">
        <f t="shared" si="329"/>
        <v>0</v>
      </c>
      <c r="T164" s="1035">
        <v>0</v>
      </c>
      <c r="U164" s="1036">
        <v>0</v>
      </c>
      <c r="V164" s="1032">
        <f t="shared" si="330"/>
        <v>0</v>
      </c>
      <c r="W164" s="1037">
        <f t="shared" si="331"/>
        <v>0</v>
      </c>
      <c r="X164" s="1038">
        <v>0</v>
      </c>
      <c r="Y164" s="1039">
        <v>0</v>
      </c>
      <c r="Z164" s="1408">
        <v>0</v>
      </c>
      <c r="AA164" s="1040">
        <f t="shared" si="332"/>
        <v>0</v>
      </c>
      <c r="AB164" s="1038">
        <v>0</v>
      </c>
      <c r="AC164" s="1039">
        <v>0</v>
      </c>
      <c r="AD164" s="1040">
        <f t="shared" si="333"/>
        <v>0</v>
      </c>
      <c r="AE164" s="1038">
        <v>0</v>
      </c>
      <c r="AF164" s="1040">
        <f t="shared" si="334"/>
        <v>0</v>
      </c>
      <c r="AG164" s="1038">
        <v>0</v>
      </c>
      <c r="AH164" s="1040">
        <f t="shared" si="335"/>
        <v>0</v>
      </c>
      <c r="AI164" s="1038">
        <v>0</v>
      </c>
      <c r="AJ164" s="1039">
        <v>0</v>
      </c>
      <c r="AK164" s="1039">
        <v>0</v>
      </c>
      <c r="AL164" s="1039">
        <v>0</v>
      </c>
      <c r="AM164" s="1041">
        <v>0</v>
      </c>
      <c r="AN164" s="1041">
        <v>0</v>
      </c>
      <c r="AO164" s="1040">
        <f t="shared" si="336"/>
        <v>0</v>
      </c>
      <c r="AP164" s="1038">
        <v>0</v>
      </c>
      <c r="AQ164" s="1040">
        <f t="shared" si="337"/>
        <v>0</v>
      </c>
      <c r="AR164" s="1038">
        <v>0</v>
      </c>
      <c r="AS164" s="1039">
        <v>0</v>
      </c>
      <c r="AT164" s="1408">
        <v>0</v>
      </c>
      <c r="AU164" s="1040">
        <f t="shared" si="338"/>
        <v>0</v>
      </c>
      <c r="AV164" s="1038">
        <v>0</v>
      </c>
      <c r="AW164" s="1039">
        <v>0</v>
      </c>
      <c r="AX164" s="1040">
        <f t="shared" si="339"/>
        <v>0</v>
      </c>
      <c r="AY164" s="1038">
        <v>0</v>
      </c>
      <c r="AZ164" s="1040">
        <f t="shared" si="340"/>
        <v>0</v>
      </c>
      <c r="BA164" s="1038">
        <v>0</v>
      </c>
      <c r="BB164" s="1039">
        <v>0</v>
      </c>
      <c r="BC164" s="1040">
        <f t="shared" si="341"/>
        <v>0</v>
      </c>
      <c r="BD164" s="1042">
        <f t="shared" si="342"/>
        <v>0</v>
      </c>
      <c r="BE164" s="1052"/>
      <c r="BF164" s="1053"/>
      <c r="BG164" s="1048">
        <f t="shared" si="322"/>
        <v>0</v>
      </c>
      <c r="BH164" s="1052"/>
      <c r="BI164" s="1053"/>
      <c r="BJ164" s="1053"/>
      <c r="BK164" s="1053"/>
      <c r="BL164" s="1048">
        <f t="shared" si="343"/>
        <v>0</v>
      </c>
      <c r="BM164" s="1052"/>
      <c r="BN164" s="1053"/>
      <c r="BO164" s="1048">
        <f t="shared" si="344"/>
        <v>0</v>
      </c>
      <c r="BP164" s="1049"/>
      <c r="BQ164" s="1050"/>
      <c r="BR164" s="1050"/>
      <c r="BS164" s="1050"/>
      <c r="BT164" s="1053"/>
      <c r="BU164" s="1048">
        <f t="shared" si="345"/>
        <v>0</v>
      </c>
      <c r="BV164" s="1049"/>
      <c r="BW164" s="1050"/>
      <c r="BX164" s="1050"/>
      <c r="BY164" s="1050"/>
      <c r="BZ164" s="1050"/>
      <c r="CA164" s="1050"/>
      <c r="CB164" s="1053"/>
      <c r="CC164" s="1048">
        <f t="shared" si="346"/>
        <v>0</v>
      </c>
      <c r="CD164" s="1052"/>
      <c r="CE164" s="1053"/>
      <c r="CF164" s="1053"/>
      <c r="CG164" s="1053"/>
      <c r="CH164" s="1048">
        <f t="shared" si="347"/>
        <v>0</v>
      </c>
      <c r="CI164" s="1049"/>
      <c r="CJ164" s="1050"/>
      <c r="CK164" s="1050"/>
      <c r="CL164" s="1050"/>
      <c r="CM164" s="1050"/>
      <c r="CN164" s="1050"/>
      <c r="CO164" s="1051">
        <f t="shared" si="348"/>
        <v>0</v>
      </c>
      <c r="CP164" s="1052"/>
      <c r="CQ164" s="1053"/>
      <c r="CR164" s="1048">
        <f t="shared" si="349"/>
        <v>0</v>
      </c>
      <c r="CS164" s="1052"/>
      <c r="CT164" s="1053"/>
      <c r="CU164" s="1053"/>
      <c r="CV164" s="1053"/>
      <c r="CW164" s="1048">
        <f t="shared" si="350"/>
        <v>0</v>
      </c>
      <c r="CX164" s="1052"/>
      <c r="CY164" s="1048">
        <f t="shared" si="351"/>
        <v>0</v>
      </c>
      <c r="CZ164" s="1103">
        <f t="shared" si="352"/>
        <v>0</v>
      </c>
      <c r="DA164" s="1104">
        <f t="shared" si="353"/>
        <v>0</v>
      </c>
      <c r="DI164" s="1042">
        <f t="shared" si="354"/>
        <v>0</v>
      </c>
    </row>
    <row r="165" spans="1:113" s="1055" customFormat="1">
      <c r="A165" s="955" t="s">
        <v>9</v>
      </c>
      <c r="B165" s="1102" t="s">
        <v>1424</v>
      </c>
      <c r="C165" s="1030" t="s">
        <v>111</v>
      </c>
      <c r="D165" s="1035"/>
      <c r="E165" s="1032">
        <f t="shared" si="321"/>
        <v>0</v>
      </c>
      <c r="F165" s="1035">
        <v>0</v>
      </c>
      <c r="G165" s="1036">
        <v>177.94705495234703</v>
      </c>
      <c r="H165" s="1032">
        <f t="shared" si="325"/>
        <v>177.94705495234703</v>
      </c>
      <c r="I165" s="1035">
        <v>283.09910573290284</v>
      </c>
      <c r="J165" s="1032">
        <f t="shared" si="326"/>
        <v>283.09910573290284</v>
      </c>
      <c r="K165" s="1035">
        <v>0</v>
      </c>
      <c r="L165" s="1074">
        <v>20.800000000000004</v>
      </c>
      <c r="M165" s="1032">
        <f t="shared" si="327"/>
        <v>20.800000000000004</v>
      </c>
      <c r="N165" s="1035">
        <v>0</v>
      </c>
      <c r="O165" s="1036">
        <v>0</v>
      </c>
      <c r="P165" s="1032">
        <f t="shared" si="328"/>
        <v>0</v>
      </c>
      <c r="Q165" s="1035">
        <v>52.682239999999993</v>
      </c>
      <c r="R165" s="1036">
        <v>177.23576000000003</v>
      </c>
      <c r="S165" s="1032">
        <f t="shared" si="329"/>
        <v>229.91800000000001</v>
      </c>
      <c r="T165" s="1035">
        <v>0</v>
      </c>
      <c r="U165" s="1036">
        <v>5.8750000000000009</v>
      </c>
      <c r="V165" s="1032">
        <f t="shared" si="330"/>
        <v>5.8750000000000009</v>
      </c>
      <c r="W165" s="1037">
        <f t="shared" si="331"/>
        <v>717.63916068524986</v>
      </c>
      <c r="X165" s="1038">
        <v>0</v>
      </c>
      <c r="Y165" s="1039">
        <v>0</v>
      </c>
      <c r="Z165" s="1408">
        <v>0</v>
      </c>
      <c r="AA165" s="1040">
        <f t="shared" si="332"/>
        <v>0</v>
      </c>
      <c r="AB165" s="1038">
        <v>0</v>
      </c>
      <c r="AC165" s="1039">
        <v>0</v>
      </c>
      <c r="AD165" s="1040">
        <f t="shared" si="333"/>
        <v>0</v>
      </c>
      <c r="AE165" s="1038">
        <v>11.750000000000002</v>
      </c>
      <c r="AF165" s="1040">
        <f t="shared" si="334"/>
        <v>11.750000000000002</v>
      </c>
      <c r="AG165" s="1038">
        <v>0</v>
      </c>
      <c r="AH165" s="1040">
        <f t="shared" si="335"/>
        <v>0</v>
      </c>
      <c r="AI165" s="1038">
        <v>0</v>
      </c>
      <c r="AJ165" s="1039">
        <v>0</v>
      </c>
      <c r="AK165" s="1039">
        <v>0</v>
      </c>
      <c r="AL165" s="1039">
        <v>0</v>
      </c>
      <c r="AM165" s="1041">
        <v>0</v>
      </c>
      <c r="AN165" s="1041">
        <v>0</v>
      </c>
      <c r="AO165" s="1040">
        <f t="shared" si="336"/>
        <v>0</v>
      </c>
      <c r="AP165" s="1038">
        <v>11.750000000000002</v>
      </c>
      <c r="AQ165" s="1040">
        <f t="shared" si="337"/>
        <v>11.750000000000002</v>
      </c>
      <c r="AR165" s="1038">
        <v>0</v>
      </c>
      <c r="AS165" s="1039">
        <v>0</v>
      </c>
      <c r="AT165" s="1408">
        <v>0</v>
      </c>
      <c r="AU165" s="1040">
        <f t="shared" si="338"/>
        <v>0</v>
      </c>
      <c r="AV165" s="1038">
        <v>0</v>
      </c>
      <c r="AW165" s="1039">
        <v>0</v>
      </c>
      <c r="AX165" s="1040">
        <f t="shared" si="339"/>
        <v>0</v>
      </c>
      <c r="AY165" s="1038">
        <v>0</v>
      </c>
      <c r="AZ165" s="1040">
        <f t="shared" si="340"/>
        <v>0</v>
      </c>
      <c r="BA165" s="1038">
        <v>0</v>
      </c>
      <c r="BB165" s="1039">
        <v>5.8750000000000009</v>
      </c>
      <c r="BC165" s="1040">
        <f t="shared" si="341"/>
        <v>5.8750000000000009</v>
      </c>
      <c r="BD165" s="1042">
        <f t="shared" si="342"/>
        <v>29.375000000000007</v>
      </c>
      <c r="BE165" s="1052">
        <v>5.88</v>
      </c>
      <c r="BF165" s="1053">
        <v>5.88</v>
      </c>
      <c r="BG165" s="1048">
        <f t="shared" si="322"/>
        <v>11.76</v>
      </c>
      <c r="BH165" s="1052"/>
      <c r="BI165" s="1053"/>
      <c r="BJ165" s="1053"/>
      <c r="BK165" s="1053">
        <v>1.79</v>
      </c>
      <c r="BL165" s="1048">
        <f t="shared" si="343"/>
        <v>1.79</v>
      </c>
      <c r="BM165" s="1052"/>
      <c r="BN165" s="1053"/>
      <c r="BO165" s="1048">
        <f t="shared" si="344"/>
        <v>0</v>
      </c>
      <c r="BP165" s="1049"/>
      <c r="BQ165" s="1050"/>
      <c r="BR165" s="1050"/>
      <c r="BS165" s="1050"/>
      <c r="BT165" s="1053"/>
      <c r="BU165" s="1048">
        <f t="shared" si="345"/>
        <v>0</v>
      </c>
      <c r="BV165" s="1049"/>
      <c r="BW165" s="1050"/>
      <c r="BX165" s="1050"/>
      <c r="BY165" s="1050"/>
      <c r="BZ165" s="1050"/>
      <c r="CA165" s="1050"/>
      <c r="CB165" s="1053"/>
      <c r="CC165" s="1048">
        <f t="shared" si="346"/>
        <v>0</v>
      </c>
      <c r="CD165" s="1052"/>
      <c r="CE165" s="1053"/>
      <c r="CF165" s="1053"/>
      <c r="CG165" s="1053"/>
      <c r="CH165" s="1048">
        <f t="shared" si="347"/>
        <v>0</v>
      </c>
      <c r="CI165" s="1052"/>
      <c r="CJ165" s="1053"/>
      <c r="CK165" s="1053">
        <v>5.88</v>
      </c>
      <c r="CL165" s="1053"/>
      <c r="CM165" s="1053"/>
      <c r="CN165" s="1053"/>
      <c r="CO165" s="1051">
        <f t="shared" si="348"/>
        <v>5.88</v>
      </c>
      <c r="CP165" s="1052"/>
      <c r="CQ165" s="1053"/>
      <c r="CR165" s="1048">
        <f t="shared" si="349"/>
        <v>0</v>
      </c>
      <c r="CS165" s="1052"/>
      <c r="CT165" s="1053"/>
      <c r="CU165" s="1053"/>
      <c r="CV165" s="1053"/>
      <c r="CW165" s="1048">
        <f t="shared" si="350"/>
        <v>0</v>
      </c>
      <c r="CX165" s="1052"/>
      <c r="CY165" s="1048">
        <f t="shared" si="351"/>
        <v>0</v>
      </c>
      <c r="CZ165" s="1103">
        <f t="shared" si="352"/>
        <v>19.43</v>
      </c>
      <c r="DA165" s="1104">
        <f t="shared" si="353"/>
        <v>766.44416068524993</v>
      </c>
      <c r="DI165" s="1042">
        <f t="shared" si="354"/>
        <v>0</v>
      </c>
    </row>
    <row r="166" spans="1:113" s="1055" customFormat="1">
      <c r="A166" s="955" t="s">
        <v>299</v>
      </c>
      <c r="B166" s="1102" t="s">
        <v>980</v>
      </c>
      <c r="C166" s="1030" t="s">
        <v>829</v>
      </c>
      <c r="D166" s="1035"/>
      <c r="E166" s="1032">
        <f t="shared" si="321"/>
        <v>0</v>
      </c>
      <c r="F166" s="1035">
        <v>0</v>
      </c>
      <c r="G166" s="1036">
        <v>0</v>
      </c>
      <c r="H166" s="1032">
        <f t="shared" si="325"/>
        <v>0</v>
      </c>
      <c r="I166" s="1035">
        <v>0</v>
      </c>
      <c r="J166" s="1032">
        <f t="shared" si="326"/>
        <v>0</v>
      </c>
      <c r="K166" s="1035">
        <v>0</v>
      </c>
      <c r="L166" s="1074">
        <v>0</v>
      </c>
      <c r="M166" s="1032">
        <f t="shared" si="327"/>
        <v>0</v>
      </c>
      <c r="N166" s="1035">
        <v>0</v>
      </c>
      <c r="O166" s="1036">
        <v>0</v>
      </c>
      <c r="P166" s="1032">
        <f t="shared" si="328"/>
        <v>0</v>
      </c>
      <c r="Q166" s="1035">
        <v>0</v>
      </c>
      <c r="R166" s="1036">
        <v>0</v>
      </c>
      <c r="S166" s="1032">
        <f t="shared" si="329"/>
        <v>0</v>
      </c>
      <c r="T166" s="1035">
        <v>0</v>
      </c>
      <c r="U166" s="1036">
        <v>0</v>
      </c>
      <c r="V166" s="1032">
        <f t="shared" si="330"/>
        <v>0</v>
      </c>
      <c r="W166" s="1037">
        <f t="shared" si="331"/>
        <v>0</v>
      </c>
      <c r="X166" s="1038">
        <v>0</v>
      </c>
      <c r="Y166" s="1039">
        <v>0</v>
      </c>
      <c r="Z166" s="1408">
        <v>0</v>
      </c>
      <c r="AA166" s="1040">
        <f t="shared" si="332"/>
        <v>0</v>
      </c>
      <c r="AB166" s="1038">
        <v>0</v>
      </c>
      <c r="AC166" s="1039">
        <v>0</v>
      </c>
      <c r="AD166" s="1040">
        <f t="shared" si="333"/>
        <v>0</v>
      </c>
      <c r="AE166" s="1038">
        <v>0</v>
      </c>
      <c r="AF166" s="1040">
        <f t="shared" si="334"/>
        <v>0</v>
      </c>
      <c r="AG166" s="1038">
        <v>0</v>
      </c>
      <c r="AH166" s="1040">
        <f t="shared" si="335"/>
        <v>0</v>
      </c>
      <c r="AI166" s="1038">
        <v>0</v>
      </c>
      <c r="AJ166" s="1039">
        <v>0</v>
      </c>
      <c r="AK166" s="1039">
        <v>0</v>
      </c>
      <c r="AL166" s="1039">
        <v>0</v>
      </c>
      <c r="AM166" s="1041">
        <v>0</v>
      </c>
      <c r="AN166" s="1041">
        <v>0</v>
      </c>
      <c r="AO166" s="1040">
        <f t="shared" si="336"/>
        <v>0</v>
      </c>
      <c r="AP166" s="1038">
        <v>0</v>
      </c>
      <c r="AQ166" s="1040">
        <f t="shared" si="337"/>
        <v>0</v>
      </c>
      <c r="AR166" s="1038">
        <v>0</v>
      </c>
      <c r="AS166" s="1039">
        <v>0</v>
      </c>
      <c r="AT166" s="1408">
        <v>0</v>
      </c>
      <c r="AU166" s="1040">
        <f t="shared" si="338"/>
        <v>0</v>
      </c>
      <c r="AV166" s="1038">
        <v>0</v>
      </c>
      <c r="AW166" s="1039">
        <v>0</v>
      </c>
      <c r="AX166" s="1040">
        <f t="shared" si="339"/>
        <v>0</v>
      </c>
      <c r="AY166" s="1038">
        <v>0</v>
      </c>
      <c r="AZ166" s="1040">
        <f t="shared" si="340"/>
        <v>0</v>
      </c>
      <c r="BA166" s="1038">
        <v>0</v>
      </c>
      <c r="BB166" s="1039">
        <v>0</v>
      </c>
      <c r="BC166" s="1040">
        <f t="shared" si="341"/>
        <v>0</v>
      </c>
      <c r="BD166" s="1042">
        <f t="shared" si="342"/>
        <v>0</v>
      </c>
      <c r="BE166" s="1052"/>
      <c r="BF166" s="1053"/>
      <c r="BG166" s="1048">
        <f t="shared" si="322"/>
        <v>0</v>
      </c>
      <c r="BH166" s="1052"/>
      <c r="BI166" s="1053"/>
      <c r="BJ166" s="1053"/>
      <c r="BK166" s="1053"/>
      <c r="BL166" s="1048">
        <f t="shared" si="343"/>
        <v>0</v>
      </c>
      <c r="BM166" s="1052"/>
      <c r="BN166" s="1053"/>
      <c r="BO166" s="1048">
        <f t="shared" si="344"/>
        <v>0</v>
      </c>
      <c r="BP166" s="1049"/>
      <c r="BQ166" s="1050"/>
      <c r="BR166" s="1050"/>
      <c r="BS166" s="1050"/>
      <c r="BT166" s="1053"/>
      <c r="BU166" s="1048">
        <f t="shared" si="345"/>
        <v>0</v>
      </c>
      <c r="BV166" s="1049"/>
      <c r="BW166" s="1050"/>
      <c r="BX166" s="1050"/>
      <c r="BY166" s="1050"/>
      <c r="BZ166" s="1050"/>
      <c r="CA166" s="1050"/>
      <c r="CB166" s="1053"/>
      <c r="CC166" s="1048">
        <f t="shared" si="346"/>
        <v>0</v>
      </c>
      <c r="CD166" s="1052"/>
      <c r="CE166" s="1053"/>
      <c r="CF166" s="1053"/>
      <c r="CG166" s="1053"/>
      <c r="CH166" s="1048">
        <f t="shared" si="347"/>
        <v>0</v>
      </c>
      <c r="CI166" s="1052"/>
      <c r="CJ166" s="1053"/>
      <c r="CK166" s="1053"/>
      <c r="CL166" s="1053"/>
      <c r="CM166" s="1053"/>
      <c r="CN166" s="1053"/>
      <c r="CO166" s="1051">
        <f t="shared" si="348"/>
        <v>0</v>
      </c>
      <c r="CP166" s="1052"/>
      <c r="CQ166" s="1053"/>
      <c r="CR166" s="1048">
        <f t="shared" si="349"/>
        <v>0</v>
      </c>
      <c r="CS166" s="1052"/>
      <c r="CT166" s="1053"/>
      <c r="CU166" s="1053"/>
      <c r="CV166" s="1053"/>
      <c r="CW166" s="1048">
        <f t="shared" si="350"/>
        <v>0</v>
      </c>
      <c r="CX166" s="1052"/>
      <c r="CY166" s="1048">
        <f t="shared" si="351"/>
        <v>0</v>
      </c>
      <c r="CZ166" s="1103">
        <f t="shared" si="352"/>
        <v>0</v>
      </c>
      <c r="DA166" s="1104">
        <f t="shared" si="353"/>
        <v>0</v>
      </c>
      <c r="DI166" s="1042">
        <f t="shared" si="354"/>
        <v>0</v>
      </c>
    </row>
    <row r="167" spans="1:113" s="1055" customFormat="1">
      <c r="A167" s="955" t="s">
        <v>981</v>
      </c>
      <c r="B167" s="1102" t="s">
        <v>982</v>
      </c>
      <c r="C167" s="1030" t="s">
        <v>829</v>
      </c>
      <c r="D167" s="1035"/>
      <c r="E167" s="1032">
        <f t="shared" si="321"/>
        <v>0</v>
      </c>
      <c r="F167" s="1035">
        <v>0</v>
      </c>
      <c r="G167" s="1036">
        <v>0</v>
      </c>
      <c r="H167" s="1032">
        <f t="shared" si="325"/>
        <v>0</v>
      </c>
      <c r="I167" s="1035">
        <v>0</v>
      </c>
      <c r="J167" s="1032">
        <f t="shared" si="326"/>
        <v>0</v>
      </c>
      <c r="K167" s="1035">
        <v>0</v>
      </c>
      <c r="L167" s="1074">
        <v>0</v>
      </c>
      <c r="M167" s="1032">
        <f t="shared" si="327"/>
        <v>0</v>
      </c>
      <c r="N167" s="1035">
        <v>0</v>
      </c>
      <c r="O167" s="1036">
        <v>0</v>
      </c>
      <c r="P167" s="1032">
        <f t="shared" si="328"/>
        <v>0</v>
      </c>
      <c r="Q167" s="1035">
        <v>0</v>
      </c>
      <c r="R167" s="1036">
        <v>0</v>
      </c>
      <c r="S167" s="1032">
        <f t="shared" si="329"/>
        <v>0</v>
      </c>
      <c r="T167" s="1035">
        <v>0</v>
      </c>
      <c r="U167" s="1036">
        <v>0</v>
      </c>
      <c r="V167" s="1032">
        <f t="shared" si="330"/>
        <v>0</v>
      </c>
      <c r="W167" s="1037">
        <f t="shared" si="331"/>
        <v>0</v>
      </c>
      <c r="X167" s="1038">
        <v>0</v>
      </c>
      <c r="Y167" s="1039">
        <v>0</v>
      </c>
      <c r="Z167" s="1408">
        <v>0</v>
      </c>
      <c r="AA167" s="1040">
        <f t="shared" si="332"/>
        <v>0</v>
      </c>
      <c r="AB167" s="1038">
        <v>0</v>
      </c>
      <c r="AC167" s="1039">
        <v>0</v>
      </c>
      <c r="AD167" s="1040">
        <f t="shared" si="333"/>
        <v>0</v>
      </c>
      <c r="AE167" s="1038">
        <v>0</v>
      </c>
      <c r="AF167" s="1040">
        <f t="shared" si="334"/>
        <v>0</v>
      </c>
      <c r="AG167" s="1038">
        <v>0</v>
      </c>
      <c r="AH167" s="1040">
        <f t="shared" si="335"/>
        <v>0</v>
      </c>
      <c r="AI167" s="1038">
        <v>0</v>
      </c>
      <c r="AJ167" s="1039">
        <v>0</v>
      </c>
      <c r="AK167" s="1039">
        <v>0</v>
      </c>
      <c r="AL167" s="1039">
        <v>0</v>
      </c>
      <c r="AM167" s="1041">
        <v>0</v>
      </c>
      <c r="AN167" s="1041">
        <v>0</v>
      </c>
      <c r="AO167" s="1040">
        <f t="shared" si="336"/>
        <v>0</v>
      </c>
      <c r="AP167" s="1038">
        <v>0</v>
      </c>
      <c r="AQ167" s="1040">
        <f t="shared" si="337"/>
        <v>0</v>
      </c>
      <c r="AR167" s="1038">
        <v>0</v>
      </c>
      <c r="AS167" s="1039">
        <v>0</v>
      </c>
      <c r="AT167" s="1408">
        <v>0</v>
      </c>
      <c r="AU167" s="1040">
        <f t="shared" si="338"/>
        <v>0</v>
      </c>
      <c r="AV167" s="1038">
        <v>0</v>
      </c>
      <c r="AW167" s="1039">
        <v>0</v>
      </c>
      <c r="AX167" s="1040">
        <f t="shared" si="339"/>
        <v>0</v>
      </c>
      <c r="AY167" s="1038">
        <v>0</v>
      </c>
      <c r="AZ167" s="1040">
        <f t="shared" si="340"/>
        <v>0</v>
      </c>
      <c r="BA167" s="1038">
        <v>0</v>
      </c>
      <c r="BB167" s="1039">
        <v>0</v>
      </c>
      <c r="BC167" s="1040">
        <f t="shared" si="341"/>
        <v>0</v>
      </c>
      <c r="BD167" s="1042">
        <f t="shared" si="342"/>
        <v>0</v>
      </c>
      <c r="BE167" s="1052"/>
      <c r="BF167" s="1053"/>
      <c r="BG167" s="1048">
        <f t="shared" si="322"/>
        <v>0</v>
      </c>
      <c r="BH167" s="1052"/>
      <c r="BI167" s="1053"/>
      <c r="BJ167" s="1053"/>
      <c r="BK167" s="1053"/>
      <c r="BL167" s="1048">
        <f t="shared" si="343"/>
        <v>0</v>
      </c>
      <c r="BM167" s="1052"/>
      <c r="BN167" s="1053"/>
      <c r="BO167" s="1048">
        <f t="shared" si="344"/>
        <v>0</v>
      </c>
      <c r="BP167" s="1049"/>
      <c r="BQ167" s="1050"/>
      <c r="BR167" s="1050"/>
      <c r="BS167" s="1050"/>
      <c r="BT167" s="1053"/>
      <c r="BU167" s="1048">
        <f t="shared" si="345"/>
        <v>0</v>
      </c>
      <c r="BV167" s="1049"/>
      <c r="BW167" s="1050"/>
      <c r="BX167" s="1050"/>
      <c r="BY167" s="1050"/>
      <c r="BZ167" s="1050"/>
      <c r="CA167" s="1050"/>
      <c r="CB167" s="1053"/>
      <c r="CC167" s="1048">
        <f t="shared" si="346"/>
        <v>0</v>
      </c>
      <c r="CD167" s="1052"/>
      <c r="CE167" s="1053"/>
      <c r="CF167" s="1053"/>
      <c r="CG167" s="1053"/>
      <c r="CH167" s="1048">
        <f t="shared" si="347"/>
        <v>0</v>
      </c>
      <c r="CI167" s="1052"/>
      <c r="CJ167" s="1053"/>
      <c r="CK167" s="1053"/>
      <c r="CL167" s="1053"/>
      <c r="CM167" s="1053"/>
      <c r="CN167" s="1053"/>
      <c r="CO167" s="1051">
        <f t="shared" si="348"/>
        <v>0</v>
      </c>
      <c r="CP167" s="1052"/>
      <c r="CQ167" s="1053"/>
      <c r="CR167" s="1048">
        <f t="shared" si="349"/>
        <v>0</v>
      </c>
      <c r="CS167" s="1052"/>
      <c r="CT167" s="1053"/>
      <c r="CU167" s="1053"/>
      <c r="CV167" s="1053"/>
      <c r="CW167" s="1048">
        <f t="shared" si="350"/>
        <v>0</v>
      </c>
      <c r="CX167" s="1052"/>
      <c r="CY167" s="1048">
        <f t="shared" si="351"/>
        <v>0</v>
      </c>
      <c r="CZ167" s="1103">
        <f t="shared" si="352"/>
        <v>0</v>
      </c>
      <c r="DA167" s="1104">
        <f t="shared" si="353"/>
        <v>0</v>
      </c>
      <c r="DI167" s="1042">
        <f t="shared" si="354"/>
        <v>0</v>
      </c>
    </row>
    <row r="168" spans="1:113" s="1055" customFormat="1">
      <c r="A168" s="955" t="s">
        <v>397</v>
      </c>
      <c r="B168" s="1102" t="s">
        <v>983</v>
      </c>
      <c r="C168" s="1030" t="s">
        <v>11</v>
      </c>
      <c r="D168" s="1035"/>
      <c r="E168" s="1032">
        <f t="shared" si="321"/>
        <v>0</v>
      </c>
      <c r="F168" s="1035">
        <v>0</v>
      </c>
      <c r="G168" s="1036">
        <v>0</v>
      </c>
      <c r="H168" s="1032">
        <f t="shared" si="325"/>
        <v>0</v>
      </c>
      <c r="I168" s="1035">
        <v>0</v>
      </c>
      <c r="J168" s="1032">
        <f t="shared" si="326"/>
        <v>0</v>
      </c>
      <c r="K168" s="1035">
        <v>0</v>
      </c>
      <c r="L168" s="1074">
        <v>0</v>
      </c>
      <c r="M168" s="1032">
        <f t="shared" si="327"/>
        <v>0</v>
      </c>
      <c r="N168" s="1035">
        <v>0</v>
      </c>
      <c r="O168" s="1036">
        <v>0</v>
      </c>
      <c r="P168" s="1032">
        <f t="shared" si="328"/>
        <v>0</v>
      </c>
      <c r="Q168" s="1035">
        <v>0</v>
      </c>
      <c r="R168" s="1036">
        <v>0</v>
      </c>
      <c r="S168" s="1032">
        <f t="shared" si="329"/>
        <v>0</v>
      </c>
      <c r="T168" s="1035">
        <v>0</v>
      </c>
      <c r="U168" s="1036">
        <v>0</v>
      </c>
      <c r="V168" s="1032">
        <f t="shared" si="330"/>
        <v>0</v>
      </c>
      <c r="W168" s="1037">
        <f t="shared" si="331"/>
        <v>0</v>
      </c>
      <c r="X168" s="1038">
        <v>0</v>
      </c>
      <c r="Y168" s="1039">
        <v>0</v>
      </c>
      <c r="Z168" s="1408">
        <v>0</v>
      </c>
      <c r="AA168" s="1040">
        <f t="shared" si="332"/>
        <v>0</v>
      </c>
      <c r="AB168" s="1038">
        <v>0</v>
      </c>
      <c r="AC168" s="1039">
        <v>0</v>
      </c>
      <c r="AD168" s="1040">
        <f t="shared" si="333"/>
        <v>0</v>
      </c>
      <c r="AE168" s="1038">
        <v>0</v>
      </c>
      <c r="AF168" s="1040">
        <f t="shared" si="334"/>
        <v>0</v>
      </c>
      <c r="AG168" s="1038">
        <v>0</v>
      </c>
      <c r="AH168" s="1040">
        <f t="shared" si="335"/>
        <v>0</v>
      </c>
      <c r="AI168" s="1038">
        <v>0</v>
      </c>
      <c r="AJ168" s="1039">
        <v>0</v>
      </c>
      <c r="AK168" s="1039">
        <v>0</v>
      </c>
      <c r="AL168" s="1039">
        <v>0</v>
      </c>
      <c r="AM168" s="1041">
        <v>0</v>
      </c>
      <c r="AN168" s="1041">
        <v>0</v>
      </c>
      <c r="AO168" s="1040">
        <f t="shared" si="336"/>
        <v>0</v>
      </c>
      <c r="AP168" s="1038">
        <v>0</v>
      </c>
      <c r="AQ168" s="1040">
        <f t="shared" si="337"/>
        <v>0</v>
      </c>
      <c r="AR168" s="1038">
        <v>0</v>
      </c>
      <c r="AS168" s="1039">
        <v>0</v>
      </c>
      <c r="AT168" s="1408">
        <v>0</v>
      </c>
      <c r="AU168" s="1040">
        <f t="shared" si="338"/>
        <v>0</v>
      </c>
      <c r="AV168" s="1038">
        <v>0</v>
      </c>
      <c r="AW168" s="1039">
        <v>0</v>
      </c>
      <c r="AX168" s="1040">
        <f t="shared" si="339"/>
        <v>0</v>
      </c>
      <c r="AY168" s="1038">
        <v>0</v>
      </c>
      <c r="AZ168" s="1040">
        <f t="shared" si="340"/>
        <v>0</v>
      </c>
      <c r="BA168" s="1038">
        <v>0</v>
      </c>
      <c r="BB168" s="1039">
        <v>0</v>
      </c>
      <c r="BC168" s="1040">
        <f t="shared" si="341"/>
        <v>0</v>
      </c>
      <c r="BD168" s="1042">
        <f t="shared" si="342"/>
        <v>0</v>
      </c>
      <c r="BE168" s="1052"/>
      <c r="BF168" s="1053"/>
      <c r="BG168" s="1048">
        <f t="shared" si="322"/>
        <v>0</v>
      </c>
      <c r="BH168" s="1052"/>
      <c r="BI168" s="1053"/>
      <c r="BJ168" s="1053"/>
      <c r="BK168" s="1053"/>
      <c r="BL168" s="1048">
        <f t="shared" si="343"/>
        <v>0</v>
      </c>
      <c r="BM168" s="1052"/>
      <c r="BN168" s="1053"/>
      <c r="BO168" s="1048">
        <f t="shared" si="344"/>
        <v>0</v>
      </c>
      <c r="BP168" s="1049"/>
      <c r="BQ168" s="1050"/>
      <c r="BR168" s="1050"/>
      <c r="BS168" s="1050"/>
      <c r="BT168" s="1053"/>
      <c r="BU168" s="1048">
        <f t="shared" si="345"/>
        <v>0</v>
      </c>
      <c r="BV168" s="1049"/>
      <c r="BW168" s="1050"/>
      <c r="BX168" s="1050"/>
      <c r="BY168" s="1050"/>
      <c r="BZ168" s="1050"/>
      <c r="CA168" s="1050"/>
      <c r="CB168" s="1053"/>
      <c r="CC168" s="1048">
        <f t="shared" si="346"/>
        <v>0</v>
      </c>
      <c r="CD168" s="1052"/>
      <c r="CE168" s="1053"/>
      <c r="CF168" s="1053"/>
      <c r="CG168" s="1053"/>
      <c r="CH168" s="1048">
        <f t="shared" si="347"/>
        <v>0</v>
      </c>
      <c r="CI168" s="1052"/>
      <c r="CJ168" s="1053"/>
      <c r="CK168" s="1053"/>
      <c r="CL168" s="1053"/>
      <c r="CM168" s="1053"/>
      <c r="CN168" s="1053"/>
      <c r="CO168" s="1051">
        <f t="shared" si="348"/>
        <v>0</v>
      </c>
      <c r="CP168" s="1052"/>
      <c r="CQ168" s="1053"/>
      <c r="CR168" s="1048">
        <f t="shared" si="349"/>
        <v>0</v>
      </c>
      <c r="CS168" s="1052"/>
      <c r="CT168" s="1053"/>
      <c r="CU168" s="1053"/>
      <c r="CV168" s="1053"/>
      <c r="CW168" s="1048">
        <f t="shared" si="350"/>
        <v>0</v>
      </c>
      <c r="CX168" s="1052"/>
      <c r="CY168" s="1048">
        <f t="shared" si="351"/>
        <v>0</v>
      </c>
      <c r="CZ168" s="1103">
        <f t="shared" si="352"/>
        <v>0</v>
      </c>
      <c r="DA168" s="1104">
        <f t="shared" si="353"/>
        <v>0</v>
      </c>
      <c r="DI168" s="1042">
        <f t="shared" si="354"/>
        <v>0</v>
      </c>
    </row>
    <row r="169" spans="1:113" s="1055" customFormat="1">
      <c r="A169" s="955" t="s">
        <v>984</v>
      </c>
      <c r="B169" s="1102" t="s">
        <v>985</v>
      </c>
      <c r="C169" s="1030" t="s">
        <v>11</v>
      </c>
      <c r="D169" s="1035"/>
      <c r="E169" s="1032">
        <f t="shared" si="321"/>
        <v>0</v>
      </c>
      <c r="F169" s="1035">
        <v>0</v>
      </c>
      <c r="G169" s="1036">
        <v>0</v>
      </c>
      <c r="H169" s="1032">
        <f t="shared" si="325"/>
        <v>0</v>
      </c>
      <c r="I169" s="1035">
        <v>0</v>
      </c>
      <c r="J169" s="1032">
        <f t="shared" si="326"/>
        <v>0</v>
      </c>
      <c r="K169" s="1035">
        <v>0</v>
      </c>
      <c r="L169" s="1074">
        <v>0</v>
      </c>
      <c r="M169" s="1032">
        <f t="shared" si="327"/>
        <v>0</v>
      </c>
      <c r="N169" s="1035">
        <v>0</v>
      </c>
      <c r="O169" s="1036">
        <v>0</v>
      </c>
      <c r="P169" s="1032">
        <f t="shared" si="328"/>
        <v>0</v>
      </c>
      <c r="Q169" s="1035">
        <v>0</v>
      </c>
      <c r="R169" s="1036">
        <v>0</v>
      </c>
      <c r="S169" s="1032">
        <f t="shared" si="329"/>
        <v>0</v>
      </c>
      <c r="T169" s="1035">
        <v>0</v>
      </c>
      <c r="U169" s="1036">
        <v>0</v>
      </c>
      <c r="V169" s="1032">
        <f t="shared" si="330"/>
        <v>0</v>
      </c>
      <c r="W169" s="1037">
        <f t="shared" si="331"/>
        <v>0</v>
      </c>
      <c r="X169" s="1038">
        <v>0</v>
      </c>
      <c r="Y169" s="1039">
        <v>0</v>
      </c>
      <c r="Z169" s="1408">
        <v>0</v>
      </c>
      <c r="AA169" s="1040">
        <f t="shared" si="332"/>
        <v>0</v>
      </c>
      <c r="AB169" s="1038">
        <v>0</v>
      </c>
      <c r="AC169" s="1039">
        <v>0</v>
      </c>
      <c r="AD169" s="1040">
        <f t="shared" si="333"/>
        <v>0</v>
      </c>
      <c r="AE169" s="1038">
        <v>0</v>
      </c>
      <c r="AF169" s="1040">
        <f t="shared" si="334"/>
        <v>0</v>
      </c>
      <c r="AG169" s="1038">
        <v>0</v>
      </c>
      <c r="AH169" s="1040">
        <f t="shared" si="335"/>
        <v>0</v>
      </c>
      <c r="AI169" s="1038">
        <v>0</v>
      </c>
      <c r="AJ169" s="1039">
        <v>0</v>
      </c>
      <c r="AK169" s="1039">
        <v>0</v>
      </c>
      <c r="AL169" s="1039">
        <v>0</v>
      </c>
      <c r="AM169" s="1041">
        <v>0</v>
      </c>
      <c r="AN169" s="1041">
        <v>0</v>
      </c>
      <c r="AO169" s="1040">
        <f t="shared" si="336"/>
        <v>0</v>
      </c>
      <c r="AP169" s="1038">
        <v>0</v>
      </c>
      <c r="AQ169" s="1040">
        <f t="shared" si="337"/>
        <v>0</v>
      </c>
      <c r="AR169" s="1038">
        <v>0</v>
      </c>
      <c r="AS169" s="1039">
        <v>0</v>
      </c>
      <c r="AT169" s="1408">
        <v>0</v>
      </c>
      <c r="AU169" s="1040">
        <f t="shared" si="338"/>
        <v>0</v>
      </c>
      <c r="AV169" s="1038">
        <v>0</v>
      </c>
      <c r="AW169" s="1039">
        <v>0</v>
      </c>
      <c r="AX169" s="1040">
        <f t="shared" si="339"/>
        <v>0</v>
      </c>
      <c r="AY169" s="1038">
        <v>0</v>
      </c>
      <c r="AZ169" s="1040">
        <f t="shared" si="340"/>
        <v>0</v>
      </c>
      <c r="BA169" s="1038">
        <v>0</v>
      </c>
      <c r="BB169" s="1039">
        <v>0</v>
      </c>
      <c r="BC169" s="1040">
        <f t="shared" si="341"/>
        <v>0</v>
      </c>
      <c r="BD169" s="1042">
        <f t="shared" si="342"/>
        <v>0</v>
      </c>
      <c r="BE169" s="1052"/>
      <c r="BF169" s="1053"/>
      <c r="BG169" s="1048">
        <f t="shared" si="322"/>
        <v>0</v>
      </c>
      <c r="BH169" s="1052"/>
      <c r="BI169" s="1053"/>
      <c r="BJ169" s="1053"/>
      <c r="BK169" s="1053"/>
      <c r="BL169" s="1048">
        <f t="shared" si="343"/>
        <v>0</v>
      </c>
      <c r="BM169" s="1052"/>
      <c r="BN169" s="1053"/>
      <c r="BO169" s="1048">
        <f t="shared" si="344"/>
        <v>0</v>
      </c>
      <c r="BP169" s="1049"/>
      <c r="BQ169" s="1050"/>
      <c r="BR169" s="1050"/>
      <c r="BS169" s="1050"/>
      <c r="BT169" s="1053"/>
      <c r="BU169" s="1048">
        <f t="shared" si="345"/>
        <v>0</v>
      </c>
      <c r="BV169" s="1049"/>
      <c r="BW169" s="1050"/>
      <c r="BX169" s="1050"/>
      <c r="BY169" s="1050"/>
      <c r="BZ169" s="1050"/>
      <c r="CA169" s="1050"/>
      <c r="CB169" s="1053"/>
      <c r="CC169" s="1048">
        <f t="shared" si="346"/>
        <v>0</v>
      </c>
      <c r="CD169" s="1052"/>
      <c r="CE169" s="1053"/>
      <c r="CF169" s="1053"/>
      <c r="CG169" s="1053"/>
      <c r="CH169" s="1048">
        <f t="shared" si="347"/>
        <v>0</v>
      </c>
      <c r="CI169" s="1052"/>
      <c r="CJ169" s="1053"/>
      <c r="CK169" s="1053"/>
      <c r="CL169" s="1053"/>
      <c r="CM169" s="1053"/>
      <c r="CN169" s="1053"/>
      <c r="CO169" s="1051">
        <f t="shared" si="348"/>
        <v>0</v>
      </c>
      <c r="CP169" s="1052"/>
      <c r="CQ169" s="1053"/>
      <c r="CR169" s="1048">
        <f t="shared" si="349"/>
        <v>0</v>
      </c>
      <c r="CS169" s="1052"/>
      <c r="CT169" s="1053"/>
      <c r="CU169" s="1053"/>
      <c r="CV169" s="1053"/>
      <c r="CW169" s="1048">
        <f t="shared" si="350"/>
        <v>0</v>
      </c>
      <c r="CX169" s="1052"/>
      <c r="CY169" s="1048">
        <f t="shared" si="351"/>
        <v>0</v>
      </c>
      <c r="CZ169" s="1103">
        <f t="shared" si="352"/>
        <v>0</v>
      </c>
      <c r="DA169" s="1104">
        <f t="shared" si="353"/>
        <v>0</v>
      </c>
      <c r="DI169" s="1042">
        <f t="shared" si="354"/>
        <v>0</v>
      </c>
    </row>
    <row r="170" spans="1:113" s="1055" customFormat="1">
      <c r="A170" s="955" t="s">
        <v>946</v>
      </c>
      <c r="B170" s="1102" t="s">
        <v>947</v>
      </c>
      <c r="C170" s="1030" t="s">
        <v>829</v>
      </c>
      <c r="D170" s="1035"/>
      <c r="E170" s="1032">
        <f t="shared" si="321"/>
        <v>0</v>
      </c>
      <c r="F170" s="1035">
        <v>0</v>
      </c>
      <c r="G170" s="1036">
        <v>0</v>
      </c>
      <c r="H170" s="1032">
        <f t="shared" si="325"/>
        <v>0</v>
      </c>
      <c r="I170" s="1035">
        <v>0</v>
      </c>
      <c r="J170" s="1032">
        <f t="shared" si="326"/>
        <v>0</v>
      </c>
      <c r="K170" s="1035">
        <v>0</v>
      </c>
      <c r="L170" s="1074">
        <v>0</v>
      </c>
      <c r="M170" s="1032">
        <f t="shared" si="327"/>
        <v>0</v>
      </c>
      <c r="N170" s="1035">
        <v>0</v>
      </c>
      <c r="O170" s="1036">
        <v>0</v>
      </c>
      <c r="P170" s="1032">
        <f t="shared" si="328"/>
        <v>0</v>
      </c>
      <c r="Q170" s="1035">
        <v>0</v>
      </c>
      <c r="R170" s="1036">
        <v>0</v>
      </c>
      <c r="S170" s="1032">
        <f t="shared" si="329"/>
        <v>0</v>
      </c>
      <c r="T170" s="1035">
        <v>0</v>
      </c>
      <c r="U170" s="1036">
        <v>0</v>
      </c>
      <c r="V170" s="1032">
        <f t="shared" si="330"/>
        <v>0</v>
      </c>
      <c r="W170" s="1037">
        <f t="shared" si="331"/>
        <v>0</v>
      </c>
      <c r="X170" s="1038">
        <v>0</v>
      </c>
      <c r="Y170" s="1039">
        <v>0</v>
      </c>
      <c r="Z170" s="1408">
        <v>0</v>
      </c>
      <c r="AA170" s="1040">
        <f t="shared" si="332"/>
        <v>0</v>
      </c>
      <c r="AB170" s="1038">
        <v>0</v>
      </c>
      <c r="AC170" s="1039">
        <v>0</v>
      </c>
      <c r="AD170" s="1040">
        <f t="shared" si="333"/>
        <v>0</v>
      </c>
      <c r="AE170" s="1038">
        <v>0</v>
      </c>
      <c r="AF170" s="1040">
        <f t="shared" si="334"/>
        <v>0</v>
      </c>
      <c r="AG170" s="1038">
        <v>0</v>
      </c>
      <c r="AH170" s="1040">
        <f t="shared" si="335"/>
        <v>0</v>
      </c>
      <c r="AI170" s="1038">
        <v>0</v>
      </c>
      <c r="AJ170" s="1039">
        <v>0</v>
      </c>
      <c r="AK170" s="1039">
        <v>0</v>
      </c>
      <c r="AL170" s="1039">
        <v>0</v>
      </c>
      <c r="AM170" s="1041">
        <v>0</v>
      </c>
      <c r="AN170" s="1041">
        <v>0</v>
      </c>
      <c r="AO170" s="1040">
        <f t="shared" si="336"/>
        <v>0</v>
      </c>
      <c r="AP170" s="1038">
        <v>0</v>
      </c>
      <c r="AQ170" s="1040">
        <f t="shared" si="337"/>
        <v>0</v>
      </c>
      <c r="AR170" s="1038">
        <v>0</v>
      </c>
      <c r="AS170" s="1039">
        <v>0</v>
      </c>
      <c r="AT170" s="1408">
        <v>0</v>
      </c>
      <c r="AU170" s="1040">
        <f t="shared" si="338"/>
        <v>0</v>
      </c>
      <c r="AV170" s="1038">
        <v>0</v>
      </c>
      <c r="AW170" s="1039">
        <v>0</v>
      </c>
      <c r="AX170" s="1040">
        <f t="shared" si="339"/>
        <v>0</v>
      </c>
      <c r="AY170" s="1038">
        <v>0</v>
      </c>
      <c r="AZ170" s="1040">
        <f t="shared" si="340"/>
        <v>0</v>
      </c>
      <c r="BA170" s="1038">
        <v>0</v>
      </c>
      <c r="BB170" s="1039">
        <v>0</v>
      </c>
      <c r="BC170" s="1040">
        <f t="shared" si="341"/>
        <v>0</v>
      </c>
      <c r="BD170" s="1042">
        <f t="shared" si="342"/>
        <v>0</v>
      </c>
      <c r="BE170" s="1052"/>
      <c r="BF170" s="1053"/>
      <c r="BG170" s="1048">
        <f t="shared" si="322"/>
        <v>0</v>
      </c>
      <c r="BH170" s="1052"/>
      <c r="BI170" s="1053"/>
      <c r="BJ170" s="1053"/>
      <c r="BK170" s="1053"/>
      <c r="BL170" s="1048">
        <f t="shared" si="343"/>
        <v>0</v>
      </c>
      <c r="BM170" s="1052"/>
      <c r="BN170" s="1053"/>
      <c r="BO170" s="1048">
        <f t="shared" si="344"/>
        <v>0</v>
      </c>
      <c r="BP170" s="1049"/>
      <c r="BQ170" s="1050"/>
      <c r="BR170" s="1050"/>
      <c r="BS170" s="1050"/>
      <c r="BT170" s="1053"/>
      <c r="BU170" s="1048">
        <f t="shared" si="345"/>
        <v>0</v>
      </c>
      <c r="BV170" s="1049"/>
      <c r="BW170" s="1050"/>
      <c r="BX170" s="1050"/>
      <c r="BY170" s="1050"/>
      <c r="BZ170" s="1050"/>
      <c r="CA170" s="1050"/>
      <c r="CB170" s="1053"/>
      <c r="CC170" s="1048">
        <f t="shared" si="346"/>
        <v>0</v>
      </c>
      <c r="CD170" s="1052"/>
      <c r="CE170" s="1053"/>
      <c r="CF170" s="1053"/>
      <c r="CG170" s="1053"/>
      <c r="CH170" s="1048">
        <f t="shared" si="347"/>
        <v>0</v>
      </c>
      <c r="CI170" s="1052"/>
      <c r="CJ170" s="1053"/>
      <c r="CK170" s="1053"/>
      <c r="CL170" s="1053"/>
      <c r="CM170" s="1053"/>
      <c r="CN170" s="1053"/>
      <c r="CO170" s="1051">
        <f t="shared" si="348"/>
        <v>0</v>
      </c>
      <c r="CP170" s="1052"/>
      <c r="CQ170" s="1053"/>
      <c r="CR170" s="1048">
        <f t="shared" si="349"/>
        <v>0</v>
      </c>
      <c r="CS170" s="1052"/>
      <c r="CT170" s="1053"/>
      <c r="CU170" s="1053"/>
      <c r="CV170" s="1053"/>
      <c r="CW170" s="1048">
        <f t="shared" si="350"/>
        <v>0</v>
      </c>
      <c r="CX170" s="1052"/>
      <c r="CY170" s="1048">
        <f t="shared" si="351"/>
        <v>0</v>
      </c>
      <c r="CZ170" s="1103">
        <f t="shared" si="352"/>
        <v>0</v>
      </c>
      <c r="DA170" s="1104">
        <f t="shared" si="353"/>
        <v>0</v>
      </c>
      <c r="DI170" s="1042">
        <f t="shared" si="354"/>
        <v>0</v>
      </c>
    </row>
    <row r="171" spans="1:113" s="1055" customFormat="1">
      <c r="A171" s="955" t="s">
        <v>986</v>
      </c>
      <c r="B171" s="1102" t="s">
        <v>987</v>
      </c>
      <c r="C171" s="1030" t="s">
        <v>78</v>
      </c>
      <c r="D171" s="1035"/>
      <c r="E171" s="1032">
        <f t="shared" si="321"/>
        <v>0</v>
      </c>
      <c r="F171" s="1035">
        <v>0</v>
      </c>
      <c r="G171" s="1036">
        <v>0</v>
      </c>
      <c r="H171" s="1032">
        <f t="shared" si="325"/>
        <v>0</v>
      </c>
      <c r="I171" s="1035">
        <v>0</v>
      </c>
      <c r="J171" s="1032">
        <f t="shared" si="326"/>
        <v>0</v>
      </c>
      <c r="K171" s="1035">
        <v>0</v>
      </c>
      <c r="L171" s="1074">
        <v>0</v>
      </c>
      <c r="M171" s="1032">
        <f t="shared" si="327"/>
        <v>0</v>
      </c>
      <c r="N171" s="1035">
        <v>0</v>
      </c>
      <c r="O171" s="1036">
        <v>0</v>
      </c>
      <c r="P171" s="1032">
        <f t="shared" si="328"/>
        <v>0</v>
      </c>
      <c r="Q171" s="1035">
        <v>0</v>
      </c>
      <c r="R171" s="1036">
        <v>0</v>
      </c>
      <c r="S171" s="1032">
        <f t="shared" si="329"/>
        <v>0</v>
      </c>
      <c r="T171" s="1035">
        <v>0</v>
      </c>
      <c r="U171" s="1036">
        <v>0</v>
      </c>
      <c r="V171" s="1032">
        <f t="shared" si="330"/>
        <v>0</v>
      </c>
      <c r="W171" s="1037">
        <f t="shared" si="331"/>
        <v>0</v>
      </c>
      <c r="X171" s="1038">
        <v>0</v>
      </c>
      <c r="Y171" s="1039">
        <v>0</v>
      </c>
      <c r="Z171" s="1408">
        <v>0</v>
      </c>
      <c r="AA171" s="1040">
        <f t="shared" si="332"/>
        <v>0</v>
      </c>
      <c r="AB171" s="1038">
        <v>0</v>
      </c>
      <c r="AC171" s="1039">
        <v>0</v>
      </c>
      <c r="AD171" s="1040">
        <f t="shared" si="333"/>
        <v>0</v>
      </c>
      <c r="AE171" s="1038">
        <v>0</v>
      </c>
      <c r="AF171" s="1040">
        <f t="shared" si="334"/>
        <v>0</v>
      </c>
      <c r="AG171" s="1038">
        <v>0</v>
      </c>
      <c r="AH171" s="1040">
        <f t="shared" si="335"/>
        <v>0</v>
      </c>
      <c r="AI171" s="1038">
        <v>0</v>
      </c>
      <c r="AJ171" s="1039">
        <v>0</v>
      </c>
      <c r="AK171" s="1039">
        <v>0</v>
      </c>
      <c r="AL171" s="1039">
        <v>0</v>
      </c>
      <c r="AM171" s="1041">
        <v>0</v>
      </c>
      <c r="AN171" s="1041">
        <v>0</v>
      </c>
      <c r="AO171" s="1040">
        <f t="shared" si="336"/>
        <v>0</v>
      </c>
      <c r="AP171" s="1038">
        <v>0</v>
      </c>
      <c r="AQ171" s="1040">
        <f t="shared" si="337"/>
        <v>0</v>
      </c>
      <c r="AR171" s="1038">
        <v>0</v>
      </c>
      <c r="AS171" s="1039">
        <v>0</v>
      </c>
      <c r="AT171" s="1408">
        <v>0</v>
      </c>
      <c r="AU171" s="1040">
        <f t="shared" si="338"/>
        <v>0</v>
      </c>
      <c r="AV171" s="1038">
        <v>0</v>
      </c>
      <c r="AW171" s="1039">
        <v>0</v>
      </c>
      <c r="AX171" s="1040">
        <f t="shared" si="339"/>
        <v>0</v>
      </c>
      <c r="AY171" s="1038">
        <v>0</v>
      </c>
      <c r="AZ171" s="1040">
        <f t="shared" si="340"/>
        <v>0</v>
      </c>
      <c r="BA171" s="1038">
        <v>0</v>
      </c>
      <c r="BB171" s="1039">
        <v>0</v>
      </c>
      <c r="BC171" s="1040">
        <f t="shared" si="341"/>
        <v>0</v>
      </c>
      <c r="BD171" s="1042">
        <f t="shared" si="342"/>
        <v>0</v>
      </c>
      <c r="BE171" s="1052"/>
      <c r="BF171" s="1053"/>
      <c r="BG171" s="1048">
        <f t="shared" si="322"/>
        <v>0</v>
      </c>
      <c r="BH171" s="1052"/>
      <c r="BI171" s="1053"/>
      <c r="BJ171" s="1053"/>
      <c r="BK171" s="1053"/>
      <c r="BL171" s="1048">
        <f t="shared" si="343"/>
        <v>0</v>
      </c>
      <c r="BM171" s="1052"/>
      <c r="BN171" s="1053"/>
      <c r="BO171" s="1048">
        <f t="shared" si="344"/>
        <v>0</v>
      </c>
      <c r="BP171" s="1049"/>
      <c r="BQ171" s="1050"/>
      <c r="BR171" s="1050"/>
      <c r="BS171" s="1050"/>
      <c r="BT171" s="1053"/>
      <c r="BU171" s="1048">
        <f t="shared" si="345"/>
        <v>0</v>
      </c>
      <c r="BV171" s="1049"/>
      <c r="BW171" s="1050"/>
      <c r="BX171" s="1050"/>
      <c r="BY171" s="1050"/>
      <c r="BZ171" s="1050"/>
      <c r="CA171" s="1050"/>
      <c r="CB171" s="1053"/>
      <c r="CC171" s="1048">
        <f t="shared" si="346"/>
        <v>0</v>
      </c>
      <c r="CD171" s="1052"/>
      <c r="CE171" s="1053"/>
      <c r="CF171" s="1053"/>
      <c r="CG171" s="1053"/>
      <c r="CH171" s="1048">
        <f t="shared" si="347"/>
        <v>0</v>
      </c>
      <c r="CI171" s="1052"/>
      <c r="CJ171" s="1053"/>
      <c r="CK171" s="1053"/>
      <c r="CL171" s="1053"/>
      <c r="CM171" s="1053"/>
      <c r="CN171" s="1053"/>
      <c r="CO171" s="1051">
        <f t="shared" si="348"/>
        <v>0</v>
      </c>
      <c r="CP171" s="1052"/>
      <c r="CQ171" s="1053"/>
      <c r="CR171" s="1048">
        <f t="shared" si="349"/>
        <v>0</v>
      </c>
      <c r="CS171" s="1052"/>
      <c r="CT171" s="1053"/>
      <c r="CU171" s="1053"/>
      <c r="CV171" s="1053"/>
      <c r="CW171" s="1048">
        <f t="shared" si="350"/>
        <v>0</v>
      </c>
      <c r="CX171" s="1052"/>
      <c r="CY171" s="1048">
        <f t="shared" si="351"/>
        <v>0</v>
      </c>
      <c r="CZ171" s="1103">
        <f t="shared" si="352"/>
        <v>0</v>
      </c>
      <c r="DA171" s="1104">
        <f t="shared" si="353"/>
        <v>0</v>
      </c>
      <c r="DI171" s="1042">
        <f t="shared" si="354"/>
        <v>0</v>
      </c>
    </row>
    <row r="172" spans="1:113" s="1055" customFormat="1">
      <c r="A172" s="955" t="s">
        <v>988</v>
      </c>
      <c r="B172" s="1102" t="s">
        <v>989</v>
      </c>
      <c r="C172" s="1030" t="s">
        <v>11</v>
      </c>
      <c r="D172" s="1035"/>
      <c r="E172" s="1032">
        <f t="shared" si="321"/>
        <v>0</v>
      </c>
      <c r="F172" s="1035">
        <v>0</v>
      </c>
      <c r="G172" s="1036">
        <v>0</v>
      </c>
      <c r="H172" s="1032">
        <f t="shared" si="325"/>
        <v>0</v>
      </c>
      <c r="I172" s="1035">
        <v>46.4</v>
      </c>
      <c r="J172" s="1032">
        <f t="shared" si="326"/>
        <v>46.4</v>
      </c>
      <c r="K172" s="1035">
        <v>0</v>
      </c>
      <c r="L172" s="1074">
        <v>0</v>
      </c>
      <c r="M172" s="1032">
        <f t="shared" si="327"/>
        <v>0</v>
      </c>
      <c r="N172" s="1035">
        <v>0</v>
      </c>
      <c r="O172" s="1036">
        <v>0</v>
      </c>
      <c r="P172" s="1032">
        <f t="shared" si="328"/>
        <v>0</v>
      </c>
      <c r="Q172" s="1035">
        <v>0</v>
      </c>
      <c r="R172" s="1036">
        <v>0</v>
      </c>
      <c r="S172" s="1032">
        <f t="shared" si="329"/>
        <v>0</v>
      </c>
      <c r="T172" s="1035">
        <v>0</v>
      </c>
      <c r="U172" s="1036">
        <v>0</v>
      </c>
      <c r="V172" s="1032">
        <f t="shared" si="330"/>
        <v>0</v>
      </c>
      <c r="W172" s="1037">
        <f t="shared" si="331"/>
        <v>46.4</v>
      </c>
      <c r="X172" s="1038">
        <v>0</v>
      </c>
      <c r="Y172" s="1039">
        <v>0</v>
      </c>
      <c r="Z172" s="1408">
        <v>0</v>
      </c>
      <c r="AA172" s="1040">
        <f t="shared" si="332"/>
        <v>0</v>
      </c>
      <c r="AB172" s="1038">
        <v>0</v>
      </c>
      <c r="AC172" s="1039">
        <v>0</v>
      </c>
      <c r="AD172" s="1040">
        <f t="shared" si="333"/>
        <v>0</v>
      </c>
      <c r="AE172" s="1038">
        <v>0</v>
      </c>
      <c r="AF172" s="1040">
        <f t="shared" si="334"/>
        <v>0</v>
      </c>
      <c r="AG172" s="1038">
        <v>0</v>
      </c>
      <c r="AH172" s="1040">
        <f t="shared" si="335"/>
        <v>0</v>
      </c>
      <c r="AI172" s="1038">
        <v>0</v>
      </c>
      <c r="AJ172" s="1039">
        <v>0</v>
      </c>
      <c r="AK172" s="1039">
        <v>0</v>
      </c>
      <c r="AL172" s="1039">
        <v>0</v>
      </c>
      <c r="AM172" s="1041">
        <v>0</v>
      </c>
      <c r="AN172" s="1041">
        <v>0</v>
      </c>
      <c r="AO172" s="1040">
        <f t="shared" si="336"/>
        <v>0</v>
      </c>
      <c r="AP172" s="1038">
        <v>0</v>
      </c>
      <c r="AQ172" s="1040">
        <f t="shared" si="337"/>
        <v>0</v>
      </c>
      <c r="AR172" s="1038">
        <v>0</v>
      </c>
      <c r="AS172" s="1039">
        <v>0</v>
      </c>
      <c r="AT172" s="1408">
        <v>0</v>
      </c>
      <c r="AU172" s="1040">
        <f t="shared" si="338"/>
        <v>0</v>
      </c>
      <c r="AV172" s="1038">
        <v>0</v>
      </c>
      <c r="AW172" s="1039">
        <v>0</v>
      </c>
      <c r="AX172" s="1040">
        <f t="shared" si="339"/>
        <v>0</v>
      </c>
      <c r="AY172" s="1038">
        <v>0</v>
      </c>
      <c r="AZ172" s="1040">
        <f t="shared" si="340"/>
        <v>0</v>
      </c>
      <c r="BA172" s="1038">
        <v>0</v>
      </c>
      <c r="BB172" s="1039">
        <v>0</v>
      </c>
      <c r="BC172" s="1040">
        <f t="shared" si="341"/>
        <v>0</v>
      </c>
      <c r="BD172" s="1042">
        <f t="shared" si="342"/>
        <v>0</v>
      </c>
      <c r="BE172" s="1052"/>
      <c r="BF172" s="1053"/>
      <c r="BG172" s="1048">
        <f t="shared" si="322"/>
        <v>0</v>
      </c>
      <c r="BH172" s="1052"/>
      <c r="BI172" s="1053"/>
      <c r="BJ172" s="1053"/>
      <c r="BK172" s="1053"/>
      <c r="BL172" s="1048">
        <f t="shared" si="343"/>
        <v>0</v>
      </c>
      <c r="BM172" s="1052"/>
      <c r="BN172" s="1053"/>
      <c r="BO172" s="1048">
        <f t="shared" si="344"/>
        <v>0</v>
      </c>
      <c r="BP172" s="1049"/>
      <c r="BQ172" s="1050"/>
      <c r="BR172" s="1050"/>
      <c r="BS172" s="1050"/>
      <c r="BT172" s="1053"/>
      <c r="BU172" s="1048">
        <f t="shared" si="345"/>
        <v>0</v>
      </c>
      <c r="BV172" s="1049"/>
      <c r="BW172" s="1050"/>
      <c r="BX172" s="1050"/>
      <c r="BY172" s="1050"/>
      <c r="BZ172" s="1050"/>
      <c r="CA172" s="1050"/>
      <c r="CB172" s="1053"/>
      <c r="CC172" s="1048">
        <f t="shared" si="346"/>
        <v>0</v>
      </c>
      <c r="CD172" s="1052"/>
      <c r="CE172" s="1053"/>
      <c r="CF172" s="1053"/>
      <c r="CG172" s="1053"/>
      <c r="CH172" s="1048">
        <f t="shared" si="347"/>
        <v>0</v>
      </c>
      <c r="CI172" s="1052"/>
      <c r="CJ172" s="1053"/>
      <c r="CK172" s="1053"/>
      <c r="CL172" s="1053"/>
      <c r="CM172" s="1053"/>
      <c r="CN172" s="1053"/>
      <c r="CO172" s="1051">
        <f t="shared" si="348"/>
        <v>0</v>
      </c>
      <c r="CP172" s="1052"/>
      <c r="CQ172" s="1053"/>
      <c r="CR172" s="1048">
        <f t="shared" si="349"/>
        <v>0</v>
      </c>
      <c r="CS172" s="1052"/>
      <c r="CT172" s="1053"/>
      <c r="CU172" s="1053"/>
      <c r="CV172" s="1053"/>
      <c r="CW172" s="1048">
        <f t="shared" si="350"/>
        <v>0</v>
      </c>
      <c r="CX172" s="1052"/>
      <c r="CY172" s="1048">
        <f t="shared" si="351"/>
        <v>0</v>
      </c>
      <c r="CZ172" s="1103">
        <f t="shared" si="352"/>
        <v>0</v>
      </c>
      <c r="DA172" s="1104">
        <f t="shared" si="353"/>
        <v>46.4</v>
      </c>
      <c r="DI172" s="1042">
        <f t="shared" si="354"/>
        <v>0</v>
      </c>
    </row>
    <row r="173" spans="1:113" s="1055" customFormat="1" ht="30">
      <c r="A173" s="955" t="s">
        <v>990</v>
      </c>
      <c r="B173" s="1102" t="s">
        <v>991</v>
      </c>
      <c r="C173" s="1030" t="s">
        <v>829</v>
      </c>
      <c r="D173" s="1035"/>
      <c r="E173" s="1032">
        <f t="shared" si="321"/>
        <v>0</v>
      </c>
      <c r="F173" s="1035">
        <v>0</v>
      </c>
      <c r="G173" s="1036">
        <v>0</v>
      </c>
      <c r="H173" s="1032">
        <f t="shared" si="325"/>
        <v>0</v>
      </c>
      <c r="I173" s="1035">
        <v>0</v>
      </c>
      <c r="J173" s="1032">
        <f t="shared" si="326"/>
        <v>0</v>
      </c>
      <c r="K173" s="1035">
        <v>0</v>
      </c>
      <c r="L173" s="1074">
        <v>0</v>
      </c>
      <c r="M173" s="1032">
        <f t="shared" si="327"/>
        <v>0</v>
      </c>
      <c r="N173" s="1035">
        <v>0</v>
      </c>
      <c r="O173" s="1036">
        <v>0</v>
      </c>
      <c r="P173" s="1032">
        <f t="shared" si="328"/>
        <v>0</v>
      </c>
      <c r="Q173" s="1035">
        <v>0</v>
      </c>
      <c r="R173" s="1036">
        <v>0</v>
      </c>
      <c r="S173" s="1032">
        <f t="shared" si="329"/>
        <v>0</v>
      </c>
      <c r="T173" s="1035">
        <v>0</v>
      </c>
      <c r="U173" s="1036">
        <v>0</v>
      </c>
      <c r="V173" s="1032">
        <f t="shared" si="330"/>
        <v>0</v>
      </c>
      <c r="W173" s="1037">
        <f t="shared" si="331"/>
        <v>0</v>
      </c>
      <c r="X173" s="1038">
        <v>0</v>
      </c>
      <c r="Y173" s="1039">
        <v>0</v>
      </c>
      <c r="Z173" s="1408">
        <v>0</v>
      </c>
      <c r="AA173" s="1040">
        <f t="shared" si="332"/>
        <v>0</v>
      </c>
      <c r="AB173" s="1038">
        <v>0</v>
      </c>
      <c r="AC173" s="1039">
        <v>0</v>
      </c>
      <c r="AD173" s="1040">
        <f t="shared" si="333"/>
        <v>0</v>
      </c>
      <c r="AE173" s="1038">
        <v>0</v>
      </c>
      <c r="AF173" s="1040">
        <f t="shared" si="334"/>
        <v>0</v>
      </c>
      <c r="AG173" s="1038">
        <v>0</v>
      </c>
      <c r="AH173" s="1040">
        <f t="shared" si="335"/>
        <v>0</v>
      </c>
      <c r="AI173" s="1038">
        <v>0</v>
      </c>
      <c r="AJ173" s="1039">
        <v>0</v>
      </c>
      <c r="AK173" s="1039">
        <v>0</v>
      </c>
      <c r="AL173" s="1039">
        <v>0</v>
      </c>
      <c r="AM173" s="1041">
        <v>0</v>
      </c>
      <c r="AN173" s="1041">
        <v>0</v>
      </c>
      <c r="AO173" s="1040">
        <f t="shared" si="336"/>
        <v>0</v>
      </c>
      <c r="AP173" s="1038">
        <v>0</v>
      </c>
      <c r="AQ173" s="1040">
        <f t="shared" si="337"/>
        <v>0</v>
      </c>
      <c r="AR173" s="1038">
        <v>0</v>
      </c>
      <c r="AS173" s="1039">
        <v>0</v>
      </c>
      <c r="AT173" s="1408">
        <v>0</v>
      </c>
      <c r="AU173" s="1040">
        <f t="shared" si="338"/>
        <v>0</v>
      </c>
      <c r="AV173" s="1038">
        <v>0</v>
      </c>
      <c r="AW173" s="1039">
        <v>0</v>
      </c>
      <c r="AX173" s="1040">
        <f t="shared" si="339"/>
        <v>0</v>
      </c>
      <c r="AY173" s="1038">
        <v>0</v>
      </c>
      <c r="AZ173" s="1040">
        <f t="shared" si="340"/>
        <v>0</v>
      </c>
      <c r="BA173" s="1038">
        <v>0</v>
      </c>
      <c r="BB173" s="1039">
        <v>0</v>
      </c>
      <c r="BC173" s="1040">
        <f t="shared" si="341"/>
        <v>0</v>
      </c>
      <c r="BD173" s="1042">
        <f t="shared" si="342"/>
        <v>0</v>
      </c>
      <c r="BE173" s="1052"/>
      <c r="BF173" s="1053"/>
      <c r="BG173" s="1048">
        <f t="shared" si="322"/>
        <v>0</v>
      </c>
      <c r="BH173" s="1052"/>
      <c r="BI173" s="1053"/>
      <c r="BJ173" s="1053"/>
      <c r="BK173" s="1053"/>
      <c r="BL173" s="1048">
        <f t="shared" si="343"/>
        <v>0</v>
      </c>
      <c r="BM173" s="1052"/>
      <c r="BN173" s="1053"/>
      <c r="BO173" s="1048">
        <f t="shared" si="344"/>
        <v>0</v>
      </c>
      <c r="BP173" s="1049"/>
      <c r="BQ173" s="1050"/>
      <c r="BR173" s="1050"/>
      <c r="BS173" s="1050"/>
      <c r="BT173" s="1053"/>
      <c r="BU173" s="1048">
        <f t="shared" si="345"/>
        <v>0</v>
      </c>
      <c r="BV173" s="1049"/>
      <c r="BW173" s="1050"/>
      <c r="BX173" s="1050"/>
      <c r="BY173" s="1050"/>
      <c r="BZ173" s="1050"/>
      <c r="CA173" s="1050"/>
      <c r="CB173" s="1053"/>
      <c r="CC173" s="1048">
        <f t="shared" si="346"/>
        <v>0</v>
      </c>
      <c r="CD173" s="1052"/>
      <c r="CE173" s="1053"/>
      <c r="CF173" s="1053"/>
      <c r="CG173" s="1053"/>
      <c r="CH173" s="1048">
        <f t="shared" si="347"/>
        <v>0</v>
      </c>
      <c r="CI173" s="1052"/>
      <c r="CJ173" s="1053"/>
      <c r="CK173" s="1053"/>
      <c r="CL173" s="1053"/>
      <c r="CM173" s="1053"/>
      <c r="CN173" s="1053"/>
      <c r="CO173" s="1051">
        <f t="shared" si="348"/>
        <v>0</v>
      </c>
      <c r="CP173" s="1052"/>
      <c r="CQ173" s="1053"/>
      <c r="CR173" s="1048">
        <f t="shared" si="349"/>
        <v>0</v>
      </c>
      <c r="CS173" s="1052"/>
      <c r="CT173" s="1053"/>
      <c r="CU173" s="1053"/>
      <c r="CV173" s="1053"/>
      <c r="CW173" s="1048">
        <f t="shared" si="350"/>
        <v>0</v>
      </c>
      <c r="CX173" s="1052"/>
      <c r="CY173" s="1048">
        <f t="shared" si="351"/>
        <v>0</v>
      </c>
      <c r="CZ173" s="1103">
        <f t="shared" si="352"/>
        <v>0</v>
      </c>
      <c r="DA173" s="1104">
        <f t="shared" si="353"/>
        <v>0</v>
      </c>
      <c r="DI173" s="1042">
        <f t="shared" si="354"/>
        <v>0</v>
      </c>
    </row>
    <row r="174" spans="1:113" s="1055" customFormat="1" ht="30">
      <c r="A174" s="955" t="s">
        <v>992</v>
      </c>
      <c r="B174" s="1102" t="s">
        <v>993</v>
      </c>
      <c r="C174" s="1030" t="s">
        <v>829</v>
      </c>
      <c r="D174" s="1035"/>
      <c r="E174" s="1032">
        <f t="shared" si="321"/>
        <v>0</v>
      </c>
      <c r="F174" s="1035">
        <v>0</v>
      </c>
      <c r="G174" s="1036">
        <v>0</v>
      </c>
      <c r="H174" s="1032">
        <f t="shared" si="325"/>
        <v>0</v>
      </c>
      <c r="I174" s="1035">
        <v>0</v>
      </c>
      <c r="J174" s="1032">
        <f t="shared" si="326"/>
        <v>0</v>
      </c>
      <c r="K174" s="1035">
        <v>0</v>
      </c>
      <c r="L174" s="1074">
        <v>0</v>
      </c>
      <c r="M174" s="1032">
        <f t="shared" si="327"/>
        <v>0</v>
      </c>
      <c r="N174" s="1035">
        <v>0</v>
      </c>
      <c r="O174" s="1036">
        <v>0</v>
      </c>
      <c r="P174" s="1032">
        <f t="shared" si="328"/>
        <v>0</v>
      </c>
      <c r="Q174" s="1035">
        <v>0</v>
      </c>
      <c r="R174" s="1036">
        <v>0</v>
      </c>
      <c r="S174" s="1032">
        <f t="shared" si="329"/>
        <v>0</v>
      </c>
      <c r="T174" s="1035">
        <v>0</v>
      </c>
      <c r="U174" s="1036">
        <v>0</v>
      </c>
      <c r="V174" s="1032">
        <f t="shared" si="330"/>
        <v>0</v>
      </c>
      <c r="W174" s="1037">
        <f t="shared" si="331"/>
        <v>0</v>
      </c>
      <c r="X174" s="1038">
        <v>0</v>
      </c>
      <c r="Y174" s="1039">
        <v>0</v>
      </c>
      <c r="Z174" s="1408">
        <v>0</v>
      </c>
      <c r="AA174" s="1040">
        <f t="shared" si="332"/>
        <v>0</v>
      </c>
      <c r="AB174" s="1038">
        <v>0</v>
      </c>
      <c r="AC174" s="1039">
        <v>0</v>
      </c>
      <c r="AD174" s="1040">
        <f t="shared" si="333"/>
        <v>0</v>
      </c>
      <c r="AE174" s="1038">
        <v>0</v>
      </c>
      <c r="AF174" s="1040">
        <f t="shared" si="334"/>
        <v>0</v>
      </c>
      <c r="AG174" s="1038">
        <v>0</v>
      </c>
      <c r="AH174" s="1040">
        <f t="shared" si="335"/>
        <v>0</v>
      </c>
      <c r="AI174" s="1038">
        <v>0</v>
      </c>
      <c r="AJ174" s="1039">
        <v>0</v>
      </c>
      <c r="AK174" s="1039">
        <v>0</v>
      </c>
      <c r="AL174" s="1039">
        <v>0</v>
      </c>
      <c r="AM174" s="1041">
        <v>0</v>
      </c>
      <c r="AN174" s="1041">
        <v>0</v>
      </c>
      <c r="AO174" s="1040">
        <f t="shared" si="336"/>
        <v>0</v>
      </c>
      <c r="AP174" s="1038">
        <v>0</v>
      </c>
      <c r="AQ174" s="1040">
        <f t="shared" si="337"/>
        <v>0</v>
      </c>
      <c r="AR174" s="1038">
        <v>0</v>
      </c>
      <c r="AS174" s="1039">
        <v>0</v>
      </c>
      <c r="AT174" s="1408">
        <v>0</v>
      </c>
      <c r="AU174" s="1040">
        <f t="shared" si="338"/>
        <v>0</v>
      </c>
      <c r="AV174" s="1038">
        <v>0</v>
      </c>
      <c r="AW174" s="1039">
        <v>0</v>
      </c>
      <c r="AX174" s="1040">
        <f t="shared" si="339"/>
        <v>0</v>
      </c>
      <c r="AY174" s="1038">
        <v>0</v>
      </c>
      <c r="AZ174" s="1040">
        <f t="shared" si="340"/>
        <v>0</v>
      </c>
      <c r="BA174" s="1038">
        <v>0</v>
      </c>
      <c r="BB174" s="1039">
        <v>0</v>
      </c>
      <c r="BC174" s="1040">
        <f t="shared" si="341"/>
        <v>0</v>
      </c>
      <c r="BD174" s="1042">
        <f t="shared" si="342"/>
        <v>0</v>
      </c>
      <c r="BE174" s="1052"/>
      <c r="BF174" s="1053"/>
      <c r="BG174" s="1048">
        <f t="shared" si="322"/>
        <v>0</v>
      </c>
      <c r="BH174" s="1052"/>
      <c r="BI174" s="1053"/>
      <c r="BJ174" s="1053"/>
      <c r="BK174" s="1053"/>
      <c r="BL174" s="1048">
        <f t="shared" si="343"/>
        <v>0</v>
      </c>
      <c r="BM174" s="1052"/>
      <c r="BN174" s="1053"/>
      <c r="BO174" s="1048">
        <f t="shared" si="344"/>
        <v>0</v>
      </c>
      <c r="BP174" s="1049"/>
      <c r="BQ174" s="1050"/>
      <c r="BR174" s="1050"/>
      <c r="BS174" s="1050"/>
      <c r="BT174" s="1053"/>
      <c r="BU174" s="1048">
        <f t="shared" si="345"/>
        <v>0</v>
      </c>
      <c r="BV174" s="1049"/>
      <c r="BW174" s="1050"/>
      <c r="BX174" s="1050"/>
      <c r="BY174" s="1050"/>
      <c r="BZ174" s="1050"/>
      <c r="CA174" s="1050"/>
      <c r="CB174" s="1053"/>
      <c r="CC174" s="1048">
        <f t="shared" si="346"/>
        <v>0</v>
      </c>
      <c r="CD174" s="1052"/>
      <c r="CE174" s="1053"/>
      <c r="CF174" s="1053"/>
      <c r="CG174" s="1053"/>
      <c r="CH174" s="1048">
        <f t="shared" si="347"/>
        <v>0</v>
      </c>
      <c r="CI174" s="1052"/>
      <c r="CJ174" s="1053"/>
      <c r="CK174" s="1053"/>
      <c r="CL174" s="1053"/>
      <c r="CM174" s="1053"/>
      <c r="CN174" s="1053"/>
      <c r="CO174" s="1051">
        <f t="shared" si="348"/>
        <v>0</v>
      </c>
      <c r="CP174" s="1052"/>
      <c r="CQ174" s="1053"/>
      <c r="CR174" s="1048">
        <f t="shared" si="349"/>
        <v>0</v>
      </c>
      <c r="CS174" s="1052"/>
      <c r="CT174" s="1053"/>
      <c r="CU174" s="1053"/>
      <c r="CV174" s="1053"/>
      <c r="CW174" s="1048">
        <f t="shared" si="350"/>
        <v>0</v>
      </c>
      <c r="CX174" s="1052"/>
      <c r="CY174" s="1048">
        <f t="shared" si="351"/>
        <v>0</v>
      </c>
      <c r="CZ174" s="1103">
        <f t="shared" si="352"/>
        <v>0</v>
      </c>
      <c r="DA174" s="1104">
        <f t="shared" si="353"/>
        <v>0</v>
      </c>
      <c r="DI174" s="1042">
        <f t="shared" si="354"/>
        <v>0</v>
      </c>
    </row>
    <row r="175" spans="1:113" s="1055" customFormat="1" ht="45">
      <c r="A175" s="955" t="s">
        <v>98</v>
      </c>
      <c r="B175" s="1102" t="s">
        <v>1410</v>
      </c>
      <c r="C175" s="1030" t="s">
        <v>111</v>
      </c>
      <c r="D175" s="1035"/>
      <c r="E175" s="1032">
        <f t="shared" si="321"/>
        <v>0</v>
      </c>
      <c r="F175" s="1035">
        <v>0</v>
      </c>
      <c r="G175" s="1036">
        <v>0</v>
      </c>
      <c r="H175" s="1032">
        <f t="shared" si="325"/>
        <v>0</v>
      </c>
      <c r="I175" s="1035">
        <v>0</v>
      </c>
      <c r="J175" s="1032">
        <f t="shared" si="326"/>
        <v>0</v>
      </c>
      <c r="K175" s="1035">
        <v>0</v>
      </c>
      <c r="L175" s="1074">
        <v>0</v>
      </c>
      <c r="M175" s="1032">
        <f t="shared" si="327"/>
        <v>0</v>
      </c>
      <c r="N175" s="1035">
        <v>0</v>
      </c>
      <c r="O175" s="1036">
        <v>0</v>
      </c>
      <c r="P175" s="1032">
        <f t="shared" si="328"/>
        <v>0</v>
      </c>
      <c r="Q175" s="1035">
        <v>0</v>
      </c>
      <c r="R175" s="1036">
        <v>0</v>
      </c>
      <c r="S175" s="1032">
        <f t="shared" si="329"/>
        <v>0</v>
      </c>
      <c r="T175" s="1035">
        <v>0</v>
      </c>
      <c r="U175" s="1036">
        <v>0</v>
      </c>
      <c r="V175" s="1032">
        <f t="shared" si="330"/>
        <v>0</v>
      </c>
      <c r="W175" s="1037">
        <f t="shared" si="331"/>
        <v>0</v>
      </c>
      <c r="X175" s="1038">
        <v>0</v>
      </c>
      <c r="Y175" s="1039">
        <v>0</v>
      </c>
      <c r="Z175" s="1408">
        <v>0</v>
      </c>
      <c r="AA175" s="1040">
        <f t="shared" si="332"/>
        <v>0</v>
      </c>
      <c r="AB175" s="1038">
        <v>0</v>
      </c>
      <c r="AC175" s="1039">
        <v>0</v>
      </c>
      <c r="AD175" s="1040">
        <f t="shared" si="333"/>
        <v>0</v>
      </c>
      <c r="AE175" s="1038">
        <v>0</v>
      </c>
      <c r="AF175" s="1040">
        <f t="shared" si="334"/>
        <v>0</v>
      </c>
      <c r="AG175" s="1038">
        <v>0</v>
      </c>
      <c r="AH175" s="1040">
        <f t="shared" si="335"/>
        <v>0</v>
      </c>
      <c r="AI175" s="1038">
        <v>0</v>
      </c>
      <c r="AJ175" s="1039">
        <v>0</v>
      </c>
      <c r="AK175" s="1039">
        <v>0</v>
      </c>
      <c r="AL175" s="1039">
        <v>0</v>
      </c>
      <c r="AM175" s="1041">
        <v>0</v>
      </c>
      <c r="AN175" s="1041">
        <v>0</v>
      </c>
      <c r="AO175" s="1040">
        <f t="shared" si="336"/>
        <v>0</v>
      </c>
      <c r="AP175" s="1038">
        <v>0</v>
      </c>
      <c r="AQ175" s="1040">
        <f t="shared" si="337"/>
        <v>0</v>
      </c>
      <c r="AR175" s="1038">
        <v>0</v>
      </c>
      <c r="AS175" s="1039">
        <v>0</v>
      </c>
      <c r="AT175" s="1408">
        <v>0</v>
      </c>
      <c r="AU175" s="1040">
        <f t="shared" si="338"/>
        <v>0</v>
      </c>
      <c r="AV175" s="1038">
        <v>0</v>
      </c>
      <c r="AW175" s="1039">
        <v>0</v>
      </c>
      <c r="AX175" s="1040">
        <f t="shared" si="339"/>
        <v>0</v>
      </c>
      <c r="AY175" s="1038">
        <v>0</v>
      </c>
      <c r="AZ175" s="1040">
        <f t="shared" si="340"/>
        <v>0</v>
      </c>
      <c r="BA175" s="1038">
        <v>0</v>
      </c>
      <c r="BB175" s="1039">
        <v>0</v>
      </c>
      <c r="BC175" s="1040">
        <f t="shared" si="341"/>
        <v>0</v>
      </c>
      <c r="BD175" s="1042">
        <f t="shared" si="342"/>
        <v>0</v>
      </c>
      <c r="BE175" s="1052"/>
      <c r="BF175" s="1053"/>
      <c r="BG175" s="1048">
        <f t="shared" si="322"/>
        <v>0</v>
      </c>
      <c r="BH175" s="1052"/>
      <c r="BI175" s="1053"/>
      <c r="BJ175" s="1053"/>
      <c r="BK175" s="1053"/>
      <c r="BL175" s="1048">
        <f t="shared" si="343"/>
        <v>0</v>
      </c>
      <c r="BM175" s="1052"/>
      <c r="BN175" s="1053"/>
      <c r="BO175" s="1048">
        <f t="shared" si="344"/>
        <v>0</v>
      </c>
      <c r="BP175" s="1049"/>
      <c r="BQ175" s="1050"/>
      <c r="BR175" s="1050"/>
      <c r="BS175" s="1050"/>
      <c r="BT175" s="1053"/>
      <c r="BU175" s="1048">
        <f t="shared" si="345"/>
        <v>0</v>
      </c>
      <c r="BV175" s="1049"/>
      <c r="BW175" s="1050"/>
      <c r="BX175" s="1050"/>
      <c r="BY175" s="1050"/>
      <c r="BZ175" s="1050"/>
      <c r="CA175" s="1050"/>
      <c r="CB175" s="1053"/>
      <c r="CC175" s="1048">
        <f t="shared" si="346"/>
        <v>0</v>
      </c>
      <c r="CD175" s="1052"/>
      <c r="CE175" s="1053"/>
      <c r="CF175" s="1053"/>
      <c r="CG175" s="1053"/>
      <c r="CH175" s="1048">
        <f t="shared" si="347"/>
        <v>0</v>
      </c>
      <c r="CI175" s="1052"/>
      <c r="CJ175" s="1053"/>
      <c r="CK175" s="1053"/>
      <c r="CL175" s="1053"/>
      <c r="CM175" s="1053"/>
      <c r="CN175" s="1053"/>
      <c r="CO175" s="1051">
        <f t="shared" si="348"/>
        <v>0</v>
      </c>
      <c r="CP175" s="1052"/>
      <c r="CQ175" s="1053"/>
      <c r="CR175" s="1048">
        <f t="shared" si="349"/>
        <v>0</v>
      </c>
      <c r="CS175" s="1052"/>
      <c r="CT175" s="1053"/>
      <c r="CU175" s="1053"/>
      <c r="CV175" s="1053"/>
      <c r="CW175" s="1048">
        <f t="shared" si="350"/>
        <v>0</v>
      </c>
      <c r="CX175" s="1052"/>
      <c r="CY175" s="1048">
        <f t="shared" si="351"/>
        <v>0</v>
      </c>
      <c r="CZ175" s="1103">
        <f t="shared" si="352"/>
        <v>0</v>
      </c>
      <c r="DA175" s="1104">
        <f t="shared" si="353"/>
        <v>0</v>
      </c>
      <c r="DI175" s="1042">
        <f t="shared" si="354"/>
        <v>0</v>
      </c>
    </row>
    <row r="176" spans="1:113" s="1055" customFormat="1">
      <c r="A176" s="955" t="s">
        <v>994</v>
      </c>
      <c r="B176" s="1102" t="s">
        <v>995</v>
      </c>
      <c r="C176" s="1030" t="s">
        <v>829</v>
      </c>
      <c r="D176" s="1035"/>
      <c r="E176" s="1032">
        <f t="shared" si="321"/>
        <v>0</v>
      </c>
      <c r="F176" s="1035">
        <v>0</v>
      </c>
      <c r="G176" s="1036">
        <v>0</v>
      </c>
      <c r="H176" s="1032">
        <f t="shared" si="325"/>
        <v>0</v>
      </c>
      <c r="I176" s="1035">
        <v>0</v>
      </c>
      <c r="J176" s="1032">
        <f t="shared" si="326"/>
        <v>0</v>
      </c>
      <c r="K176" s="1035">
        <v>0</v>
      </c>
      <c r="L176" s="1074">
        <v>0</v>
      </c>
      <c r="M176" s="1032">
        <f t="shared" si="327"/>
        <v>0</v>
      </c>
      <c r="N176" s="1035">
        <v>0</v>
      </c>
      <c r="O176" s="1036">
        <v>0</v>
      </c>
      <c r="P176" s="1032">
        <f t="shared" si="328"/>
        <v>0</v>
      </c>
      <c r="Q176" s="1035">
        <v>0</v>
      </c>
      <c r="R176" s="1036">
        <v>0</v>
      </c>
      <c r="S176" s="1032">
        <f t="shared" si="329"/>
        <v>0</v>
      </c>
      <c r="T176" s="1035">
        <v>0</v>
      </c>
      <c r="U176" s="1036">
        <v>0</v>
      </c>
      <c r="V176" s="1032">
        <f t="shared" si="330"/>
        <v>0</v>
      </c>
      <c r="W176" s="1037">
        <f t="shared" si="331"/>
        <v>0</v>
      </c>
      <c r="X176" s="1038">
        <v>0</v>
      </c>
      <c r="Y176" s="1039">
        <v>0</v>
      </c>
      <c r="Z176" s="1408">
        <v>0</v>
      </c>
      <c r="AA176" s="1040">
        <f t="shared" si="332"/>
        <v>0</v>
      </c>
      <c r="AB176" s="1038">
        <v>0</v>
      </c>
      <c r="AC176" s="1039">
        <v>0</v>
      </c>
      <c r="AD176" s="1040">
        <f t="shared" si="333"/>
        <v>0</v>
      </c>
      <c r="AE176" s="1038">
        <v>0</v>
      </c>
      <c r="AF176" s="1040">
        <f t="shared" si="334"/>
        <v>0</v>
      </c>
      <c r="AG176" s="1038">
        <v>0</v>
      </c>
      <c r="AH176" s="1040">
        <f t="shared" si="335"/>
        <v>0</v>
      </c>
      <c r="AI176" s="1038">
        <v>0</v>
      </c>
      <c r="AJ176" s="1039">
        <v>0</v>
      </c>
      <c r="AK176" s="1039">
        <v>0</v>
      </c>
      <c r="AL176" s="1039">
        <v>0</v>
      </c>
      <c r="AM176" s="1041">
        <v>0</v>
      </c>
      <c r="AN176" s="1041">
        <v>0</v>
      </c>
      <c r="AO176" s="1040">
        <f t="shared" si="336"/>
        <v>0</v>
      </c>
      <c r="AP176" s="1038">
        <v>0</v>
      </c>
      <c r="AQ176" s="1040">
        <f t="shared" si="337"/>
        <v>0</v>
      </c>
      <c r="AR176" s="1038">
        <v>0</v>
      </c>
      <c r="AS176" s="1039">
        <v>0</v>
      </c>
      <c r="AT176" s="1408">
        <v>0</v>
      </c>
      <c r="AU176" s="1040">
        <f t="shared" si="338"/>
        <v>0</v>
      </c>
      <c r="AV176" s="1038">
        <v>0</v>
      </c>
      <c r="AW176" s="1039">
        <v>0</v>
      </c>
      <c r="AX176" s="1040">
        <f t="shared" si="339"/>
        <v>0</v>
      </c>
      <c r="AY176" s="1038">
        <v>0</v>
      </c>
      <c r="AZ176" s="1040">
        <f t="shared" si="340"/>
        <v>0</v>
      </c>
      <c r="BA176" s="1038">
        <v>0</v>
      </c>
      <c r="BB176" s="1039">
        <v>0</v>
      </c>
      <c r="BC176" s="1040">
        <f t="shared" si="341"/>
        <v>0</v>
      </c>
      <c r="BD176" s="1042">
        <f t="shared" si="342"/>
        <v>0</v>
      </c>
      <c r="BE176" s="1052"/>
      <c r="BF176" s="1053"/>
      <c r="BG176" s="1048">
        <f t="shared" si="322"/>
        <v>0</v>
      </c>
      <c r="BH176" s="1052"/>
      <c r="BI176" s="1053"/>
      <c r="BJ176" s="1053"/>
      <c r="BK176" s="1053"/>
      <c r="BL176" s="1048">
        <f t="shared" si="343"/>
        <v>0</v>
      </c>
      <c r="BM176" s="1052"/>
      <c r="BN176" s="1053"/>
      <c r="BO176" s="1048">
        <f t="shared" si="344"/>
        <v>0</v>
      </c>
      <c r="BP176" s="1049"/>
      <c r="BQ176" s="1050"/>
      <c r="BR176" s="1050"/>
      <c r="BS176" s="1050"/>
      <c r="BT176" s="1053"/>
      <c r="BU176" s="1048">
        <f t="shared" si="345"/>
        <v>0</v>
      </c>
      <c r="BV176" s="1049"/>
      <c r="BW176" s="1050"/>
      <c r="BX176" s="1050"/>
      <c r="BY176" s="1050"/>
      <c r="BZ176" s="1050"/>
      <c r="CA176" s="1050"/>
      <c r="CB176" s="1053"/>
      <c r="CC176" s="1048">
        <f t="shared" si="346"/>
        <v>0</v>
      </c>
      <c r="CD176" s="1052"/>
      <c r="CE176" s="1053"/>
      <c r="CF176" s="1053"/>
      <c r="CG176" s="1053"/>
      <c r="CH176" s="1048">
        <f t="shared" si="347"/>
        <v>0</v>
      </c>
      <c r="CI176" s="1052"/>
      <c r="CJ176" s="1053"/>
      <c r="CK176" s="1053">
        <v>47.7</v>
      </c>
      <c r="CL176" s="1053"/>
      <c r="CM176" s="1053"/>
      <c r="CN176" s="1053"/>
      <c r="CO176" s="1051">
        <f t="shared" si="348"/>
        <v>47.7</v>
      </c>
      <c r="CP176" s="1052">
        <v>48.6</v>
      </c>
      <c r="CQ176" s="1053"/>
      <c r="CR176" s="1048">
        <f t="shared" si="349"/>
        <v>48.6</v>
      </c>
      <c r="CS176" s="1052"/>
      <c r="CT176" s="1053"/>
      <c r="CU176" s="1053"/>
      <c r="CV176" s="1053"/>
      <c r="CW176" s="1048">
        <f t="shared" si="350"/>
        <v>0</v>
      </c>
      <c r="CX176" s="1052"/>
      <c r="CY176" s="1048">
        <f t="shared" si="351"/>
        <v>0</v>
      </c>
      <c r="CZ176" s="1103">
        <f t="shared" si="352"/>
        <v>96.300000000000011</v>
      </c>
      <c r="DA176" s="1104">
        <f t="shared" si="353"/>
        <v>96.300000000000011</v>
      </c>
      <c r="DI176" s="1042">
        <f t="shared" si="354"/>
        <v>0</v>
      </c>
    </row>
    <row r="177" spans="1:113" s="1055" customFormat="1">
      <c r="A177" s="955" t="s">
        <v>102</v>
      </c>
      <c r="B177" s="1102" t="s">
        <v>996</v>
      </c>
      <c r="C177" s="1030" t="s">
        <v>11</v>
      </c>
      <c r="D177" s="1035"/>
      <c r="E177" s="1032">
        <f t="shared" si="321"/>
        <v>0</v>
      </c>
      <c r="F177" s="1035">
        <v>0</v>
      </c>
      <c r="G177" s="1036">
        <v>0</v>
      </c>
      <c r="H177" s="1032">
        <f t="shared" si="325"/>
        <v>0</v>
      </c>
      <c r="I177" s="1035">
        <v>0</v>
      </c>
      <c r="J177" s="1032">
        <f t="shared" si="326"/>
        <v>0</v>
      </c>
      <c r="K177" s="1035">
        <v>0</v>
      </c>
      <c r="L177" s="1074">
        <v>0</v>
      </c>
      <c r="M177" s="1032">
        <f t="shared" si="327"/>
        <v>0</v>
      </c>
      <c r="N177" s="1035">
        <v>0</v>
      </c>
      <c r="O177" s="1036">
        <v>0</v>
      </c>
      <c r="P177" s="1032">
        <f t="shared" si="328"/>
        <v>0</v>
      </c>
      <c r="Q177" s="1035">
        <v>0</v>
      </c>
      <c r="R177" s="1036">
        <v>0</v>
      </c>
      <c r="S177" s="1032">
        <f t="shared" si="329"/>
        <v>0</v>
      </c>
      <c r="T177" s="1035">
        <v>0</v>
      </c>
      <c r="U177" s="1036">
        <v>0</v>
      </c>
      <c r="V177" s="1032">
        <f t="shared" si="330"/>
        <v>0</v>
      </c>
      <c r="W177" s="1037">
        <f t="shared" si="331"/>
        <v>0</v>
      </c>
      <c r="X177" s="1038">
        <v>0</v>
      </c>
      <c r="Y177" s="1039">
        <v>0</v>
      </c>
      <c r="Z177" s="1408">
        <v>0</v>
      </c>
      <c r="AA177" s="1040">
        <f t="shared" si="332"/>
        <v>0</v>
      </c>
      <c r="AB177" s="1038">
        <v>0</v>
      </c>
      <c r="AC177" s="1039">
        <v>0</v>
      </c>
      <c r="AD177" s="1040">
        <f t="shared" si="333"/>
        <v>0</v>
      </c>
      <c r="AE177" s="1038">
        <v>0</v>
      </c>
      <c r="AF177" s="1040">
        <f t="shared" si="334"/>
        <v>0</v>
      </c>
      <c r="AG177" s="1038">
        <v>0</v>
      </c>
      <c r="AH177" s="1040">
        <f t="shared" si="335"/>
        <v>0</v>
      </c>
      <c r="AI177" s="1038">
        <v>0</v>
      </c>
      <c r="AJ177" s="1039">
        <v>0</v>
      </c>
      <c r="AK177" s="1039">
        <v>0</v>
      </c>
      <c r="AL177" s="1039">
        <v>0</v>
      </c>
      <c r="AM177" s="1041">
        <v>0</v>
      </c>
      <c r="AN177" s="1041">
        <v>0</v>
      </c>
      <c r="AO177" s="1040">
        <f t="shared" si="336"/>
        <v>0</v>
      </c>
      <c r="AP177" s="1038">
        <v>0</v>
      </c>
      <c r="AQ177" s="1040">
        <f t="shared" si="337"/>
        <v>0</v>
      </c>
      <c r="AR177" s="1038">
        <v>0</v>
      </c>
      <c r="AS177" s="1039">
        <v>0</v>
      </c>
      <c r="AT177" s="1408">
        <v>0</v>
      </c>
      <c r="AU177" s="1040">
        <f t="shared" si="338"/>
        <v>0</v>
      </c>
      <c r="AV177" s="1038">
        <v>0</v>
      </c>
      <c r="AW177" s="1039">
        <v>0</v>
      </c>
      <c r="AX177" s="1040">
        <f t="shared" si="339"/>
        <v>0</v>
      </c>
      <c r="AY177" s="1038">
        <v>0</v>
      </c>
      <c r="AZ177" s="1040">
        <f t="shared" si="340"/>
        <v>0</v>
      </c>
      <c r="BA177" s="1038">
        <v>0</v>
      </c>
      <c r="BB177" s="1039">
        <v>0</v>
      </c>
      <c r="BC177" s="1040">
        <f t="shared" si="341"/>
        <v>0</v>
      </c>
      <c r="BD177" s="1042">
        <f t="shared" si="342"/>
        <v>0</v>
      </c>
      <c r="BE177" s="1052"/>
      <c r="BF177" s="1053"/>
      <c r="BG177" s="1048">
        <f t="shared" si="322"/>
        <v>0</v>
      </c>
      <c r="BH177" s="1052"/>
      <c r="BI177" s="1053"/>
      <c r="BJ177" s="1053"/>
      <c r="BK177" s="1053"/>
      <c r="BL177" s="1048">
        <f t="shared" si="343"/>
        <v>0</v>
      </c>
      <c r="BM177" s="1052"/>
      <c r="BN177" s="1053"/>
      <c r="BO177" s="1048">
        <f t="shared" si="344"/>
        <v>0</v>
      </c>
      <c r="BP177" s="1049"/>
      <c r="BQ177" s="1050"/>
      <c r="BR177" s="1050"/>
      <c r="BS177" s="1050"/>
      <c r="BT177" s="1053"/>
      <c r="BU177" s="1048">
        <f t="shared" si="345"/>
        <v>0</v>
      </c>
      <c r="BV177" s="1049"/>
      <c r="BW177" s="1050"/>
      <c r="BX177" s="1050"/>
      <c r="BY177" s="1050"/>
      <c r="BZ177" s="1050"/>
      <c r="CA177" s="1050"/>
      <c r="CB177" s="1053"/>
      <c r="CC177" s="1048">
        <f t="shared" si="346"/>
        <v>0</v>
      </c>
      <c r="CD177" s="1052"/>
      <c r="CE177" s="1053"/>
      <c r="CF177" s="1053"/>
      <c r="CG177" s="1053"/>
      <c r="CH177" s="1048">
        <f t="shared" si="347"/>
        <v>0</v>
      </c>
      <c r="CI177" s="1052"/>
      <c r="CJ177" s="1053"/>
      <c r="CK177" s="1053"/>
      <c r="CL177" s="1053"/>
      <c r="CM177" s="1053"/>
      <c r="CN177" s="1053"/>
      <c r="CO177" s="1051">
        <f t="shared" si="348"/>
        <v>0</v>
      </c>
      <c r="CP177" s="1052"/>
      <c r="CQ177" s="1053"/>
      <c r="CR177" s="1048">
        <f t="shared" si="349"/>
        <v>0</v>
      </c>
      <c r="CS177" s="1052"/>
      <c r="CT177" s="1053"/>
      <c r="CU177" s="1053"/>
      <c r="CV177" s="1053"/>
      <c r="CW177" s="1048">
        <f t="shared" si="350"/>
        <v>0</v>
      </c>
      <c r="CX177" s="1052"/>
      <c r="CY177" s="1048">
        <f t="shared" si="351"/>
        <v>0</v>
      </c>
      <c r="CZ177" s="1103">
        <f t="shared" si="352"/>
        <v>0</v>
      </c>
      <c r="DA177" s="1104">
        <f t="shared" si="353"/>
        <v>0</v>
      </c>
      <c r="DI177" s="1042">
        <f t="shared" si="354"/>
        <v>0</v>
      </c>
    </row>
    <row r="178" spans="1:113" s="1055" customFormat="1">
      <c r="A178" s="955" t="s">
        <v>225</v>
      </c>
      <c r="B178" s="1102" t="s">
        <v>997</v>
      </c>
      <c r="C178" s="1030" t="s">
        <v>843</v>
      </c>
      <c r="D178" s="1035"/>
      <c r="E178" s="1032">
        <f t="shared" si="321"/>
        <v>0</v>
      </c>
      <c r="F178" s="1035">
        <v>0</v>
      </c>
      <c r="G178" s="1036">
        <v>0</v>
      </c>
      <c r="H178" s="1032">
        <f t="shared" si="325"/>
        <v>0</v>
      </c>
      <c r="I178" s="1035">
        <v>0</v>
      </c>
      <c r="J178" s="1032">
        <f t="shared" si="326"/>
        <v>0</v>
      </c>
      <c r="K178" s="1035">
        <v>0</v>
      </c>
      <c r="L178" s="1074">
        <v>0</v>
      </c>
      <c r="M178" s="1032">
        <f t="shared" si="327"/>
        <v>0</v>
      </c>
      <c r="N178" s="1035">
        <v>0</v>
      </c>
      <c r="O178" s="1036">
        <v>0</v>
      </c>
      <c r="P178" s="1032">
        <f t="shared" si="328"/>
        <v>0</v>
      </c>
      <c r="Q178" s="1035">
        <v>0</v>
      </c>
      <c r="R178" s="1036">
        <v>0</v>
      </c>
      <c r="S178" s="1032">
        <f t="shared" si="329"/>
        <v>0</v>
      </c>
      <c r="T178" s="1035">
        <v>0</v>
      </c>
      <c r="U178" s="1036">
        <v>0</v>
      </c>
      <c r="V178" s="1032">
        <f t="shared" si="330"/>
        <v>0</v>
      </c>
      <c r="W178" s="1037">
        <f t="shared" si="331"/>
        <v>0</v>
      </c>
      <c r="X178" s="1038">
        <v>0</v>
      </c>
      <c r="Y178" s="1039">
        <v>0</v>
      </c>
      <c r="Z178" s="1408">
        <v>0</v>
      </c>
      <c r="AA178" s="1040">
        <f t="shared" si="332"/>
        <v>0</v>
      </c>
      <c r="AB178" s="1038">
        <v>0</v>
      </c>
      <c r="AC178" s="1039">
        <v>0</v>
      </c>
      <c r="AD178" s="1040">
        <f t="shared" si="333"/>
        <v>0</v>
      </c>
      <c r="AE178" s="1038">
        <v>0</v>
      </c>
      <c r="AF178" s="1040">
        <f t="shared" si="334"/>
        <v>0</v>
      </c>
      <c r="AG178" s="1038">
        <v>0</v>
      </c>
      <c r="AH178" s="1040">
        <f t="shared" si="335"/>
        <v>0</v>
      </c>
      <c r="AI178" s="1038">
        <v>0</v>
      </c>
      <c r="AJ178" s="1039">
        <v>0</v>
      </c>
      <c r="AK178" s="1039">
        <v>0</v>
      </c>
      <c r="AL178" s="1039">
        <v>0</v>
      </c>
      <c r="AM178" s="1041">
        <v>0</v>
      </c>
      <c r="AN178" s="1041">
        <v>0</v>
      </c>
      <c r="AO178" s="1040">
        <f t="shared" si="336"/>
        <v>0</v>
      </c>
      <c r="AP178" s="1038">
        <v>0</v>
      </c>
      <c r="AQ178" s="1040">
        <f t="shared" si="337"/>
        <v>0</v>
      </c>
      <c r="AR178" s="1038">
        <v>0</v>
      </c>
      <c r="AS178" s="1039">
        <v>0</v>
      </c>
      <c r="AT178" s="1408">
        <v>0</v>
      </c>
      <c r="AU178" s="1040">
        <f t="shared" si="338"/>
        <v>0</v>
      </c>
      <c r="AV178" s="1038">
        <v>0</v>
      </c>
      <c r="AW178" s="1039">
        <v>0</v>
      </c>
      <c r="AX178" s="1040">
        <f t="shared" si="339"/>
        <v>0</v>
      </c>
      <c r="AY178" s="1038">
        <v>0</v>
      </c>
      <c r="AZ178" s="1040">
        <f t="shared" si="340"/>
        <v>0</v>
      </c>
      <c r="BA178" s="1038">
        <v>0</v>
      </c>
      <c r="BB178" s="1039">
        <v>0</v>
      </c>
      <c r="BC178" s="1040">
        <f t="shared" si="341"/>
        <v>0</v>
      </c>
      <c r="BD178" s="1042">
        <f t="shared" si="342"/>
        <v>0</v>
      </c>
      <c r="BE178" s="1052"/>
      <c r="BF178" s="1053"/>
      <c r="BG178" s="1048">
        <f t="shared" si="322"/>
        <v>0</v>
      </c>
      <c r="BH178" s="1052"/>
      <c r="BI178" s="1053"/>
      <c r="BJ178" s="1053"/>
      <c r="BK178" s="1053"/>
      <c r="BL178" s="1048">
        <f t="shared" si="343"/>
        <v>0</v>
      </c>
      <c r="BM178" s="1052"/>
      <c r="BN178" s="1053"/>
      <c r="BO178" s="1048">
        <f t="shared" si="344"/>
        <v>0</v>
      </c>
      <c r="BP178" s="1049"/>
      <c r="BQ178" s="1050"/>
      <c r="BR178" s="1050"/>
      <c r="BS178" s="1050"/>
      <c r="BT178" s="1053"/>
      <c r="BU178" s="1048">
        <f t="shared" si="345"/>
        <v>0</v>
      </c>
      <c r="BV178" s="1049"/>
      <c r="BW178" s="1050"/>
      <c r="BX178" s="1050"/>
      <c r="BY178" s="1050"/>
      <c r="BZ178" s="1050"/>
      <c r="CA178" s="1050"/>
      <c r="CB178" s="1053"/>
      <c r="CC178" s="1048">
        <f t="shared" si="346"/>
        <v>0</v>
      </c>
      <c r="CD178" s="1052"/>
      <c r="CE178" s="1053"/>
      <c r="CF178" s="1053"/>
      <c r="CG178" s="1053"/>
      <c r="CH178" s="1048">
        <f t="shared" si="347"/>
        <v>0</v>
      </c>
      <c r="CI178" s="1052"/>
      <c r="CJ178" s="1053"/>
      <c r="CK178" s="1053"/>
      <c r="CL178" s="1053"/>
      <c r="CM178" s="1053"/>
      <c r="CN178" s="1053"/>
      <c r="CO178" s="1051">
        <f t="shared" si="348"/>
        <v>0</v>
      </c>
      <c r="CP178" s="1052"/>
      <c r="CQ178" s="1053"/>
      <c r="CR178" s="1048">
        <f t="shared" si="349"/>
        <v>0</v>
      </c>
      <c r="CS178" s="1052"/>
      <c r="CT178" s="1053"/>
      <c r="CU178" s="1053"/>
      <c r="CV178" s="1053"/>
      <c r="CW178" s="1048">
        <f t="shared" si="350"/>
        <v>0</v>
      </c>
      <c r="CX178" s="1052"/>
      <c r="CY178" s="1048">
        <f t="shared" si="351"/>
        <v>0</v>
      </c>
      <c r="CZ178" s="1103">
        <f t="shared" si="352"/>
        <v>0</v>
      </c>
      <c r="DA178" s="1104">
        <f t="shared" si="353"/>
        <v>0</v>
      </c>
      <c r="DI178" s="1042">
        <f t="shared" si="354"/>
        <v>0</v>
      </c>
    </row>
    <row r="179" spans="1:113" s="1055" customFormat="1">
      <c r="A179" s="955" t="s">
        <v>377</v>
      </c>
      <c r="B179" s="1102" t="s">
        <v>998</v>
      </c>
      <c r="C179" s="1030" t="s">
        <v>843</v>
      </c>
      <c r="D179" s="1035"/>
      <c r="E179" s="1032">
        <f t="shared" si="321"/>
        <v>0</v>
      </c>
      <c r="F179" s="1035">
        <v>0</v>
      </c>
      <c r="G179" s="1036">
        <v>0</v>
      </c>
      <c r="H179" s="1032">
        <f t="shared" si="325"/>
        <v>0</v>
      </c>
      <c r="I179" s="1035">
        <v>0</v>
      </c>
      <c r="J179" s="1032">
        <f t="shared" si="326"/>
        <v>0</v>
      </c>
      <c r="K179" s="1035">
        <v>0</v>
      </c>
      <c r="L179" s="1074">
        <v>0</v>
      </c>
      <c r="M179" s="1032">
        <f t="shared" si="327"/>
        <v>0</v>
      </c>
      <c r="N179" s="1035">
        <v>0</v>
      </c>
      <c r="O179" s="1036">
        <v>0</v>
      </c>
      <c r="P179" s="1032">
        <f t="shared" si="328"/>
        <v>0</v>
      </c>
      <c r="Q179" s="1035">
        <v>0</v>
      </c>
      <c r="R179" s="1036">
        <v>0</v>
      </c>
      <c r="S179" s="1032">
        <f t="shared" si="329"/>
        <v>0</v>
      </c>
      <c r="T179" s="1035">
        <v>0</v>
      </c>
      <c r="U179" s="1036">
        <v>0</v>
      </c>
      <c r="V179" s="1032">
        <f t="shared" si="330"/>
        <v>0</v>
      </c>
      <c r="W179" s="1037">
        <f t="shared" si="331"/>
        <v>0</v>
      </c>
      <c r="X179" s="1038">
        <v>0</v>
      </c>
      <c r="Y179" s="1039">
        <v>0</v>
      </c>
      <c r="Z179" s="1408">
        <v>0</v>
      </c>
      <c r="AA179" s="1040">
        <f t="shared" si="332"/>
        <v>0</v>
      </c>
      <c r="AB179" s="1038">
        <v>0</v>
      </c>
      <c r="AC179" s="1039">
        <v>0</v>
      </c>
      <c r="AD179" s="1040">
        <f t="shared" si="333"/>
        <v>0</v>
      </c>
      <c r="AE179" s="1038">
        <v>0</v>
      </c>
      <c r="AF179" s="1040">
        <f t="shared" si="334"/>
        <v>0</v>
      </c>
      <c r="AG179" s="1038">
        <v>0</v>
      </c>
      <c r="AH179" s="1040">
        <f t="shared" si="335"/>
        <v>0</v>
      </c>
      <c r="AI179" s="1038">
        <v>0</v>
      </c>
      <c r="AJ179" s="1039">
        <v>0</v>
      </c>
      <c r="AK179" s="1039">
        <v>0</v>
      </c>
      <c r="AL179" s="1039">
        <v>0</v>
      </c>
      <c r="AM179" s="1041">
        <v>0</v>
      </c>
      <c r="AN179" s="1041">
        <v>0</v>
      </c>
      <c r="AO179" s="1040">
        <f t="shared" si="336"/>
        <v>0</v>
      </c>
      <c r="AP179" s="1038">
        <v>0</v>
      </c>
      <c r="AQ179" s="1040">
        <f t="shared" si="337"/>
        <v>0</v>
      </c>
      <c r="AR179" s="1038">
        <v>0</v>
      </c>
      <c r="AS179" s="1039">
        <v>0</v>
      </c>
      <c r="AT179" s="1408">
        <v>0</v>
      </c>
      <c r="AU179" s="1040">
        <f t="shared" si="338"/>
        <v>0</v>
      </c>
      <c r="AV179" s="1038">
        <v>0</v>
      </c>
      <c r="AW179" s="1039">
        <v>0</v>
      </c>
      <c r="AX179" s="1040">
        <f t="shared" si="339"/>
        <v>0</v>
      </c>
      <c r="AY179" s="1038">
        <v>0</v>
      </c>
      <c r="AZ179" s="1040">
        <f t="shared" si="340"/>
        <v>0</v>
      </c>
      <c r="BA179" s="1038">
        <v>0</v>
      </c>
      <c r="BB179" s="1039">
        <v>0</v>
      </c>
      <c r="BC179" s="1040">
        <f t="shared" si="341"/>
        <v>0</v>
      </c>
      <c r="BD179" s="1042">
        <f t="shared" si="342"/>
        <v>0</v>
      </c>
      <c r="BE179" s="1052"/>
      <c r="BF179" s="1053"/>
      <c r="BG179" s="1048">
        <f t="shared" si="322"/>
        <v>0</v>
      </c>
      <c r="BH179" s="1052"/>
      <c r="BI179" s="1053"/>
      <c r="BJ179" s="1053"/>
      <c r="BK179" s="1053"/>
      <c r="BL179" s="1048">
        <f t="shared" si="343"/>
        <v>0</v>
      </c>
      <c r="BM179" s="1052"/>
      <c r="BN179" s="1053"/>
      <c r="BO179" s="1048">
        <f t="shared" si="344"/>
        <v>0</v>
      </c>
      <c r="BP179" s="1049"/>
      <c r="BQ179" s="1050"/>
      <c r="BR179" s="1050"/>
      <c r="BS179" s="1050"/>
      <c r="BT179" s="1053"/>
      <c r="BU179" s="1048">
        <f t="shared" si="345"/>
        <v>0</v>
      </c>
      <c r="BV179" s="1049"/>
      <c r="BW179" s="1050"/>
      <c r="BX179" s="1050"/>
      <c r="BY179" s="1050"/>
      <c r="BZ179" s="1050"/>
      <c r="CA179" s="1050"/>
      <c r="CB179" s="1053"/>
      <c r="CC179" s="1048">
        <f t="shared" si="346"/>
        <v>0</v>
      </c>
      <c r="CD179" s="1052"/>
      <c r="CE179" s="1053"/>
      <c r="CF179" s="1053"/>
      <c r="CG179" s="1053"/>
      <c r="CH179" s="1048">
        <f t="shared" si="347"/>
        <v>0</v>
      </c>
      <c r="CI179" s="1052"/>
      <c r="CJ179" s="1053"/>
      <c r="CK179" s="1053"/>
      <c r="CL179" s="1053"/>
      <c r="CM179" s="1053"/>
      <c r="CN179" s="1053"/>
      <c r="CO179" s="1051">
        <f t="shared" si="348"/>
        <v>0</v>
      </c>
      <c r="CP179" s="1052"/>
      <c r="CQ179" s="1053"/>
      <c r="CR179" s="1048">
        <f t="shared" si="349"/>
        <v>0</v>
      </c>
      <c r="CS179" s="1052"/>
      <c r="CT179" s="1053"/>
      <c r="CU179" s="1053"/>
      <c r="CV179" s="1053"/>
      <c r="CW179" s="1048">
        <f t="shared" si="350"/>
        <v>0</v>
      </c>
      <c r="CX179" s="1052"/>
      <c r="CY179" s="1048">
        <f t="shared" si="351"/>
        <v>0</v>
      </c>
      <c r="CZ179" s="1103">
        <f t="shared" si="352"/>
        <v>0</v>
      </c>
      <c r="DA179" s="1104">
        <f t="shared" si="353"/>
        <v>0</v>
      </c>
      <c r="DI179" s="1042">
        <f t="shared" si="354"/>
        <v>0</v>
      </c>
    </row>
    <row r="180" spans="1:113" s="1055" customFormat="1" ht="15" customHeight="1">
      <c r="A180" s="955" t="s">
        <v>999</v>
      </c>
      <c r="B180" s="1102" t="s">
        <v>1000</v>
      </c>
      <c r="C180" s="1030" t="s">
        <v>843</v>
      </c>
      <c r="D180" s="1035"/>
      <c r="E180" s="1032">
        <f t="shared" si="321"/>
        <v>0</v>
      </c>
      <c r="F180" s="1035">
        <v>0</v>
      </c>
      <c r="G180" s="1036">
        <v>0</v>
      </c>
      <c r="H180" s="1032">
        <f t="shared" si="325"/>
        <v>0</v>
      </c>
      <c r="I180" s="1035">
        <v>0</v>
      </c>
      <c r="J180" s="1032">
        <f t="shared" si="326"/>
        <v>0</v>
      </c>
      <c r="K180" s="1035">
        <v>0</v>
      </c>
      <c r="L180" s="1074">
        <v>0</v>
      </c>
      <c r="M180" s="1032">
        <f t="shared" si="327"/>
        <v>0</v>
      </c>
      <c r="N180" s="1035">
        <v>0</v>
      </c>
      <c r="O180" s="1036">
        <v>0</v>
      </c>
      <c r="P180" s="1032">
        <f t="shared" si="328"/>
        <v>0</v>
      </c>
      <c r="Q180" s="1035">
        <v>0</v>
      </c>
      <c r="R180" s="1036">
        <v>0</v>
      </c>
      <c r="S180" s="1032">
        <f t="shared" si="329"/>
        <v>0</v>
      </c>
      <c r="T180" s="1035">
        <v>0</v>
      </c>
      <c r="U180" s="1036">
        <v>0</v>
      </c>
      <c r="V180" s="1032">
        <f t="shared" si="330"/>
        <v>0</v>
      </c>
      <c r="W180" s="1037">
        <f t="shared" si="331"/>
        <v>0</v>
      </c>
      <c r="X180" s="1038">
        <v>0</v>
      </c>
      <c r="Y180" s="1039">
        <v>0</v>
      </c>
      <c r="Z180" s="1408">
        <v>0</v>
      </c>
      <c r="AA180" s="1040">
        <f t="shared" si="332"/>
        <v>0</v>
      </c>
      <c r="AB180" s="1038">
        <v>0</v>
      </c>
      <c r="AC180" s="1039">
        <v>0</v>
      </c>
      <c r="AD180" s="1040">
        <f t="shared" si="333"/>
        <v>0</v>
      </c>
      <c r="AE180" s="1038">
        <v>0</v>
      </c>
      <c r="AF180" s="1040">
        <f t="shared" si="334"/>
        <v>0</v>
      </c>
      <c r="AG180" s="1038">
        <v>0</v>
      </c>
      <c r="AH180" s="1040">
        <f t="shared" si="335"/>
        <v>0</v>
      </c>
      <c r="AI180" s="1038">
        <v>0</v>
      </c>
      <c r="AJ180" s="1039">
        <v>0</v>
      </c>
      <c r="AK180" s="1039">
        <v>0</v>
      </c>
      <c r="AL180" s="1039">
        <v>0</v>
      </c>
      <c r="AM180" s="1041">
        <v>0</v>
      </c>
      <c r="AN180" s="1041">
        <v>0</v>
      </c>
      <c r="AO180" s="1040">
        <f t="shared" si="336"/>
        <v>0</v>
      </c>
      <c r="AP180" s="1038">
        <v>0</v>
      </c>
      <c r="AQ180" s="1040">
        <f t="shared" si="337"/>
        <v>0</v>
      </c>
      <c r="AR180" s="1038">
        <v>0</v>
      </c>
      <c r="AS180" s="1039">
        <v>0</v>
      </c>
      <c r="AT180" s="1408">
        <v>0</v>
      </c>
      <c r="AU180" s="1040">
        <f t="shared" si="338"/>
        <v>0</v>
      </c>
      <c r="AV180" s="1038">
        <v>0</v>
      </c>
      <c r="AW180" s="1039">
        <v>0</v>
      </c>
      <c r="AX180" s="1040">
        <f t="shared" si="339"/>
        <v>0</v>
      </c>
      <c r="AY180" s="1038">
        <v>0</v>
      </c>
      <c r="AZ180" s="1040">
        <f t="shared" si="340"/>
        <v>0</v>
      </c>
      <c r="BA180" s="1038">
        <v>0</v>
      </c>
      <c r="BB180" s="1039">
        <v>0</v>
      </c>
      <c r="BC180" s="1040">
        <f t="shared" si="341"/>
        <v>0</v>
      </c>
      <c r="BD180" s="1042">
        <f t="shared" si="342"/>
        <v>0</v>
      </c>
      <c r="BE180" s="1052"/>
      <c r="BF180" s="1053"/>
      <c r="BG180" s="1048">
        <f t="shared" si="322"/>
        <v>0</v>
      </c>
      <c r="BH180" s="1052"/>
      <c r="BI180" s="1053"/>
      <c r="BJ180" s="1053"/>
      <c r="BK180" s="1053"/>
      <c r="BL180" s="1048">
        <f t="shared" si="343"/>
        <v>0</v>
      </c>
      <c r="BM180" s="1052"/>
      <c r="BN180" s="1053"/>
      <c r="BO180" s="1048">
        <f t="shared" si="344"/>
        <v>0</v>
      </c>
      <c r="BP180" s="1049"/>
      <c r="BQ180" s="1050"/>
      <c r="BR180" s="1050"/>
      <c r="BS180" s="1050"/>
      <c r="BT180" s="1053"/>
      <c r="BU180" s="1048">
        <f t="shared" si="345"/>
        <v>0</v>
      </c>
      <c r="BV180" s="1049"/>
      <c r="BW180" s="1050"/>
      <c r="BX180" s="1050"/>
      <c r="BY180" s="1050"/>
      <c r="BZ180" s="1050"/>
      <c r="CA180" s="1050"/>
      <c r="CB180" s="1053"/>
      <c r="CC180" s="1048">
        <f t="shared" si="346"/>
        <v>0</v>
      </c>
      <c r="CD180" s="1052"/>
      <c r="CE180" s="1053"/>
      <c r="CF180" s="1053"/>
      <c r="CG180" s="1053"/>
      <c r="CH180" s="1048">
        <f t="shared" si="347"/>
        <v>0</v>
      </c>
      <c r="CI180" s="1052"/>
      <c r="CJ180" s="1053"/>
      <c r="CK180" s="1053"/>
      <c r="CL180" s="1053"/>
      <c r="CM180" s="1053"/>
      <c r="CN180" s="1053"/>
      <c r="CO180" s="1051">
        <f t="shared" si="348"/>
        <v>0</v>
      </c>
      <c r="CP180" s="1052"/>
      <c r="CQ180" s="1053"/>
      <c r="CR180" s="1048">
        <f t="shared" si="349"/>
        <v>0</v>
      </c>
      <c r="CS180" s="1052"/>
      <c r="CT180" s="1053"/>
      <c r="CU180" s="1053"/>
      <c r="CV180" s="1053"/>
      <c r="CW180" s="1048">
        <f t="shared" si="350"/>
        <v>0</v>
      </c>
      <c r="CX180" s="1052"/>
      <c r="CY180" s="1048">
        <f t="shared" si="351"/>
        <v>0</v>
      </c>
      <c r="CZ180" s="1103">
        <f t="shared" si="352"/>
        <v>0</v>
      </c>
      <c r="DA180" s="1104">
        <f t="shared" si="353"/>
        <v>0</v>
      </c>
      <c r="DI180" s="1042">
        <f t="shared" si="354"/>
        <v>0</v>
      </c>
    </row>
    <row r="181" spans="1:113" s="1055" customFormat="1" ht="30">
      <c r="A181" s="955" t="s">
        <v>1001</v>
      </c>
      <c r="B181" s="1102" t="s">
        <v>1425</v>
      </c>
      <c r="C181" s="1030" t="s">
        <v>28</v>
      </c>
      <c r="D181" s="1035"/>
      <c r="E181" s="1032">
        <f t="shared" si="321"/>
        <v>0</v>
      </c>
      <c r="F181" s="1035">
        <v>0</v>
      </c>
      <c r="G181" s="1036">
        <v>7360.2167442105465</v>
      </c>
      <c r="H181" s="1032">
        <f t="shared" si="325"/>
        <v>7360.2167442105465</v>
      </c>
      <c r="I181" s="1035">
        <v>10623.375</v>
      </c>
      <c r="J181" s="1032">
        <f t="shared" si="326"/>
        <v>10623.375</v>
      </c>
      <c r="K181" s="1035">
        <v>0</v>
      </c>
      <c r="L181" s="1074">
        <v>519.26217204806687</v>
      </c>
      <c r="M181" s="1032">
        <f t="shared" si="327"/>
        <v>519.26217204806687</v>
      </c>
      <c r="N181" s="1035">
        <v>0</v>
      </c>
      <c r="O181" s="1036">
        <v>519.26217204806687</v>
      </c>
      <c r="P181" s="1032">
        <f t="shared" si="328"/>
        <v>519.26217204806687</v>
      </c>
      <c r="Q181" s="1035">
        <v>2505.8000000000002</v>
      </c>
      <c r="R181" s="1036">
        <v>8425.5000000000036</v>
      </c>
      <c r="S181" s="1032">
        <f t="shared" si="329"/>
        <v>10931.300000000003</v>
      </c>
      <c r="T181" s="1035">
        <v>0</v>
      </c>
      <c r="U181" s="1036">
        <v>181.99999999999997</v>
      </c>
      <c r="V181" s="1032">
        <f t="shared" si="330"/>
        <v>181.99999999999997</v>
      </c>
      <c r="W181" s="1037">
        <f t="shared" si="331"/>
        <v>30135.416088306683</v>
      </c>
      <c r="X181" s="1038">
        <v>0</v>
      </c>
      <c r="Y181" s="1039">
        <v>0</v>
      </c>
      <c r="Z181" s="1408">
        <v>0</v>
      </c>
      <c r="AA181" s="1040">
        <f t="shared" si="332"/>
        <v>0</v>
      </c>
      <c r="AB181" s="1038">
        <v>0</v>
      </c>
      <c r="AC181" s="1039">
        <v>0</v>
      </c>
      <c r="AD181" s="1040">
        <f t="shared" si="333"/>
        <v>0</v>
      </c>
      <c r="AE181" s="1038">
        <v>0</v>
      </c>
      <c r="AF181" s="1040">
        <f t="shared" si="334"/>
        <v>0</v>
      </c>
      <c r="AG181" s="1038">
        <v>0</v>
      </c>
      <c r="AH181" s="1040">
        <f t="shared" si="335"/>
        <v>0</v>
      </c>
      <c r="AI181" s="1038">
        <v>0</v>
      </c>
      <c r="AJ181" s="1039">
        <v>0</v>
      </c>
      <c r="AK181" s="1039">
        <v>0</v>
      </c>
      <c r="AL181" s="1039">
        <v>0</v>
      </c>
      <c r="AM181" s="1041">
        <v>0</v>
      </c>
      <c r="AN181" s="1041">
        <v>0</v>
      </c>
      <c r="AO181" s="1040">
        <f t="shared" si="336"/>
        <v>0</v>
      </c>
      <c r="AP181" s="1038">
        <v>0</v>
      </c>
      <c r="AQ181" s="1040">
        <f t="shared" si="337"/>
        <v>0</v>
      </c>
      <c r="AR181" s="1038">
        <v>0</v>
      </c>
      <c r="AS181" s="1039">
        <v>0</v>
      </c>
      <c r="AT181" s="1408">
        <v>0</v>
      </c>
      <c r="AU181" s="1040">
        <f t="shared" si="338"/>
        <v>0</v>
      </c>
      <c r="AV181" s="1038">
        <v>0</v>
      </c>
      <c r="AW181" s="1039">
        <v>0</v>
      </c>
      <c r="AX181" s="1040">
        <f t="shared" si="339"/>
        <v>0</v>
      </c>
      <c r="AY181" s="1038">
        <v>0</v>
      </c>
      <c r="AZ181" s="1040">
        <f t="shared" si="340"/>
        <v>0</v>
      </c>
      <c r="BA181" s="1038">
        <v>0</v>
      </c>
      <c r="BB181" s="1039">
        <v>0</v>
      </c>
      <c r="BC181" s="1040">
        <f t="shared" si="341"/>
        <v>0</v>
      </c>
      <c r="BD181" s="1042">
        <f t="shared" si="342"/>
        <v>0</v>
      </c>
      <c r="BE181" s="1052"/>
      <c r="BF181" s="1053"/>
      <c r="BG181" s="1048">
        <f t="shared" si="322"/>
        <v>0</v>
      </c>
      <c r="BH181" s="1052"/>
      <c r="BI181" s="1053"/>
      <c r="BJ181" s="1053"/>
      <c r="BK181" s="1053"/>
      <c r="BL181" s="1048">
        <f t="shared" si="343"/>
        <v>0</v>
      </c>
      <c r="BM181" s="1052"/>
      <c r="BN181" s="1053"/>
      <c r="BO181" s="1048">
        <f t="shared" si="344"/>
        <v>0</v>
      </c>
      <c r="BP181" s="1049"/>
      <c r="BQ181" s="1050"/>
      <c r="BR181" s="1050"/>
      <c r="BS181" s="1050"/>
      <c r="BT181" s="1053"/>
      <c r="BU181" s="1048">
        <f t="shared" si="345"/>
        <v>0</v>
      </c>
      <c r="BV181" s="1049"/>
      <c r="BW181" s="1050"/>
      <c r="BX181" s="1050"/>
      <c r="BY181" s="1050"/>
      <c r="BZ181" s="1050"/>
      <c r="CA181" s="1050"/>
      <c r="CB181" s="1053"/>
      <c r="CC181" s="1048">
        <f t="shared" si="346"/>
        <v>0</v>
      </c>
      <c r="CD181" s="1052"/>
      <c r="CE181" s="1053"/>
      <c r="CF181" s="1053"/>
      <c r="CG181" s="1053"/>
      <c r="CH181" s="1048">
        <f t="shared" si="347"/>
        <v>0</v>
      </c>
      <c r="CI181" s="1052"/>
      <c r="CJ181" s="1053"/>
      <c r="CK181" s="1053"/>
      <c r="CL181" s="1053"/>
      <c r="CM181" s="1053"/>
      <c r="CN181" s="1053"/>
      <c r="CO181" s="1051">
        <f t="shared" si="348"/>
        <v>0</v>
      </c>
      <c r="CP181" s="1052"/>
      <c r="CQ181" s="1053"/>
      <c r="CR181" s="1048">
        <f t="shared" si="349"/>
        <v>0</v>
      </c>
      <c r="CS181" s="1052"/>
      <c r="CT181" s="1053"/>
      <c r="CU181" s="1053"/>
      <c r="CV181" s="1053"/>
      <c r="CW181" s="1048">
        <f t="shared" si="350"/>
        <v>0</v>
      </c>
      <c r="CX181" s="1052"/>
      <c r="CY181" s="1048">
        <f t="shared" si="351"/>
        <v>0</v>
      </c>
      <c r="CZ181" s="1103">
        <f t="shared" si="352"/>
        <v>0</v>
      </c>
      <c r="DA181" s="1104">
        <f t="shared" si="353"/>
        <v>30135.416088306683</v>
      </c>
      <c r="DI181" s="1042">
        <f t="shared" si="354"/>
        <v>0</v>
      </c>
    </row>
    <row r="182" spans="1:113" s="1055" customFormat="1" ht="15" customHeight="1">
      <c r="A182" s="955" t="s">
        <v>1003</v>
      </c>
      <c r="B182" s="1102" t="s">
        <v>1004</v>
      </c>
      <c r="C182" s="1030" t="s">
        <v>843</v>
      </c>
      <c r="D182" s="1035"/>
      <c r="E182" s="1032">
        <f t="shared" si="321"/>
        <v>0</v>
      </c>
      <c r="F182" s="1035">
        <v>0</v>
      </c>
      <c r="G182" s="1036">
        <v>0</v>
      </c>
      <c r="H182" s="1032">
        <f t="shared" si="325"/>
        <v>0</v>
      </c>
      <c r="I182" s="1035">
        <v>0</v>
      </c>
      <c r="J182" s="1032">
        <f t="shared" si="326"/>
        <v>0</v>
      </c>
      <c r="K182" s="1035">
        <v>0</v>
      </c>
      <c r="L182" s="1074">
        <v>0</v>
      </c>
      <c r="M182" s="1032">
        <f t="shared" si="327"/>
        <v>0</v>
      </c>
      <c r="N182" s="1035">
        <v>0</v>
      </c>
      <c r="O182" s="1036">
        <v>0</v>
      </c>
      <c r="P182" s="1032">
        <f t="shared" si="328"/>
        <v>0</v>
      </c>
      <c r="Q182" s="1035">
        <v>0</v>
      </c>
      <c r="R182" s="1036">
        <v>0</v>
      </c>
      <c r="S182" s="1032">
        <f t="shared" si="329"/>
        <v>0</v>
      </c>
      <c r="T182" s="1035">
        <v>0</v>
      </c>
      <c r="U182" s="1036">
        <v>0</v>
      </c>
      <c r="V182" s="1032">
        <f t="shared" si="330"/>
        <v>0</v>
      </c>
      <c r="W182" s="1037">
        <f t="shared" si="331"/>
        <v>0</v>
      </c>
      <c r="X182" s="1038">
        <v>0</v>
      </c>
      <c r="Y182" s="1039">
        <v>0</v>
      </c>
      <c r="Z182" s="1408">
        <v>0</v>
      </c>
      <c r="AA182" s="1040">
        <f t="shared" si="332"/>
        <v>0</v>
      </c>
      <c r="AB182" s="1038">
        <v>0</v>
      </c>
      <c r="AC182" s="1039">
        <v>0</v>
      </c>
      <c r="AD182" s="1040">
        <f t="shared" si="333"/>
        <v>0</v>
      </c>
      <c r="AE182" s="1038">
        <v>0</v>
      </c>
      <c r="AF182" s="1040">
        <f t="shared" si="334"/>
        <v>0</v>
      </c>
      <c r="AG182" s="1038">
        <v>0</v>
      </c>
      <c r="AH182" s="1040">
        <f t="shared" si="335"/>
        <v>0</v>
      </c>
      <c r="AI182" s="1038">
        <v>0</v>
      </c>
      <c r="AJ182" s="1039">
        <v>0</v>
      </c>
      <c r="AK182" s="1039">
        <v>0</v>
      </c>
      <c r="AL182" s="1039">
        <v>0</v>
      </c>
      <c r="AM182" s="1041">
        <v>0</v>
      </c>
      <c r="AN182" s="1041">
        <v>0</v>
      </c>
      <c r="AO182" s="1040">
        <f t="shared" si="336"/>
        <v>0</v>
      </c>
      <c r="AP182" s="1038">
        <v>0</v>
      </c>
      <c r="AQ182" s="1040">
        <f t="shared" si="337"/>
        <v>0</v>
      </c>
      <c r="AR182" s="1038">
        <v>0</v>
      </c>
      <c r="AS182" s="1039">
        <v>0</v>
      </c>
      <c r="AT182" s="1408">
        <v>0</v>
      </c>
      <c r="AU182" s="1040">
        <f t="shared" si="338"/>
        <v>0</v>
      </c>
      <c r="AV182" s="1038">
        <v>0</v>
      </c>
      <c r="AW182" s="1039">
        <v>0</v>
      </c>
      <c r="AX182" s="1040">
        <f t="shared" si="339"/>
        <v>0</v>
      </c>
      <c r="AY182" s="1038">
        <v>0</v>
      </c>
      <c r="AZ182" s="1040">
        <f t="shared" si="340"/>
        <v>0</v>
      </c>
      <c r="BA182" s="1038">
        <v>0</v>
      </c>
      <c r="BB182" s="1039">
        <v>0</v>
      </c>
      <c r="BC182" s="1040">
        <f t="shared" si="341"/>
        <v>0</v>
      </c>
      <c r="BD182" s="1042">
        <f t="shared" si="342"/>
        <v>0</v>
      </c>
      <c r="BE182" s="1052"/>
      <c r="BF182" s="1053"/>
      <c r="BG182" s="1048">
        <f t="shared" si="322"/>
        <v>0</v>
      </c>
      <c r="BH182" s="1052"/>
      <c r="BI182" s="1053"/>
      <c r="BJ182" s="1053"/>
      <c r="BK182" s="1053"/>
      <c r="BL182" s="1048">
        <f t="shared" si="343"/>
        <v>0</v>
      </c>
      <c r="BM182" s="1052"/>
      <c r="BN182" s="1053"/>
      <c r="BO182" s="1048">
        <f t="shared" si="344"/>
        <v>0</v>
      </c>
      <c r="BP182" s="1049"/>
      <c r="BQ182" s="1050"/>
      <c r="BR182" s="1050"/>
      <c r="BS182" s="1050"/>
      <c r="BT182" s="1053"/>
      <c r="BU182" s="1048">
        <f t="shared" si="345"/>
        <v>0</v>
      </c>
      <c r="BV182" s="1049"/>
      <c r="BW182" s="1050"/>
      <c r="BX182" s="1050"/>
      <c r="BY182" s="1050"/>
      <c r="BZ182" s="1050"/>
      <c r="CA182" s="1050"/>
      <c r="CB182" s="1053"/>
      <c r="CC182" s="1048">
        <f t="shared" si="346"/>
        <v>0</v>
      </c>
      <c r="CD182" s="1052"/>
      <c r="CE182" s="1053"/>
      <c r="CF182" s="1053"/>
      <c r="CG182" s="1053"/>
      <c r="CH182" s="1048">
        <f t="shared" si="347"/>
        <v>0</v>
      </c>
      <c r="CI182" s="1052"/>
      <c r="CJ182" s="1053"/>
      <c r="CK182" s="1053"/>
      <c r="CL182" s="1053"/>
      <c r="CM182" s="1053"/>
      <c r="CN182" s="1053"/>
      <c r="CO182" s="1051">
        <f t="shared" si="348"/>
        <v>0</v>
      </c>
      <c r="CP182" s="1052"/>
      <c r="CQ182" s="1053"/>
      <c r="CR182" s="1048">
        <f t="shared" si="349"/>
        <v>0</v>
      </c>
      <c r="CS182" s="1052"/>
      <c r="CT182" s="1053"/>
      <c r="CU182" s="1053"/>
      <c r="CV182" s="1053"/>
      <c r="CW182" s="1048">
        <f t="shared" si="350"/>
        <v>0</v>
      </c>
      <c r="CX182" s="1052"/>
      <c r="CY182" s="1048">
        <f t="shared" si="351"/>
        <v>0</v>
      </c>
      <c r="CZ182" s="1103">
        <f t="shared" si="352"/>
        <v>0</v>
      </c>
      <c r="DA182" s="1104">
        <f t="shared" si="353"/>
        <v>0</v>
      </c>
      <c r="DI182" s="1042">
        <f t="shared" si="354"/>
        <v>0</v>
      </c>
    </row>
    <row r="183" spans="1:113" s="1055" customFormat="1">
      <c r="A183" s="955" t="s">
        <v>1005</v>
      </c>
      <c r="B183" s="1102" t="s">
        <v>1006</v>
      </c>
      <c r="C183" s="1030" t="s">
        <v>843</v>
      </c>
      <c r="D183" s="1035"/>
      <c r="E183" s="1032">
        <f t="shared" si="321"/>
        <v>0</v>
      </c>
      <c r="F183" s="1035">
        <v>0</v>
      </c>
      <c r="G183" s="1036">
        <v>0</v>
      </c>
      <c r="H183" s="1032">
        <f t="shared" si="325"/>
        <v>0</v>
      </c>
      <c r="I183" s="1035">
        <v>0</v>
      </c>
      <c r="J183" s="1032">
        <f t="shared" si="326"/>
        <v>0</v>
      </c>
      <c r="K183" s="1035">
        <v>0</v>
      </c>
      <c r="L183" s="1074">
        <v>0</v>
      </c>
      <c r="M183" s="1032">
        <f t="shared" si="327"/>
        <v>0</v>
      </c>
      <c r="N183" s="1035">
        <v>0</v>
      </c>
      <c r="O183" s="1036">
        <v>0</v>
      </c>
      <c r="P183" s="1032">
        <f t="shared" si="328"/>
        <v>0</v>
      </c>
      <c r="Q183" s="1035">
        <v>0</v>
      </c>
      <c r="R183" s="1036">
        <v>0</v>
      </c>
      <c r="S183" s="1032">
        <f t="shared" si="329"/>
        <v>0</v>
      </c>
      <c r="T183" s="1035">
        <v>0</v>
      </c>
      <c r="U183" s="1036">
        <v>0</v>
      </c>
      <c r="V183" s="1032">
        <f t="shared" si="330"/>
        <v>0</v>
      </c>
      <c r="W183" s="1037">
        <f t="shared" si="331"/>
        <v>0</v>
      </c>
      <c r="X183" s="1038">
        <v>0</v>
      </c>
      <c r="Y183" s="1039">
        <v>0</v>
      </c>
      <c r="Z183" s="1408">
        <v>0</v>
      </c>
      <c r="AA183" s="1040">
        <f t="shared" si="332"/>
        <v>0</v>
      </c>
      <c r="AB183" s="1038">
        <v>0</v>
      </c>
      <c r="AC183" s="1039">
        <v>0</v>
      </c>
      <c r="AD183" s="1040">
        <f t="shared" si="333"/>
        <v>0</v>
      </c>
      <c r="AE183" s="1038">
        <v>0</v>
      </c>
      <c r="AF183" s="1040">
        <f t="shared" si="334"/>
        <v>0</v>
      </c>
      <c r="AG183" s="1038">
        <v>0</v>
      </c>
      <c r="AH183" s="1040">
        <f t="shared" si="335"/>
        <v>0</v>
      </c>
      <c r="AI183" s="1038">
        <v>0</v>
      </c>
      <c r="AJ183" s="1039">
        <v>0</v>
      </c>
      <c r="AK183" s="1039">
        <v>0</v>
      </c>
      <c r="AL183" s="1039">
        <v>0</v>
      </c>
      <c r="AM183" s="1041">
        <v>0</v>
      </c>
      <c r="AN183" s="1041">
        <v>0</v>
      </c>
      <c r="AO183" s="1040">
        <f t="shared" si="336"/>
        <v>0</v>
      </c>
      <c r="AP183" s="1038">
        <v>0</v>
      </c>
      <c r="AQ183" s="1040">
        <f t="shared" si="337"/>
        <v>0</v>
      </c>
      <c r="AR183" s="1038">
        <v>0</v>
      </c>
      <c r="AS183" s="1039">
        <v>0</v>
      </c>
      <c r="AT183" s="1408">
        <v>0</v>
      </c>
      <c r="AU183" s="1040">
        <f t="shared" si="338"/>
        <v>0</v>
      </c>
      <c r="AV183" s="1038">
        <v>0</v>
      </c>
      <c r="AW183" s="1039">
        <v>0</v>
      </c>
      <c r="AX183" s="1040">
        <f t="shared" si="339"/>
        <v>0</v>
      </c>
      <c r="AY183" s="1038">
        <v>0</v>
      </c>
      <c r="AZ183" s="1040">
        <f t="shared" si="340"/>
        <v>0</v>
      </c>
      <c r="BA183" s="1038">
        <v>0</v>
      </c>
      <c r="BB183" s="1039">
        <v>0</v>
      </c>
      <c r="BC183" s="1040">
        <f t="shared" si="341"/>
        <v>0</v>
      </c>
      <c r="BD183" s="1042">
        <f t="shared" si="342"/>
        <v>0</v>
      </c>
      <c r="BE183" s="1052"/>
      <c r="BF183" s="1053"/>
      <c r="BG183" s="1048">
        <f t="shared" si="322"/>
        <v>0</v>
      </c>
      <c r="BH183" s="1052"/>
      <c r="BI183" s="1053"/>
      <c r="BJ183" s="1053"/>
      <c r="BK183" s="1053"/>
      <c r="BL183" s="1048">
        <f t="shared" si="343"/>
        <v>0</v>
      </c>
      <c r="BM183" s="1052"/>
      <c r="BN183" s="1053"/>
      <c r="BO183" s="1048">
        <f t="shared" si="344"/>
        <v>0</v>
      </c>
      <c r="BP183" s="1049"/>
      <c r="BQ183" s="1050"/>
      <c r="BR183" s="1050"/>
      <c r="BS183" s="1050"/>
      <c r="BT183" s="1053"/>
      <c r="BU183" s="1048">
        <f t="shared" si="345"/>
        <v>0</v>
      </c>
      <c r="BV183" s="1049"/>
      <c r="BW183" s="1050"/>
      <c r="BX183" s="1050"/>
      <c r="BY183" s="1050"/>
      <c r="BZ183" s="1050"/>
      <c r="CA183" s="1050"/>
      <c r="CB183" s="1053"/>
      <c r="CC183" s="1048">
        <f t="shared" si="346"/>
        <v>0</v>
      </c>
      <c r="CD183" s="1052"/>
      <c r="CE183" s="1053"/>
      <c r="CF183" s="1053"/>
      <c r="CG183" s="1053"/>
      <c r="CH183" s="1048">
        <f t="shared" si="347"/>
        <v>0</v>
      </c>
      <c r="CI183" s="1052"/>
      <c r="CJ183" s="1053"/>
      <c r="CK183" s="1053"/>
      <c r="CL183" s="1053"/>
      <c r="CM183" s="1053"/>
      <c r="CN183" s="1053"/>
      <c r="CO183" s="1051">
        <f t="shared" si="348"/>
        <v>0</v>
      </c>
      <c r="CP183" s="1052"/>
      <c r="CQ183" s="1053"/>
      <c r="CR183" s="1048">
        <f t="shared" si="349"/>
        <v>0</v>
      </c>
      <c r="CS183" s="1052"/>
      <c r="CT183" s="1053"/>
      <c r="CU183" s="1053"/>
      <c r="CV183" s="1053"/>
      <c r="CW183" s="1048">
        <f t="shared" si="350"/>
        <v>0</v>
      </c>
      <c r="CX183" s="1052"/>
      <c r="CY183" s="1048">
        <f t="shared" si="351"/>
        <v>0</v>
      </c>
      <c r="CZ183" s="1103">
        <f t="shared" si="352"/>
        <v>0</v>
      </c>
      <c r="DA183" s="1104">
        <f t="shared" si="353"/>
        <v>0</v>
      </c>
      <c r="DI183" s="1042">
        <f t="shared" si="354"/>
        <v>0</v>
      </c>
    </row>
    <row r="184" spans="1:113" s="1055" customFormat="1">
      <c r="A184" s="955" t="s">
        <v>378</v>
      </c>
      <c r="B184" s="1102" t="s">
        <v>1007</v>
      </c>
      <c r="C184" s="1030" t="s">
        <v>843</v>
      </c>
      <c r="D184" s="1035"/>
      <c r="E184" s="1032">
        <f t="shared" si="321"/>
        <v>0</v>
      </c>
      <c r="F184" s="1035">
        <v>0</v>
      </c>
      <c r="G184" s="1036">
        <v>0</v>
      </c>
      <c r="H184" s="1032">
        <f t="shared" si="325"/>
        <v>0</v>
      </c>
      <c r="I184" s="1035">
        <v>0</v>
      </c>
      <c r="J184" s="1032">
        <f t="shared" si="326"/>
        <v>0</v>
      </c>
      <c r="K184" s="1035">
        <v>0</v>
      </c>
      <c r="L184" s="1074">
        <v>0</v>
      </c>
      <c r="M184" s="1032">
        <f t="shared" si="327"/>
        <v>0</v>
      </c>
      <c r="N184" s="1035">
        <v>0</v>
      </c>
      <c r="O184" s="1036">
        <v>0</v>
      </c>
      <c r="P184" s="1032">
        <f t="shared" si="328"/>
        <v>0</v>
      </c>
      <c r="Q184" s="1035">
        <v>0</v>
      </c>
      <c r="R184" s="1036">
        <v>0</v>
      </c>
      <c r="S184" s="1032">
        <f t="shared" si="329"/>
        <v>0</v>
      </c>
      <c r="T184" s="1035">
        <v>0</v>
      </c>
      <c r="U184" s="1036">
        <v>0</v>
      </c>
      <c r="V184" s="1032">
        <f t="shared" si="330"/>
        <v>0</v>
      </c>
      <c r="W184" s="1037">
        <f t="shared" si="331"/>
        <v>0</v>
      </c>
      <c r="X184" s="1038">
        <v>0</v>
      </c>
      <c r="Y184" s="1039">
        <v>0</v>
      </c>
      <c r="Z184" s="1408">
        <v>0</v>
      </c>
      <c r="AA184" s="1040">
        <f t="shared" si="332"/>
        <v>0</v>
      </c>
      <c r="AB184" s="1038">
        <v>0</v>
      </c>
      <c r="AC184" s="1039">
        <v>0</v>
      </c>
      <c r="AD184" s="1040">
        <f t="shared" si="333"/>
        <v>0</v>
      </c>
      <c r="AE184" s="1038">
        <v>0</v>
      </c>
      <c r="AF184" s="1040">
        <f t="shared" si="334"/>
        <v>0</v>
      </c>
      <c r="AG184" s="1038">
        <v>0</v>
      </c>
      <c r="AH184" s="1040">
        <f t="shared" si="335"/>
        <v>0</v>
      </c>
      <c r="AI184" s="1038">
        <v>0</v>
      </c>
      <c r="AJ184" s="1039">
        <v>0</v>
      </c>
      <c r="AK184" s="1039">
        <v>0</v>
      </c>
      <c r="AL184" s="1039">
        <v>0</v>
      </c>
      <c r="AM184" s="1041">
        <v>0</v>
      </c>
      <c r="AN184" s="1041">
        <v>0</v>
      </c>
      <c r="AO184" s="1040">
        <f t="shared" si="336"/>
        <v>0</v>
      </c>
      <c r="AP184" s="1038">
        <v>0</v>
      </c>
      <c r="AQ184" s="1040">
        <f t="shared" si="337"/>
        <v>0</v>
      </c>
      <c r="AR184" s="1038">
        <v>0</v>
      </c>
      <c r="AS184" s="1039">
        <v>0</v>
      </c>
      <c r="AT184" s="1408">
        <v>0</v>
      </c>
      <c r="AU184" s="1040">
        <f t="shared" si="338"/>
        <v>0</v>
      </c>
      <c r="AV184" s="1038">
        <v>0</v>
      </c>
      <c r="AW184" s="1039">
        <v>0</v>
      </c>
      <c r="AX184" s="1040">
        <f t="shared" si="339"/>
        <v>0</v>
      </c>
      <c r="AY184" s="1038">
        <v>0</v>
      </c>
      <c r="AZ184" s="1040">
        <f t="shared" si="340"/>
        <v>0</v>
      </c>
      <c r="BA184" s="1038">
        <v>0</v>
      </c>
      <c r="BB184" s="1039">
        <v>0</v>
      </c>
      <c r="BC184" s="1040">
        <f t="shared" si="341"/>
        <v>0</v>
      </c>
      <c r="BD184" s="1042">
        <f t="shared" si="342"/>
        <v>0</v>
      </c>
      <c r="BE184" s="1052"/>
      <c r="BF184" s="1053"/>
      <c r="BG184" s="1048">
        <f t="shared" si="322"/>
        <v>0</v>
      </c>
      <c r="BH184" s="1052"/>
      <c r="BI184" s="1053"/>
      <c r="BJ184" s="1053"/>
      <c r="BK184" s="1053"/>
      <c r="BL184" s="1048">
        <f t="shared" si="343"/>
        <v>0</v>
      </c>
      <c r="BM184" s="1052"/>
      <c r="BN184" s="1053"/>
      <c r="BO184" s="1048">
        <f t="shared" si="344"/>
        <v>0</v>
      </c>
      <c r="BP184" s="1049"/>
      <c r="BQ184" s="1050"/>
      <c r="BR184" s="1050"/>
      <c r="BS184" s="1050"/>
      <c r="BT184" s="1053"/>
      <c r="BU184" s="1048">
        <f t="shared" si="345"/>
        <v>0</v>
      </c>
      <c r="BV184" s="1049"/>
      <c r="BW184" s="1050"/>
      <c r="BX184" s="1050"/>
      <c r="BY184" s="1050"/>
      <c r="BZ184" s="1050"/>
      <c r="CA184" s="1050"/>
      <c r="CB184" s="1053"/>
      <c r="CC184" s="1048">
        <f t="shared" si="346"/>
        <v>0</v>
      </c>
      <c r="CD184" s="1052"/>
      <c r="CE184" s="1053"/>
      <c r="CF184" s="1053"/>
      <c r="CG184" s="1053"/>
      <c r="CH184" s="1048">
        <f t="shared" si="347"/>
        <v>0</v>
      </c>
      <c r="CI184" s="1052"/>
      <c r="CJ184" s="1053"/>
      <c r="CK184" s="1053"/>
      <c r="CL184" s="1053"/>
      <c r="CM184" s="1053"/>
      <c r="CN184" s="1053"/>
      <c r="CO184" s="1051">
        <f t="shared" si="348"/>
        <v>0</v>
      </c>
      <c r="CP184" s="1052"/>
      <c r="CQ184" s="1053"/>
      <c r="CR184" s="1048">
        <f t="shared" si="349"/>
        <v>0</v>
      </c>
      <c r="CS184" s="1052"/>
      <c r="CT184" s="1053"/>
      <c r="CU184" s="1053"/>
      <c r="CV184" s="1053"/>
      <c r="CW184" s="1048">
        <f t="shared" si="350"/>
        <v>0</v>
      </c>
      <c r="CX184" s="1052"/>
      <c r="CY184" s="1048">
        <f t="shared" si="351"/>
        <v>0</v>
      </c>
      <c r="CZ184" s="1103">
        <f t="shared" si="352"/>
        <v>0</v>
      </c>
      <c r="DA184" s="1104">
        <f t="shared" si="353"/>
        <v>0</v>
      </c>
      <c r="DI184" s="1042">
        <f t="shared" si="354"/>
        <v>0</v>
      </c>
    </row>
    <row r="185" spans="1:113" s="1055" customFormat="1">
      <c r="A185" s="955" t="s">
        <v>535</v>
      </c>
      <c r="B185" s="1102" t="s">
        <v>1426</v>
      </c>
      <c r="C185" s="1030" t="s">
        <v>38</v>
      </c>
      <c r="D185" s="1035"/>
      <c r="E185" s="1032">
        <f t="shared" si="321"/>
        <v>0</v>
      </c>
      <c r="F185" s="1035">
        <v>411.6</v>
      </c>
      <c r="G185" s="1036">
        <v>2579.5410000000002</v>
      </c>
      <c r="H185" s="1032">
        <f t="shared" si="325"/>
        <v>2991.1410000000001</v>
      </c>
      <c r="I185" s="1035">
        <v>40000</v>
      </c>
      <c r="J185" s="1032">
        <f t="shared" si="326"/>
        <v>40000</v>
      </c>
      <c r="K185" s="1035">
        <v>2563.65</v>
      </c>
      <c r="L185" s="1074">
        <v>1417.5</v>
      </c>
      <c r="M185" s="1032">
        <f t="shared" si="327"/>
        <v>3981.15</v>
      </c>
      <c r="N185" s="1035">
        <v>12660.3</v>
      </c>
      <c r="O185" s="1036">
        <v>8019</v>
      </c>
      <c r="P185" s="1032">
        <f t="shared" si="328"/>
        <v>20679.3</v>
      </c>
      <c r="Q185" s="1035">
        <v>3665</v>
      </c>
      <c r="R185" s="1036">
        <v>8222</v>
      </c>
      <c r="S185" s="1032">
        <f t="shared" si="329"/>
        <v>11887</v>
      </c>
      <c r="T185" s="1035">
        <v>3480</v>
      </c>
      <c r="U185" s="1036">
        <v>8120</v>
      </c>
      <c r="V185" s="1032">
        <f t="shared" si="330"/>
        <v>11600</v>
      </c>
      <c r="W185" s="1037">
        <f t="shared" si="331"/>
        <v>91138.591</v>
      </c>
      <c r="X185" s="1038">
        <v>0</v>
      </c>
      <c r="Y185" s="1039">
        <v>0</v>
      </c>
      <c r="Z185" s="1408">
        <v>0</v>
      </c>
      <c r="AA185" s="1040">
        <f t="shared" si="332"/>
        <v>0</v>
      </c>
      <c r="AB185" s="1038">
        <v>0</v>
      </c>
      <c r="AC185" s="1039">
        <v>0</v>
      </c>
      <c r="AD185" s="1040">
        <f t="shared" si="333"/>
        <v>0</v>
      </c>
      <c r="AE185" s="1038">
        <v>0</v>
      </c>
      <c r="AF185" s="1040">
        <f t="shared" si="334"/>
        <v>0</v>
      </c>
      <c r="AG185" s="1038">
        <v>0</v>
      </c>
      <c r="AH185" s="1040">
        <f t="shared" si="335"/>
        <v>0</v>
      </c>
      <c r="AI185" s="1038">
        <v>0</v>
      </c>
      <c r="AJ185" s="1039">
        <v>0</v>
      </c>
      <c r="AK185" s="1039">
        <v>0</v>
      </c>
      <c r="AL185" s="1039">
        <v>0</v>
      </c>
      <c r="AM185" s="1041">
        <v>0</v>
      </c>
      <c r="AN185" s="1041">
        <v>0</v>
      </c>
      <c r="AO185" s="1040">
        <f t="shared" si="336"/>
        <v>0</v>
      </c>
      <c r="AP185" s="1038">
        <v>0</v>
      </c>
      <c r="AQ185" s="1040">
        <f t="shared" si="337"/>
        <v>0</v>
      </c>
      <c r="AR185" s="1038">
        <v>0</v>
      </c>
      <c r="AS185" s="1039">
        <v>0</v>
      </c>
      <c r="AT185" s="1408">
        <v>0</v>
      </c>
      <c r="AU185" s="1040">
        <f t="shared" si="338"/>
        <v>0</v>
      </c>
      <c r="AV185" s="1038">
        <v>0</v>
      </c>
      <c r="AW185" s="1039">
        <v>0</v>
      </c>
      <c r="AX185" s="1040">
        <f t="shared" si="339"/>
        <v>0</v>
      </c>
      <c r="AY185" s="1038">
        <v>0</v>
      </c>
      <c r="AZ185" s="1040">
        <f t="shared" si="340"/>
        <v>0</v>
      </c>
      <c r="BA185" s="1038">
        <v>0</v>
      </c>
      <c r="BB185" s="1039">
        <v>0</v>
      </c>
      <c r="BC185" s="1040">
        <f t="shared" si="341"/>
        <v>0</v>
      </c>
      <c r="BD185" s="1042">
        <f t="shared" si="342"/>
        <v>0</v>
      </c>
      <c r="BE185" s="1052"/>
      <c r="BF185" s="1053"/>
      <c r="BG185" s="1048">
        <f t="shared" si="322"/>
        <v>0</v>
      </c>
      <c r="BH185" s="1052">
        <v>3118.5</v>
      </c>
      <c r="BI185" s="1053">
        <v>891</v>
      </c>
      <c r="BJ185" s="1053">
        <v>4050</v>
      </c>
      <c r="BK185" s="1053">
        <v>4050</v>
      </c>
      <c r="BL185" s="1048">
        <f t="shared" si="343"/>
        <v>12109.5</v>
      </c>
      <c r="BM185" s="1052">
        <v>4860</v>
      </c>
      <c r="BN185" s="1053">
        <v>840</v>
      </c>
      <c r="BO185" s="1048">
        <f t="shared" si="344"/>
        <v>5700</v>
      </c>
      <c r="BP185" s="1052">
        <v>17051</v>
      </c>
      <c r="BQ185" s="1053">
        <v>2471</v>
      </c>
      <c r="BR185" s="1053">
        <v>2592</v>
      </c>
      <c r="BS185" s="1053">
        <v>4390</v>
      </c>
      <c r="BT185" s="1053">
        <v>1944</v>
      </c>
      <c r="BU185" s="1048">
        <f t="shared" si="345"/>
        <v>28448</v>
      </c>
      <c r="BV185" s="1052">
        <v>657</v>
      </c>
      <c r="BW185" s="1053">
        <v>2170</v>
      </c>
      <c r="BX185" s="1053">
        <v>9680</v>
      </c>
      <c r="BY185" s="1053">
        <v>1094</v>
      </c>
      <c r="BZ185" s="1053">
        <v>3524</v>
      </c>
      <c r="CA185" s="1053">
        <v>1337</v>
      </c>
      <c r="CB185" s="1053">
        <v>1944</v>
      </c>
      <c r="CC185" s="1048">
        <f t="shared" si="346"/>
        <v>20406</v>
      </c>
      <c r="CD185" s="1052">
        <v>243</v>
      </c>
      <c r="CE185" s="1053">
        <v>1337</v>
      </c>
      <c r="CF185" s="1053">
        <v>486</v>
      </c>
      <c r="CG185" s="1053">
        <v>486</v>
      </c>
      <c r="CH185" s="1048">
        <f t="shared" si="347"/>
        <v>2552</v>
      </c>
      <c r="CI185" s="1052">
        <v>2470.5</v>
      </c>
      <c r="CJ185" s="1053">
        <v>365</v>
      </c>
      <c r="CK185" s="1053">
        <v>2876</v>
      </c>
      <c r="CL185" s="1053">
        <v>1053</v>
      </c>
      <c r="CM185" s="1053">
        <v>8627</v>
      </c>
      <c r="CN185" s="1053">
        <v>6704</v>
      </c>
      <c r="CO185" s="1051">
        <f t="shared" si="348"/>
        <v>22095.5</v>
      </c>
      <c r="CP185" s="1052">
        <v>2551.5</v>
      </c>
      <c r="CQ185" s="1053">
        <v>1542</v>
      </c>
      <c r="CR185" s="1048">
        <f t="shared" si="349"/>
        <v>4093.5</v>
      </c>
      <c r="CS185" s="1052">
        <v>4969.3500000000004</v>
      </c>
      <c r="CT185" s="1053">
        <v>3272</v>
      </c>
      <c r="CU185" s="1053">
        <v>510</v>
      </c>
      <c r="CV185" s="1053">
        <v>2248</v>
      </c>
      <c r="CW185" s="1048">
        <f t="shared" si="350"/>
        <v>10999.35</v>
      </c>
      <c r="CX185" s="1052">
        <v>972</v>
      </c>
      <c r="CY185" s="1048">
        <f t="shared" si="351"/>
        <v>972</v>
      </c>
      <c r="CZ185" s="1103">
        <f t="shared" si="352"/>
        <v>107375.85</v>
      </c>
      <c r="DA185" s="1104">
        <f t="shared" si="353"/>
        <v>198514.44099999999</v>
      </c>
      <c r="DI185" s="1042">
        <f t="shared" si="354"/>
        <v>127355.35</v>
      </c>
    </row>
    <row r="186" spans="1:113" s="1055" customFormat="1">
      <c r="A186" s="955" t="s">
        <v>35</v>
      </c>
      <c r="B186" s="1102" t="s">
        <v>1348</v>
      </c>
      <c r="C186" s="1030" t="s">
        <v>103</v>
      </c>
      <c r="D186" s="1035"/>
      <c r="E186" s="1032">
        <f t="shared" si="321"/>
        <v>0</v>
      </c>
      <c r="F186" s="1035">
        <v>0</v>
      </c>
      <c r="G186" s="1036">
        <v>0</v>
      </c>
      <c r="H186" s="1032">
        <f t="shared" si="325"/>
        <v>0</v>
      </c>
      <c r="I186" s="1035">
        <v>0</v>
      </c>
      <c r="J186" s="1032">
        <f t="shared" si="326"/>
        <v>0</v>
      </c>
      <c r="K186" s="1035">
        <v>0</v>
      </c>
      <c r="L186" s="1074">
        <v>0</v>
      </c>
      <c r="M186" s="1032">
        <f t="shared" si="327"/>
        <v>0</v>
      </c>
      <c r="N186" s="1035">
        <v>0</v>
      </c>
      <c r="O186" s="1036">
        <v>0</v>
      </c>
      <c r="P186" s="1032">
        <f t="shared" si="328"/>
        <v>0</v>
      </c>
      <c r="Q186" s="1035">
        <v>1.316775</v>
      </c>
      <c r="R186" s="1036">
        <v>2.9536500000000001</v>
      </c>
      <c r="S186" s="1032">
        <f t="shared" si="329"/>
        <v>4.2704250000000004</v>
      </c>
      <c r="T186" s="1035">
        <v>2.0749499999999999</v>
      </c>
      <c r="U186" s="1036">
        <v>4.8415499999999998</v>
      </c>
      <c r="V186" s="1032">
        <f t="shared" si="330"/>
        <v>6.9164999999999992</v>
      </c>
      <c r="W186" s="1037">
        <f t="shared" si="331"/>
        <v>11.186924999999999</v>
      </c>
      <c r="X186" s="1038">
        <v>0</v>
      </c>
      <c r="Y186" s="1039">
        <v>0</v>
      </c>
      <c r="Z186" s="1408">
        <v>0</v>
      </c>
      <c r="AA186" s="1040">
        <f t="shared" si="332"/>
        <v>0</v>
      </c>
      <c r="AB186" s="1038">
        <v>0</v>
      </c>
      <c r="AC186" s="1039">
        <v>0</v>
      </c>
      <c r="AD186" s="1040">
        <f t="shared" si="333"/>
        <v>0</v>
      </c>
      <c r="AE186" s="1038">
        <v>0</v>
      </c>
      <c r="AF186" s="1040">
        <f t="shared" si="334"/>
        <v>0</v>
      </c>
      <c r="AG186" s="1038">
        <v>0</v>
      </c>
      <c r="AH186" s="1040">
        <f t="shared" si="335"/>
        <v>0</v>
      </c>
      <c r="AI186" s="1038">
        <v>0</v>
      </c>
      <c r="AJ186" s="1039">
        <v>0</v>
      </c>
      <c r="AK186" s="1039">
        <v>0</v>
      </c>
      <c r="AL186" s="1039">
        <v>0</v>
      </c>
      <c r="AM186" s="1041">
        <v>0</v>
      </c>
      <c r="AN186" s="1041">
        <v>0</v>
      </c>
      <c r="AO186" s="1040">
        <f t="shared" si="336"/>
        <v>0</v>
      </c>
      <c r="AP186" s="1038">
        <v>0</v>
      </c>
      <c r="AQ186" s="1040">
        <f t="shared" si="337"/>
        <v>0</v>
      </c>
      <c r="AR186" s="1038">
        <v>0</v>
      </c>
      <c r="AS186" s="1039">
        <v>0</v>
      </c>
      <c r="AT186" s="1408">
        <v>0</v>
      </c>
      <c r="AU186" s="1040">
        <f t="shared" si="338"/>
        <v>0</v>
      </c>
      <c r="AV186" s="1038">
        <v>0</v>
      </c>
      <c r="AW186" s="1039">
        <v>0</v>
      </c>
      <c r="AX186" s="1040">
        <f t="shared" si="339"/>
        <v>0</v>
      </c>
      <c r="AY186" s="1038">
        <v>0</v>
      </c>
      <c r="AZ186" s="1040">
        <f t="shared" si="340"/>
        <v>0</v>
      </c>
      <c r="BA186" s="1038">
        <v>0</v>
      </c>
      <c r="BB186" s="1039">
        <v>0</v>
      </c>
      <c r="BC186" s="1040">
        <f t="shared" si="341"/>
        <v>0</v>
      </c>
      <c r="BD186" s="1042">
        <f t="shared" si="342"/>
        <v>0</v>
      </c>
      <c r="BE186" s="1052"/>
      <c r="BF186" s="1053"/>
      <c r="BG186" s="1048">
        <f t="shared" si="322"/>
        <v>0</v>
      </c>
      <c r="BH186" s="1052"/>
      <c r="BI186" s="1053"/>
      <c r="BJ186" s="1053"/>
      <c r="BK186" s="1053"/>
      <c r="BL186" s="1048">
        <f t="shared" si="343"/>
        <v>0</v>
      </c>
      <c r="BM186" s="1052"/>
      <c r="BN186" s="1053"/>
      <c r="BO186" s="1048">
        <f t="shared" si="344"/>
        <v>0</v>
      </c>
      <c r="BP186" s="1049"/>
      <c r="BQ186" s="1050"/>
      <c r="BR186" s="1050"/>
      <c r="BS186" s="1050"/>
      <c r="BT186" s="1053"/>
      <c r="BU186" s="1048">
        <f t="shared" si="345"/>
        <v>0</v>
      </c>
      <c r="BV186" s="1049"/>
      <c r="BW186" s="1050"/>
      <c r="BX186" s="1050"/>
      <c r="BY186" s="1050"/>
      <c r="BZ186" s="1050"/>
      <c r="CA186" s="1050"/>
      <c r="CB186" s="1053"/>
      <c r="CC186" s="1048">
        <f t="shared" si="346"/>
        <v>0</v>
      </c>
      <c r="CD186" s="1052"/>
      <c r="CE186" s="1053"/>
      <c r="CF186" s="1053"/>
      <c r="CG186" s="1053"/>
      <c r="CH186" s="1048">
        <f t="shared" si="347"/>
        <v>0</v>
      </c>
      <c r="CI186" s="1052"/>
      <c r="CJ186" s="1053"/>
      <c r="CK186" s="1053"/>
      <c r="CL186" s="1053"/>
      <c r="CM186" s="1053"/>
      <c r="CN186" s="1053"/>
      <c r="CO186" s="1051">
        <f t="shared" si="348"/>
        <v>0</v>
      </c>
      <c r="CP186" s="1052"/>
      <c r="CQ186" s="1053"/>
      <c r="CR186" s="1048">
        <f t="shared" si="349"/>
        <v>0</v>
      </c>
      <c r="CS186" s="1052"/>
      <c r="CT186" s="1053"/>
      <c r="CU186" s="1053"/>
      <c r="CV186" s="1053"/>
      <c r="CW186" s="1048">
        <f t="shared" si="350"/>
        <v>0</v>
      </c>
      <c r="CX186" s="1052"/>
      <c r="CY186" s="1048">
        <f t="shared" si="351"/>
        <v>0</v>
      </c>
      <c r="CZ186" s="1103">
        <f t="shared" si="352"/>
        <v>0</v>
      </c>
      <c r="DA186" s="1104">
        <f t="shared" si="353"/>
        <v>11.186924999999999</v>
      </c>
      <c r="DI186" s="1042">
        <f t="shared" si="354"/>
        <v>0</v>
      </c>
    </row>
    <row r="187" spans="1:113" s="1055" customFormat="1">
      <c r="A187" s="1028" t="s">
        <v>1427</v>
      </c>
      <c r="B187" s="1102" t="s">
        <v>1013</v>
      </c>
      <c r="C187" s="1030" t="s">
        <v>827</v>
      </c>
      <c r="D187" s="1035"/>
      <c r="E187" s="1032">
        <f t="shared" si="321"/>
        <v>0</v>
      </c>
      <c r="F187" s="1035">
        <v>0</v>
      </c>
      <c r="G187" s="1036">
        <v>2</v>
      </c>
      <c r="H187" s="1032">
        <f t="shared" si="325"/>
        <v>2</v>
      </c>
      <c r="I187" s="1035">
        <v>2</v>
      </c>
      <c r="J187" s="1032">
        <f t="shared" si="326"/>
        <v>2</v>
      </c>
      <c r="K187" s="1035">
        <v>0</v>
      </c>
      <c r="L187" s="1074">
        <v>0</v>
      </c>
      <c r="M187" s="1032">
        <f t="shared" si="327"/>
        <v>0</v>
      </c>
      <c r="N187" s="1035">
        <v>0</v>
      </c>
      <c r="O187" s="1036">
        <v>0</v>
      </c>
      <c r="P187" s="1032">
        <f t="shared" si="328"/>
        <v>0</v>
      </c>
      <c r="Q187" s="1035">
        <v>1</v>
      </c>
      <c r="R187" s="1036">
        <v>1</v>
      </c>
      <c r="S187" s="1032">
        <f t="shared" si="329"/>
        <v>2</v>
      </c>
      <c r="T187" s="1035">
        <v>0</v>
      </c>
      <c r="U187" s="1036">
        <v>1</v>
      </c>
      <c r="V187" s="1032">
        <f t="shared" si="330"/>
        <v>1</v>
      </c>
      <c r="W187" s="1037">
        <f t="shared" si="331"/>
        <v>7</v>
      </c>
      <c r="X187" s="1038">
        <v>0</v>
      </c>
      <c r="Y187" s="1039">
        <v>0</v>
      </c>
      <c r="Z187" s="1408">
        <v>0</v>
      </c>
      <c r="AA187" s="1040">
        <f t="shared" si="332"/>
        <v>0</v>
      </c>
      <c r="AB187" s="1038">
        <v>0</v>
      </c>
      <c r="AC187" s="1039">
        <v>1</v>
      </c>
      <c r="AD187" s="1040">
        <f t="shared" si="333"/>
        <v>1</v>
      </c>
      <c r="AE187" s="1038">
        <v>1</v>
      </c>
      <c r="AF187" s="1040">
        <f t="shared" si="334"/>
        <v>1</v>
      </c>
      <c r="AG187" s="1038">
        <v>2</v>
      </c>
      <c r="AH187" s="1040">
        <f t="shared" si="335"/>
        <v>2</v>
      </c>
      <c r="AI187" s="1038">
        <v>0</v>
      </c>
      <c r="AJ187" s="1039">
        <v>0</v>
      </c>
      <c r="AK187" s="1039">
        <v>0</v>
      </c>
      <c r="AL187" s="1039">
        <v>0</v>
      </c>
      <c r="AM187" s="1041">
        <v>0</v>
      </c>
      <c r="AN187" s="1041">
        <v>0</v>
      </c>
      <c r="AO187" s="1040">
        <f t="shared" si="336"/>
        <v>0</v>
      </c>
      <c r="AP187" s="1038">
        <v>2</v>
      </c>
      <c r="AQ187" s="1040">
        <f t="shared" si="337"/>
        <v>2</v>
      </c>
      <c r="AR187" s="1038">
        <v>0</v>
      </c>
      <c r="AS187" s="1039">
        <v>0</v>
      </c>
      <c r="AT187" s="1408">
        <v>0</v>
      </c>
      <c r="AU187" s="1040">
        <f t="shared" si="338"/>
        <v>0</v>
      </c>
      <c r="AV187" s="1038">
        <v>0</v>
      </c>
      <c r="AW187" s="1039">
        <v>0</v>
      </c>
      <c r="AX187" s="1040">
        <f t="shared" si="339"/>
        <v>0</v>
      </c>
      <c r="AY187" s="1038">
        <v>0</v>
      </c>
      <c r="AZ187" s="1040">
        <f t="shared" si="340"/>
        <v>0</v>
      </c>
      <c r="BA187" s="1038">
        <v>0</v>
      </c>
      <c r="BB187" s="1039">
        <v>0</v>
      </c>
      <c r="BC187" s="1040">
        <f t="shared" si="341"/>
        <v>0</v>
      </c>
      <c r="BD187" s="1042">
        <f t="shared" si="342"/>
        <v>6</v>
      </c>
      <c r="BE187" s="1052"/>
      <c r="BF187" s="1053"/>
      <c r="BG187" s="1048">
        <f t="shared" si="322"/>
        <v>0</v>
      </c>
      <c r="BH187" s="1052"/>
      <c r="BI187" s="1053"/>
      <c r="BJ187" s="1053"/>
      <c r="BK187" s="1053"/>
      <c r="BL187" s="1048">
        <f t="shared" si="343"/>
        <v>0</v>
      </c>
      <c r="BM187" s="1052"/>
      <c r="BN187" s="1053"/>
      <c r="BO187" s="1048">
        <f t="shared" si="344"/>
        <v>0</v>
      </c>
      <c r="BP187" s="1049"/>
      <c r="BQ187" s="1050"/>
      <c r="BR187" s="1050"/>
      <c r="BS187" s="1050"/>
      <c r="BT187" s="1053"/>
      <c r="BU187" s="1048">
        <f t="shared" si="345"/>
        <v>0</v>
      </c>
      <c r="BV187" s="1049"/>
      <c r="BW187" s="1050"/>
      <c r="BX187" s="1050"/>
      <c r="BY187" s="1050"/>
      <c r="BZ187" s="1050"/>
      <c r="CA187" s="1050"/>
      <c r="CB187" s="1053"/>
      <c r="CC187" s="1048">
        <f t="shared" si="346"/>
        <v>0</v>
      </c>
      <c r="CD187" s="1052"/>
      <c r="CE187" s="1053"/>
      <c r="CF187" s="1053"/>
      <c r="CG187" s="1053"/>
      <c r="CH187" s="1048">
        <f t="shared" si="347"/>
        <v>0</v>
      </c>
      <c r="CI187" s="1052"/>
      <c r="CJ187" s="1053"/>
      <c r="CK187" s="1053"/>
      <c r="CL187" s="1053"/>
      <c r="CM187" s="1053"/>
      <c r="CN187" s="1053"/>
      <c r="CO187" s="1051">
        <f t="shared" si="348"/>
        <v>0</v>
      </c>
      <c r="CP187" s="1052"/>
      <c r="CQ187" s="1053"/>
      <c r="CR187" s="1048">
        <f t="shared" si="349"/>
        <v>0</v>
      </c>
      <c r="CS187" s="1052"/>
      <c r="CT187" s="1053">
        <v>1</v>
      </c>
      <c r="CU187" s="1053"/>
      <c r="CV187" s="1053"/>
      <c r="CW187" s="1048">
        <f t="shared" si="350"/>
        <v>1</v>
      </c>
      <c r="CX187" s="1052"/>
      <c r="CY187" s="1048">
        <f t="shared" si="351"/>
        <v>0</v>
      </c>
      <c r="CZ187" s="1103">
        <f t="shared" si="352"/>
        <v>1</v>
      </c>
      <c r="DA187" s="1104">
        <f t="shared" si="353"/>
        <v>14</v>
      </c>
      <c r="DI187" s="1042">
        <f t="shared" si="354"/>
        <v>0</v>
      </c>
    </row>
    <row r="188" spans="1:113" s="1055" customFormat="1">
      <c r="A188" s="1028" t="s">
        <v>1428</v>
      </c>
      <c r="B188" s="1102" t="s">
        <v>1014</v>
      </c>
      <c r="C188" s="1030" t="s">
        <v>81</v>
      </c>
      <c r="D188" s="1035"/>
      <c r="E188" s="1032">
        <f t="shared" si="321"/>
        <v>0</v>
      </c>
      <c r="F188" s="1035">
        <v>1372</v>
      </c>
      <c r="G188" s="1036">
        <v>8598.4700000000012</v>
      </c>
      <c r="H188" s="1032">
        <f t="shared" si="325"/>
        <v>9970.4700000000012</v>
      </c>
      <c r="I188" s="1035">
        <v>10000</v>
      </c>
      <c r="J188" s="1032">
        <f t="shared" si="326"/>
        <v>10000</v>
      </c>
      <c r="K188" s="1035">
        <v>0</v>
      </c>
      <c r="L188" s="1074">
        <v>0</v>
      </c>
      <c r="M188" s="1032">
        <f t="shared" si="327"/>
        <v>0</v>
      </c>
      <c r="N188" s="1035">
        <v>0</v>
      </c>
      <c r="O188" s="1036">
        <v>0</v>
      </c>
      <c r="P188" s="1032">
        <f t="shared" si="328"/>
        <v>0</v>
      </c>
      <c r="Q188" s="1035">
        <v>905</v>
      </c>
      <c r="R188" s="1036">
        <v>2030</v>
      </c>
      <c r="S188" s="1032">
        <f t="shared" si="329"/>
        <v>2935</v>
      </c>
      <c r="T188" s="1035">
        <v>870</v>
      </c>
      <c r="U188" s="1036">
        <v>2030</v>
      </c>
      <c r="V188" s="1032">
        <f t="shared" si="330"/>
        <v>2900</v>
      </c>
      <c r="W188" s="1037">
        <f t="shared" si="331"/>
        <v>25805.47</v>
      </c>
      <c r="X188" s="1038">
        <v>67</v>
      </c>
      <c r="Y188" s="1039">
        <v>184</v>
      </c>
      <c r="Z188" s="1408">
        <v>540</v>
      </c>
      <c r="AA188" s="1040">
        <f t="shared" ref="AA188" si="355">SUM(Z188)</f>
        <v>540</v>
      </c>
      <c r="AB188" s="1038">
        <v>1.619</v>
      </c>
      <c r="AC188" s="1039">
        <v>1.5</v>
      </c>
      <c r="AD188" s="1040">
        <f t="shared" si="333"/>
        <v>3.1189999999999998</v>
      </c>
      <c r="AE188" s="1038">
        <v>10100</v>
      </c>
      <c r="AF188" s="1040">
        <f t="shared" si="334"/>
        <v>10100</v>
      </c>
      <c r="AG188" s="1038">
        <v>10000</v>
      </c>
      <c r="AH188" s="1040">
        <f t="shared" si="335"/>
        <v>10000</v>
      </c>
      <c r="AI188" s="1038">
        <v>1867</v>
      </c>
      <c r="AJ188" s="1039">
        <v>263</v>
      </c>
      <c r="AK188" s="1039">
        <v>972</v>
      </c>
      <c r="AL188" s="1039">
        <v>2692</v>
      </c>
      <c r="AM188" s="1041">
        <v>0</v>
      </c>
      <c r="AN188" s="1041">
        <v>0</v>
      </c>
      <c r="AO188" s="1040">
        <f t="shared" ref="AO188:AO190" si="356">AI188+AM188+AN188</f>
        <v>1867</v>
      </c>
      <c r="AP188" s="1038">
        <v>10000</v>
      </c>
      <c r="AQ188" s="1040">
        <f t="shared" si="337"/>
        <v>10000</v>
      </c>
      <c r="AR188" s="1038">
        <v>1893</v>
      </c>
      <c r="AS188" s="1039">
        <v>2152</v>
      </c>
      <c r="AT188" s="1408">
        <v>861</v>
      </c>
      <c r="AU188" s="1040">
        <f t="shared" si="338"/>
        <v>861</v>
      </c>
      <c r="AV188" s="1038">
        <v>60</v>
      </c>
      <c r="AW188" s="1039">
        <v>6626</v>
      </c>
      <c r="AX188" s="1040">
        <f t="shared" si="339"/>
        <v>6686</v>
      </c>
      <c r="AY188" s="1038">
        <v>540</v>
      </c>
      <c r="AZ188" s="1040">
        <f t="shared" si="340"/>
        <v>540</v>
      </c>
      <c r="BA188" s="1038">
        <v>3477.06</v>
      </c>
      <c r="BB188" s="1039">
        <v>1973</v>
      </c>
      <c r="BC188" s="1040">
        <f t="shared" si="341"/>
        <v>5450.0599999999995</v>
      </c>
      <c r="BD188" s="1042">
        <f t="shared" si="342"/>
        <v>46047.178999999996</v>
      </c>
      <c r="BE188" s="1052"/>
      <c r="BF188" s="1053"/>
      <c r="BG188" s="1048">
        <f t="shared" si="322"/>
        <v>0</v>
      </c>
      <c r="BH188" s="1052">
        <v>770</v>
      </c>
      <c r="BI188" s="1053">
        <v>220</v>
      </c>
      <c r="BJ188" s="1053">
        <v>1000</v>
      </c>
      <c r="BK188" s="1053">
        <v>200</v>
      </c>
      <c r="BL188" s="1048">
        <f t="shared" si="343"/>
        <v>2190</v>
      </c>
      <c r="BM188" s="1052">
        <v>1200</v>
      </c>
      <c r="BN188" s="1053">
        <v>200</v>
      </c>
      <c r="BO188" s="1048">
        <f t="shared" si="344"/>
        <v>1400</v>
      </c>
      <c r="BP188" s="1052"/>
      <c r="BQ188" s="1053">
        <v>610</v>
      </c>
      <c r="BR188" s="1053">
        <v>640</v>
      </c>
      <c r="BS188" s="1053">
        <v>1084</v>
      </c>
      <c r="BT188" s="1053">
        <v>480</v>
      </c>
      <c r="BU188" s="1048">
        <f t="shared" si="345"/>
        <v>2814</v>
      </c>
      <c r="BV188" s="1052">
        <v>162.13999999999999</v>
      </c>
      <c r="BW188" s="1053">
        <v>535.52</v>
      </c>
      <c r="BX188" s="1053">
        <v>2390</v>
      </c>
      <c r="BY188" s="1053">
        <v>270</v>
      </c>
      <c r="BZ188" s="1053">
        <v>870</v>
      </c>
      <c r="CA188" s="1053">
        <v>330</v>
      </c>
      <c r="CB188" s="1053">
        <v>480</v>
      </c>
      <c r="CC188" s="1048">
        <f t="shared" si="346"/>
        <v>5037.66</v>
      </c>
      <c r="CD188" s="1052">
        <v>60</v>
      </c>
      <c r="CE188" s="1053">
        <v>330</v>
      </c>
      <c r="CF188" s="1053">
        <v>120</v>
      </c>
      <c r="CG188" s="1053">
        <v>120</v>
      </c>
      <c r="CH188" s="1048">
        <f t="shared" si="347"/>
        <v>630</v>
      </c>
      <c r="CI188" s="1052">
        <v>610</v>
      </c>
      <c r="CJ188" s="1053">
        <v>90</v>
      </c>
      <c r="CK188" s="1053">
        <v>710</v>
      </c>
      <c r="CL188" s="1053">
        <v>260</v>
      </c>
      <c r="CM188" s="1053">
        <v>2130</v>
      </c>
      <c r="CN188" s="1053">
        <v>1655.42</v>
      </c>
      <c r="CO188" s="1051">
        <f t="shared" si="348"/>
        <v>5455.42</v>
      </c>
      <c r="CP188" s="1052">
        <v>630</v>
      </c>
      <c r="CQ188" s="1053">
        <v>380</v>
      </c>
      <c r="CR188" s="1048">
        <f t="shared" si="349"/>
        <v>1010</v>
      </c>
      <c r="CS188" s="1052">
        <v>1227</v>
      </c>
      <c r="CT188" s="1053">
        <v>808</v>
      </c>
      <c r="CU188" s="1053">
        <v>126</v>
      </c>
      <c r="CV188" s="1053">
        <v>555</v>
      </c>
      <c r="CW188" s="1048">
        <f t="shared" si="350"/>
        <v>2716</v>
      </c>
      <c r="CX188" s="1052">
        <v>240</v>
      </c>
      <c r="CY188" s="1048">
        <f t="shared" si="351"/>
        <v>240</v>
      </c>
      <c r="CZ188" s="1103">
        <f t="shared" si="352"/>
        <v>21493.079999999998</v>
      </c>
      <c r="DA188" s="1104">
        <f t="shared" si="353"/>
        <v>93345.728999999992</v>
      </c>
      <c r="DI188" s="1042">
        <f t="shared" si="354"/>
        <v>26426.079999999998</v>
      </c>
    </row>
    <row r="189" spans="1:113" s="1055" customFormat="1">
      <c r="A189" s="1028" t="s">
        <v>1429</v>
      </c>
      <c r="B189" s="1102" t="s">
        <v>1015</v>
      </c>
      <c r="C189" s="1030" t="s">
        <v>827</v>
      </c>
      <c r="D189" s="1035"/>
      <c r="E189" s="1032">
        <f t="shared" si="321"/>
        <v>0</v>
      </c>
      <c r="F189" s="1035">
        <v>0</v>
      </c>
      <c r="G189" s="1036">
        <v>10</v>
      </c>
      <c r="H189" s="1032">
        <f t="shared" si="325"/>
        <v>10</v>
      </c>
      <c r="I189" s="1035">
        <v>9</v>
      </c>
      <c r="J189" s="1032">
        <f t="shared" si="326"/>
        <v>9</v>
      </c>
      <c r="K189" s="1035">
        <v>0</v>
      </c>
      <c r="L189" s="1074">
        <v>0</v>
      </c>
      <c r="M189" s="1032">
        <f t="shared" si="327"/>
        <v>0</v>
      </c>
      <c r="N189" s="1035">
        <v>5</v>
      </c>
      <c r="O189" s="1036">
        <v>2</v>
      </c>
      <c r="P189" s="1032">
        <f t="shared" si="328"/>
        <v>7</v>
      </c>
      <c r="Q189" s="1035">
        <v>0</v>
      </c>
      <c r="R189" s="1036">
        <v>1</v>
      </c>
      <c r="S189" s="1032">
        <f t="shared" si="329"/>
        <v>1</v>
      </c>
      <c r="T189" s="1035">
        <v>0</v>
      </c>
      <c r="U189" s="1036">
        <v>1</v>
      </c>
      <c r="V189" s="1032">
        <f t="shared" si="330"/>
        <v>1</v>
      </c>
      <c r="W189" s="1037">
        <f t="shared" si="331"/>
        <v>28</v>
      </c>
      <c r="X189" s="1038">
        <v>0</v>
      </c>
      <c r="Y189" s="1039">
        <v>0</v>
      </c>
      <c r="Z189" s="1408">
        <v>0</v>
      </c>
      <c r="AA189" s="1040">
        <f t="shared" si="332"/>
        <v>0</v>
      </c>
      <c r="AB189" s="1038">
        <v>0</v>
      </c>
      <c r="AC189" s="1039">
        <v>0</v>
      </c>
      <c r="AD189" s="1040">
        <f t="shared" si="333"/>
        <v>0</v>
      </c>
      <c r="AE189" s="1038">
        <v>1</v>
      </c>
      <c r="AF189" s="1040">
        <f t="shared" si="334"/>
        <v>1</v>
      </c>
      <c r="AG189" s="1038">
        <v>2</v>
      </c>
      <c r="AH189" s="1040">
        <f t="shared" si="335"/>
        <v>2</v>
      </c>
      <c r="AI189" s="1038">
        <v>1</v>
      </c>
      <c r="AJ189" s="1039">
        <v>0</v>
      </c>
      <c r="AK189" s="1039">
        <v>2</v>
      </c>
      <c r="AL189" s="1039">
        <v>2</v>
      </c>
      <c r="AM189" s="1041">
        <v>0</v>
      </c>
      <c r="AN189" s="1041">
        <v>0</v>
      </c>
      <c r="AO189" s="1040">
        <f t="shared" si="356"/>
        <v>1</v>
      </c>
      <c r="AP189" s="1038">
        <v>1</v>
      </c>
      <c r="AQ189" s="1040">
        <f t="shared" si="337"/>
        <v>1</v>
      </c>
      <c r="AR189" s="1038">
        <v>0</v>
      </c>
      <c r="AS189" s="1039">
        <v>0</v>
      </c>
      <c r="AT189" s="1408">
        <v>0</v>
      </c>
      <c r="AU189" s="1040">
        <f t="shared" si="338"/>
        <v>0</v>
      </c>
      <c r="AV189" s="1038">
        <v>0</v>
      </c>
      <c r="AW189" s="1039">
        <v>0</v>
      </c>
      <c r="AX189" s="1040">
        <f t="shared" si="339"/>
        <v>0</v>
      </c>
      <c r="AY189" s="1038">
        <v>0</v>
      </c>
      <c r="AZ189" s="1040">
        <f t="shared" si="340"/>
        <v>0</v>
      </c>
      <c r="BA189" s="1038">
        <v>1</v>
      </c>
      <c r="BB189" s="1039">
        <v>2</v>
      </c>
      <c r="BC189" s="1040">
        <f t="shared" si="341"/>
        <v>3</v>
      </c>
      <c r="BD189" s="1042">
        <f t="shared" si="342"/>
        <v>8</v>
      </c>
      <c r="BE189" s="1052"/>
      <c r="BF189" s="1053"/>
      <c r="BG189" s="1048">
        <f t="shared" si="322"/>
        <v>0</v>
      </c>
      <c r="BH189" s="1052"/>
      <c r="BI189" s="1053"/>
      <c r="BJ189" s="1053"/>
      <c r="BK189" s="1053"/>
      <c r="BL189" s="1048">
        <f t="shared" si="343"/>
        <v>0</v>
      </c>
      <c r="BM189" s="1052"/>
      <c r="BN189" s="1053"/>
      <c r="BO189" s="1048">
        <f t="shared" si="344"/>
        <v>0</v>
      </c>
      <c r="BP189" s="1049"/>
      <c r="BQ189" s="1050"/>
      <c r="BR189" s="1050"/>
      <c r="BS189" s="1050"/>
      <c r="BT189" s="1053"/>
      <c r="BU189" s="1048">
        <f t="shared" si="345"/>
        <v>0</v>
      </c>
      <c r="BV189" s="1049"/>
      <c r="BW189" s="1050"/>
      <c r="BX189" s="1050"/>
      <c r="BY189" s="1050"/>
      <c r="BZ189" s="1050"/>
      <c r="CA189" s="1050"/>
      <c r="CB189" s="1053"/>
      <c r="CC189" s="1048">
        <f t="shared" si="346"/>
        <v>0</v>
      </c>
      <c r="CD189" s="1052"/>
      <c r="CE189" s="1053"/>
      <c r="CF189" s="1053"/>
      <c r="CG189" s="1053"/>
      <c r="CH189" s="1048">
        <f t="shared" si="347"/>
        <v>0</v>
      </c>
      <c r="CI189" s="1052"/>
      <c r="CJ189" s="1053"/>
      <c r="CK189" s="1053"/>
      <c r="CL189" s="1053"/>
      <c r="CM189" s="1053">
        <v>2</v>
      </c>
      <c r="CN189" s="1053">
        <v>2</v>
      </c>
      <c r="CO189" s="1051">
        <f t="shared" si="348"/>
        <v>4</v>
      </c>
      <c r="CP189" s="1052"/>
      <c r="CQ189" s="1053"/>
      <c r="CR189" s="1048">
        <f t="shared" si="349"/>
        <v>0</v>
      </c>
      <c r="CS189" s="1052">
        <v>1</v>
      </c>
      <c r="CT189" s="1053">
        <v>4</v>
      </c>
      <c r="CU189" s="1053"/>
      <c r="CV189" s="1053">
        <v>1</v>
      </c>
      <c r="CW189" s="1048">
        <f t="shared" si="350"/>
        <v>6</v>
      </c>
      <c r="CX189" s="1052"/>
      <c r="CY189" s="1048">
        <f t="shared" si="351"/>
        <v>0</v>
      </c>
      <c r="CZ189" s="1103">
        <f t="shared" si="352"/>
        <v>10</v>
      </c>
      <c r="DA189" s="1104">
        <f t="shared" si="353"/>
        <v>46</v>
      </c>
      <c r="DI189" s="1042">
        <f t="shared" si="354"/>
        <v>0</v>
      </c>
    </row>
    <row r="190" spans="1:113" s="1055" customFormat="1">
      <c r="A190" s="1028" t="s">
        <v>1430</v>
      </c>
      <c r="B190" s="1102" t="s">
        <v>1016</v>
      </c>
      <c r="C190" s="1030" t="s">
        <v>827</v>
      </c>
      <c r="D190" s="1035"/>
      <c r="E190" s="1032">
        <f t="shared" si="321"/>
        <v>0</v>
      </c>
      <c r="F190" s="1035">
        <v>0</v>
      </c>
      <c r="G190" s="1036">
        <v>0</v>
      </c>
      <c r="H190" s="1032">
        <f t="shared" si="325"/>
        <v>0</v>
      </c>
      <c r="I190" s="1035">
        <v>1</v>
      </c>
      <c r="J190" s="1032">
        <f t="shared" si="326"/>
        <v>1</v>
      </c>
      <c r="K190" s="1035">
        <v>0</v>
      </c>
      <c r="L190" s="1074">
        <v>0</v>
      </c>
      <c r="M190" s="1032">
        <f t="shared" si="327"/>
        <v>0</v>
      </c>
      <c r="N190" s="1035">
        <v>0</v>
      </c>
      <c r="O190" s="1036">
        <v>0</v>
      </c>
      <c r="P190" s="1032">
        <f t="shared" si="328"/>
        <v>0</v>
      </c>
      <c r="Q190" s="1035">
        <v>0</v>
      </c>
      <c r="R190" s="1036">
        <v>0</v>
      </c>
      <c r="S190" s="1032">
        <f t="shared" si="329"/>
        <v>0</v>
      </c>
      <c r="T190" s="1035">
        <v>1</v>
      </c>
      <c r="U190" s="1036">
        <v>0</v>
      </c>
      <c r="V190" s="1032">
        <f t="shared" si="330"/>
        <v>1</v>
      </c>
      <c r="W190" s="1037">
        <f t="shared" si="331"/>
        <v>2</v>
      </c>
      <c r="X190" s="1038">
        <v>0</v>
      </c>
      <c r="Y190" s="1039">
        <v>0</v>
      </c>
      <c r="Z190" s="1408">
        <v>0</v>
      </c>
      <c r="AA190" s="1040">
        <f t="shared" si="332"/>
        <v>0</v>
      </c>
      <c r="AB190" s="1038">
        <v>0</v>
      </c>
      <c r="AC190" s="1039">
        <v>0</v>
      </c>
      <c r="AD190" s="1040">
        <f t="shared" si="333"/>
        <v>0</v>
      </c>
      <c r="AE190" s="1038">
        <v>4</v>
      </c>
      <c r="AF190" s="1040">
        <f t="shared" si="334"/>
        <v>4</v>
      </c>
      <c r="AG190" s="1038">
        <v>0</v>
      </c>
      <c r="AH190" s="1040">
        <f t="shared" si="335"/>
        <v>0</v>
      </c>
      <c r="AI190" s="1038">
        <v>1</v>
      </c>
      <c r="AJ190" s="1039">
        <v>0</v>
      </c>
      <c r="AK190" s="1039">
        <v>0</v>
      </c>
      <c r="AL190" s="1039">
        <v>1</v>
      </c>
      <c r="AM190" s="1041">
        <v>0</v>
      </c>
      <c r="AN190" s="1041">
        <v>0</v>
      </c>
      <c r="AO190" s="1040">
        <f t="shared" si="356"/>
        <v>1</v>
      </c>
      <c r="AP190" s="1038">
        <v>2</v>
      </c>
      <c r="AQ190" s="1040">
        <f t="shared" si="337"/>
        <v>2</v>
      </c>
      <c r="AR190" s="1038">
        <v>0</v>
      </c>
      <c r="AS190" s="1039">
        <v>0</v>
      </c>
      <c r="AT190" s="1408">
        <v>0</v>
      </c>
      <c r="AU190" s="1040">
        <f t="shared" si="338"/>
        <v>0</v>
      </c>
      <c r="AV190" s="1038">
        <v>0</v>
      </c>
      <c r="AW190" s="1039">
        <v>0</v>
      </c>
      <c r="AX190" s="1040">
        <f t="shared" si="339"/>
        <v>0</v>
      </c>
      <c r="AY190" s="1038">
        <v>1</v>
      </c>
      <c r="AZ190" s="1040">
        <f t="shared" si="340"/>
        <v>1</v>
      </c>
      <c r="BA190" s="1038">
        <v>0</v>
      </c>
      <c r="BB190" s="1039">
        <v>1</v>
      </c>
      <c r="BC190" s="1040">
        <f t="shared" si="341"/>
        <v>1</v>
      </c>
      <c r="BD190" s="1042">
        <f t="shared" si="342"/>
        <v>9</v>
      </c>
      <c r="BE190" s="1052"/>
      <c r="BF190" s="1053"/>
      <c r="BG190" s="1048">
        <f t="shared" si="322"/>
        <v>0</v>
      </c>
      <c r="BH190" s="1052"/>
      <c r="BI190" s="1053"/>
      <c r="BJ190" s="1053"/>
      <c r="BK190" s="1053"/>
      <c r="BL190" s="1048">
        <f t="shared" si="343"/>
        <v>0</v>
      </c>
      <c r="BM190" s="1052"/>
      <c r="BN190" s="1053"/>
      <c r="BO190" s="1048">
        <f t="shared" si="344"/>
        <v>0</v>
      </c>
      <c r="BP190" s="1049"/>
      <c r="BQ190" s="1050"/>
      <c r="BR190" s="1050"/>
      <c r="BS190" s="1050"/>
      <c r="BT190" s="1053"/>
      <c r="BU190" s="1048">
        <f t="shared" si="345"/>
        <v>0</v>
      </c>
      <c r="BV190" s="1049"/>
      <c r="BW190" s="1050"/>
      <c r="BX190" s="1050"/>
      <c r="BY190" s="1050"/>
      <c r="BZ190" s="1050"/>
      <c r="CA190" s="1050"/>
      <c r="CB190" s="1053"/>
      <c r="CC190" s="1048">
        <f t="shared" si="346"/>
        <v>0</v>
      </c>
      <c r="CD190" s="1052"/>
      <c r="CE190" s="1053"/>
      <c r="CF190" s="1053"/>
      <c r="CG190" s="1053"/>
      <c r="CH190" s="1048">
        <f t="shared" si="347"/>
        <v>0</v>
      </c>
      <c r="CI190" s="1052"/>
      <c r="CJ190" s="1053"/>
      <c r="CK190" s="1053"/>
      <c r="CL190" s="1053"/>
      <c r="CM190" s="1053"/>
      <c r="CN190" s="1053"/>
      <c r="CO190" s="1051">
        <f t="shared" si="348"/>
        <v>0</v>
      </c>
      <c r="CP190" s="1052"/>
      <c r="CQ190" s="1053"/>
      <c r="CR190" s="1048">
        <f t="shared" si="349"/>
        <v>0</v>
      </c>
      <c r="CS190" s="1052"/>
      <c r="CT190" s="1053"/>
      <c r="CU190" s="1053"/>
      <c r="CV190" s="1053"/>
      <c r="CW190" s="1048">
        <f t="shared" si="350"/>
        <v>0</v>
      </c>
      <c r="CX190" s="1052"/>
      <c r="CY190" s="1048">
        <f t="shared" si="351"/>
        <v>0</v>
      </c>
      <c r="CZ190" s="1103">
        <f t="shared" si="352"/>
        <v>0</v>
      </c>
      <c r="DA190" s="1104">
        <f t="shared" si="353"/>
        <v>11</v>
      </c>
      <c r="DI190" s="1042">
        <f t="shared" si="354"/>
        <v>0</v>
      </c>
    </row>
    <row r="191" spans="1:113" s="1158" customFormat="1">
      <c r="A191" s="1137" t="s">
        <v>1462</v>
      </c>
      <c r="B191" s="1138" t="s">
        <v>1463</v>
      </c>
      <c r="C191" s="1139" t="s">
        <v>11</v>
      </c>
      <c r="D191" s="1140"/>
      <c r="E191" s="1141"/>
      <c r="F191" s="1140"/>
      <c r="G191" s="1142"/>
      <c r="H191" s="1141"/>
      <c r="I191" s="1140"/>
      <c r="J191" s="1141"/>
      <c r="K191" s="1140"/>
      <c r="L191" s="1143"/>
      <c r="M191" s="1141"/>
      <c r="N191" s="1140"/>
      <c r="O191" s="1142"/>
      <c r="P191" s="1141"/>
      <c r="Q191" s="1140"/>
      <c r="R191" s="1142"/>
      <c r="S191" s="1141"/>
      <c r="T191" s="1140"/>
      <c r="U191" s="1142"/>
      <c r="V191" s="1141"/>
      <c r="W191" s="1144"/>
      <c r="X191" s="1145"/>
      <c r="Y191" s="1146"/>
      <c r="Z191" s="1408"/>
      <c r="AA191" s="1147"/>
      <c r="AB191" s="1145"/>
      <c r="AC191" s="1146"/>
      <c r="AD191" s="1147"/>
      <c r="AE191" s="1145"/>
      <c r="AF191" s="1147"/>
      <c r="AG191" s="1145"/>
      <c r="AH191" s="1147"/>
      <c r="AI191" s="1145"/>
      <c r="AJ191" s="1146"/>
      <c r="AK191" s="1146"/>
      <c r="AL191" s="1146"/>
      <c r="AM191" s="1148"/>
      <c r="AN191" s="1148"/>
      <c r="AO191" s="1147"/>
      <c r="AP191" s="1145"/>
      <c r="AQ191" s="1147"/>
      <c r="AR191" s="1145"/>
      <c r="AS191" s="1146"/>
      <c r="AT191" s="1408"/>
      <c r="AU191" s="1040">
        <f t="shared" si="338"/>
        <v>0</v>
      </c>
      <c r="AV191" s="1145"/>
      <c r="AW191" s="1146"/>
      <c r="AX191" s="1147"/>
      <c r="AY191" s="1145"/>
      <c r="AZ191" s="1147"/>
      <c r="BA191" s="1145"/>
      <c r="BB191" s="1146"/>
      <c r="BC191" s="1147"/>
      <c r="BD191" s="1149"/>
      <c r="BE191" s="1150"/>
      <c r="BF191" s="1151"/>
      <c r="BG191" s="1152"/>
      <c r="BH191" s="1150"/>
      <c r="BI191" s="1151"/>
      <c r="BJ191" s="1151"/>
      <c r="BK191" s="1151">
        <v>42</v>
      </c>
      <c r="BL191" s="1152">
        <f>+BK191</f>
        <v>42</v>
      </c>
      <c r="BM191" s="1150"/>
      <c r="BN191" s="1151"/>
      <c r="BO191" s="1152"/>
      <c r="BP191" s="1153"/>
      <c r="BQ191" s="1154"/>
      <c r="BR191" s="1154"/>
      <c r="BS191" s="1154"/>
      <c r="BT191" s="1151"/>
      <c r="BU191" s="1152"/>
      <c r="BV191" s="1153"/>
      <c r="BW191" s="1154"/>
      <c r="BX191" s="1154"/>
      <c r="BY191" s="1154"/>
      <c r="BZ191" s="1154"/>
      <c r="CA191" s="1154"/>
      <c r="CB191" s="1151"/>
      <c r="CC191" s="1152"/>
      <c r="CD191" s="1150"/>
      <c r="CE191" s="1151"/>
      <c r="CF191" s="1151"/>
      <c r="CG191" s="1151"/>
      <c r="CH191" s="1152"/>
      <c r="CI191" s="1150"/>
      <c r="CJ191" s="1151"/>
      <c r="CK191" s="1151"/>
      <c r="CL191" s="1151"/>
      <c r="CM191" s="1151"/>
      <c r="CN191" s="1151"/>
      <c r="CO191" s="1155"/>
      <c r="CP191" s="1150"/>
      <c r="CQ191" s="1151"/>
      <c r="CR191" s="1152"/>
      <c r="CS191" s="1150"/>
      <c r="CT191" s="1151"/>
      <c r="CU191" s="1151"/>
      <c r="CV191" s="1151"/>
      <c r="CW191" s="1152"/>
      <c r="CX191" s="1150"/>
      <c r="CY191" s="1152"/>
      <c r="CZ191" s="1156">
        <f t="shared" si="352"/>
        <v>42</v>
      </c>
      <c r="DA191" s="1157">
        <f t="shared" si="353"/>
        <v>42</v>
      </c>
      <c r="DI191" s="1149"/>
    </row>
    <row r="192" spans="1:113" s="1181" customFormat="1">
      <c r="A192" s="1160"/>
      <c r="B192" s="1161"/>
      <c r="C192" s="1162"/>
      <c r="D192" s="1163"/>
      <c r="E192" s="1164"/>
      <c r="F192" s="1163"/>
      <c r="G192" s="1165"/>
      <c r="H192" s="1164"/>
      <c r="I192" s="1163"/>
      <c r="J192" s="1164"/>
      <c r="K192" s="1163"/>
      <c r="L192" s="1166"/>
      <c r="M192" s="1164"/>
      <c r="N192" s="1163"/>
      <c r="O192" s="1165"/>
      <c r="P192" s="1164"/>
      <c r="Q192" s="1163"/>
      <c r="R192" s="1165"/>
      <c r="S192" s="1164"/>
      <c r="T192" s="1163"/>
      <c r="U192" s="1165"/>
      <c r="V192" s="1164"/>
      <c r="W192" s="1167"/>
      <c r="X192" s="1168"/>
      <c r="Y192" s="1169"/>
      <c r="Z192" s="1169"/>
      <c r="AA192" s="1170"/>
      <c r="AB192" s="1168"/>
      <c r="AC192" s="1169"/>
      <c r="AD192" s="1170"/>
      <c r="AE192" s="1168"/>
      <c r="AF192" s="1170"/>
      <c r="AG192" s="1168"/>
      <c r="AH192" s="1170"/>
      <c r="AI192" s="1168"/>
      <c r="AJ192" s="1169"/>
      <c r="AK192" s="1169"/>
      <c r="AL192" s="1169"/>
      <c r="AM192" s="1171"/>
      <c r="AN192" s="1171"/>
      <c r="AO192" s="1170"/>
      <c r="AP192" s="1168"/>
      <c r="AQ192" s="1170"/>
      <c r="AR192" s="1168"/>
      <c r="AS192" s="1169"/>
      <c r="AT192" s="1408"/>
      <c r="AU192" s="1170"/>
      <c r="AV192" s="1168"/>
      <c r="AW192" s="1169"/>
      <c r="AX192" s="1170"/>
      <c r="AY192" s="1168"/>
      <c r="AZ192" s="1170"/>
      <c r="BA192" s="1168"/>
      <c r="BB192" s="1169"/>
      <c r="BC192" s="1170"/>
      <c r="BD192" s="1172"/>
      <c r="BE192" s="1173"/>
      <c r="BF192" s="1174"/>
      <c r="BG192" s="1175"/>
      <c r="BH192" s="1173"/>
      <c r="BI192" s="1174"/>
      <c r="BJ192" s="1174"/>
      <c r="BK192" s="1174"/>
      <c r="BL192" s="1175"/>
      <c r="BM192" s="1173"/>
      <c r="BN192" s="1174"/>
      <c r="BO192" s="1175"/>
      <c r="BP192" s="1176"/>
      <c r="BQ192" s="1177"/>
      <c r="BR192" s="1177"/>
      <c r="BS192" s="1177"/>
      <c r="BT192" s="1174"/>
      <c r="BU192" s="1175"/>
      <c r="BV192" s="1176"/>
      <c r="BW192" s="1177"/>
      <c r="BX192" s="1177"/>
      <c r="BY192" s="1177"/>
      <c r="BZ192" s="1177"/>
      <c r="CA192" s="1177"/>
      <c r="CB192" s="1174"/>
      <c r="CC192" s="1175"/>
      <c r="CD192" s="1173"/>
      <c r="CE192" s="1174"/>
      <c r="CF192" s="1174"/>
      <c r="CG192" s="1174"/>
      <c r="CH192" s="1175"/>
      <c r="CI192" s="1173"/>
      <c r="CJ192" s="1174"/>
      <c r="CK192" s="1174"/>
      <c r="CL192" s="1174"/>
      <c r="CM192" s="1174"/>
      <c r="CN192" s="1174"/>
      <c r="CO192" s="1178"/>
      <c r="CP192" s="1173"/>
      <c r="CQ192" s="1174"/>
      <c r="CR192" s="1175"/>
      <c r="CS192" s="1173"/>
      <c r="CT192" s="1174"/>
      <c r="CU192" s="1174"/>
      <c r="CV192" s="1174"/>
      <c r="CW192" s="1175"/>
      <c r="CX192" s="1173"/>
      <c r="CY192" s="1175"/>
      <c r="CZ192" s="1179"/>
      <c r="DA192" s="1180"/>
      <c r="DI192" s="1172"/>
    </row>
  </sheetData>
  <mergeCells count="83">
    <mergeCell ref="BM1:BO2"/>
    <mergeCell ref="AB1:AD2"/>
    <mergeCell ref="AR1:AU2"/>
    <mergeCell ref="AF3:AF5"/>
    <mergeCell ref="A1:A5"/>
    <mergeCell ref="B1:B5"/>
    <mergeCell ref="C1:C5"/>
    <mergeCell ref="D1:E2"/>
    <mergeCell ref="F1:H2"/>
    <mergeCell ref="E3:E5"/>
    <mergeCell ref="F3:G3"/>
    <mergeCell ref="H3:H5"/>
    <mergeCell ref="J3:J5"/>
    <mergeCell ref="K3:L3"/>
    <mergeCell ref="AD3:AD5"/>
    <mergeCell ref="T3:U3"/>
    <mergeCell ref="AB3:AC3"/>
    <mergeCell ref="W1:W5"/>
    <mergeCell ref="BP1:BU2"/>
    <mergeCell ref="BV1:CC2"/>
    <mergeCell ref="CD1:CH2"/>
    <mergeCell ref="AV1:AX2"/>
    <mergeCell ref="AY1:AZ2"/>
    <mergeCell ref="BA1:BC2"/>
    <mergeCell ref="BD1:BD5"/>
    <mergeCell ref="BE1:BG2"/>
    <mergeCell ref="BH1:BL2"/>
    <mergeCell ref="BE3:BE4"/>
    <mergeCell ref="BF3:BF4"/>
    <mergeCell ref="BG3:BG5"/>
    <mergeCell ref="BH3:BK3"/>
    <mergeCell ref="BC3:BC5"/>
    <mergeCell ref="M3:M5"/>
    <mergeCell ref="X1:AA2"/>
    <mergeCell ref="N3:O3"/>
    <mergeCell ref="P3:P5"/>
    <mergeCell ref="Q3:R3"/>
    <mergeCell ref="S3:S5"/>
    <mergeCell ref="V3:V5"/>
    <mergeCell ref="X3:Z3"/>
    <mergeCell ref="AA3:AA5"/>
    <mergeCell ref="I1:J2"/>
    <mergeCell ref="AE1:AF2"/>
    <mergeCell ref="AG1:AH2"/>
    <mergeCell ref="AI1:AO2"/>
    <mergeCell ref="AP1:AQ2"/>
    <mergeCell ref="K1:M2"/>
    <mergeCell ref="N1:P2"/>
    <mergeCell ref="Q1:S2"/>
    <mergeCell ref="T1:V2"/>
    <mergeCell ref="AH3:AH5"/>
    <mergeCell ref="AI3:AL3"/>
    <mergeCell ref="AO3:AO5"/>
    <mergeCell ref="AQ3:AQ5"/>
    <mergeCell ref="AR3:AT3"/>
    <mergeCell ref="DI1:DI5"/>
    <mergeCell ref="BV3:CB3"/>
    <mergeCell ref="CC3:CC5"/>
    <mergeCell ref="CD3:CG3"/>
    <mergeCell ref="CH3:CH5"/>
    <mergeCell ref="CI3:CN3"/>
    <mergeCell ref="CS1:CW2"/>
    <mergeCell ref="CX1:CY2"/>
    <mergeCell ref="CZ1:CZ5"/>
    <mergeCell ref="DA1:DA5"/>
    <mergeCell ref="CI1:CO2"/>
    <mergeCell ref="CP1:CR2"/>
    <mergeCell ref="CY3:CY5"/>
    <mergeCell ref="CO3:CO5"/>
    <mergeCell ref="CR3:CR5"/>
    <mergeCell ref="CS3:CV3"/>
    <mergeCell ref="AU3:AU5"/>
    <mergeCell ref="AV3:AW3"/>
    <mergeCell ref="AX3:AX5"/>
    <mergeCell ref="AZ3:AZ5"/>
    <mergeCell ref="BM3:BN3"/>
    <mergeCell ref="BA3:BB3"/>
    <mergeCell ref="BL3:BL5"/>
    <mergeCell ref="BO3:BO5"/>
    <mergeCell ref="BP3:BT3"/>
    <mergeCell ref="BU3:BU5"/>
    <mergeCell ref="CP3:CQ3"/>
    <mergeCell ref="CW3:CW5"/>
  </mergeCells>
  <conditionalFormatting sqref="DA30 DA7:DA24 DA76:DA82 BH7:BZ24 BH76:BZ82 BH30:BZ30 BH74:BZ74 BH87:BU87 BH88:BZ91 BH33:BZ71 DA33:DA71 DA74 DA87:DA91 DA97 BH97:BZ97 BH102:BZ118 DA102:DA118 BH27:BZ27 DA27 DA94 BH94:BZ94 BE190:DA190 BE100:DA101 DA124:DA189 BH124:BZ189 D190:AN190 D100:BC101 F30:H30 F7:H7 F8:P24 F76:P82 F33:P71 F74:P74 F87:P91 F97:P97 F102:P118 F27:P27 F94:P94 F124:P189 F191:G191 AP190:AT190 AV190:BC190">
    <cfRule type="cellIs" dxfId="281" priority="232" operator="equal">
      <formula>0</formula>
    </cfRule>
  </conditionalFormatting>
  <conditionalFormatting sqref="DA14:DA19 DA21 DA38:DA52 DA65:DA67 DA57:DA60 DA74 DA106:DA118 DA127:DA142 DA144:DA156 DA158:DA188 DA27 DA87:DA91 DA97 DA94 DA76:DA80 DA30">
    <cfRule type="cellIs" dxfId="280" priority="231" operator="equal">
      <formula>0</formula>
    </cfRule>
  </conditionalFormatting>
  <conditionalFormatting sqref="DA189">
    <cfRule type="cellIs" dxfId="279" priority="230" operator="equal">
      <formula>0</formula>
    </cfRule>
  </conditionalFormatting>
  <conditionalFormatting sqref="T30:W30 T76:W80 T94:W94 T97:W97 T87:W91 T27:W27 T158:W189 T144:W156 T127:W142 T106:W118 T74:W74 T57:W60 T65:W67 T38:W52 T21:W21 T16:W19 K16:P19 K21:P21 K38:P52 K65:P67 K57:P60 K74:P74 K106:P118 K127:P142 K144:P156 K27:P27 K87:P91 K97:P97 K94:P94 K76:P80 K30:P30 K158:P189 D190 D100:D101 K190:AN190 K100:BC101 F16:I19 F21:I21 F38:I52 F65:I67 F57:I60 F74:I74 F106:I118 F127:I142 F144:I156 F27:I27 F87:I91 F97:I97 F94:I94 F76:I80 F30:H30 F158:I190 F100:I101 F191:G191 AP190:AT190 AV190:BC190">
    <cfRule type="cellIs" dxfId="278" priority="229" operator="equal">
      <formula>0</formula>
    </cfRule>
  </conditionalFormatting>
  <conditionalFormatting sqref="T30:W30 T76:W82 T7:W24 J30:P30 J7:P7 T33:W71 T74:W74 T87:W91 T97:W97 T102:W118 T27:W27 T94:W94 T124:W189">
    <cfRule type="cellIs" dxfId="277" priority="228" operator="equal">
      <formula>0</formula>
    </cfRule>
  </conditionalFormatting>
  <conditionalFormatting sqref="J189">
    <cfRule type="cellIs" dxfId="276" priority="227" operator="equal">
      <formula>0</formula>
    </cfRule>
  </conditionalFormatting>
  <conditionalFormatting sqref="Q30:S30 Q94:S94 Q97:S97 Q87:S91 Q27:S27 Q158:S189 Q144:S156 Q127:S142 Q106:S118 Q74:S74 Q57:S60 Q65:S67 Q38:S52 Q21:S21 Q16:S19 Q76:S80">
    <cfRule type="cellIs" dxfId="275" priority="226" operator="equal">
      <formula>0</formula>
    </cfRule>
  </conditionalFormatting>
  <conditionalFormatting sqref="Q30:S30 Q7:S24 Q76:S82 Q33:S71 Q74:S74 Q87:S91 Q97:S97 Q102:S118 Q27:S27 Q94:S94 Q124:S189">
    <cfRule type="cellIs" dxfId="274" priority="225" operator="equal">
      <formula>0</formula>
    </cfRule>
  </conditionalFormatting>
  <conditionalFormatting sqref="H75">
    <cfRule type="cellIs" dxfId="273" priority="224" operator="equal">
      <formula>0</formula>
    </cfRule>
  </conditionalFormatting>
  <conditionalFormatting sqref="H75">
    <cfRule type="cellIs" dxfId="272" priority="223" operator="equal">
      <formula>0</formula>
    </cfRule>
  </conditionalFormatting>
  <conditionalFormatting sqref="H29">
    <cfRule type="cellIs" dxfId="271" priority="222" operator="equal">
      <formula>0</formula>
    </cfRule>
  </conditionalFormatting>
  <conditionalFormatting sqref="H29">
    <cfRule type="cellIs" dxfId="270" priority="221" operator="equal">
      <formula>0</formula>
    </cfRule>
  </conditionalFormatting>
  <conditionalFormatting sqref="J29">
    <cfRule type="cellIs" dxfId="269" priority="220" operator="equal">
      <formula>0</formula>
    </cfRule>
  </conditionalFormatting>
  <conditionalFormatting sqref="J75">
    <cfRule type="cellIs" dxfId="268" priority="219" operator="equal">
      <formula>0</formula>
    </cfRule>
  </conditionalFormatting>
  <conditionalFormatting sqref="M75">
    <cfRule type="cellIs" dxfId="267" priority="218" operator="equal">
      <formula>0</formula>
    </cfRule>
  </conditionalFormatting>
  <conditionalFormatting sqref="M75">
    <cfRule type="cellIs" dxfId="266" priority="217" operator="equal">
      <formula>0</formula>
    </cfRule>
  </conditionalFormatting>
  <conditionalFormatting sqref="M29">
    <cfRule type="cellIs" dxfId="265" priority="216" operator="equal">
      <formula>0</formula>
    </cfRule>
  </conditionalFormatting>
  <conditionalFormatting sqref="M29">
    <cfRule type="cellIs" dxfId="264" priority="215" operator="equal">
      <formula>0</formula>
    </cfRule>
  </conditionalFormatting>
  <conditionalFormatting sqref="P29">
    <cfRule type="cellIs" dxfId="263" priority="214" operator="equal">
      <formula>0</formula>
    </cfRule>
  </conditionalFormatting>
  <conditionalFormatting sqref="P29">
    <cfRule type="cellIs" dxfId="262" priority="213" operator="equal">
      <formula>0</formula>
    </cfRule>
  </conditionalFormatting>
  <conditionalFormatting sqref="P75">
    <cfRule type="cellIs" dxfId="261" priority="212" operator="equal">
      <formula>0</formula>
    </cfRule>
  </conditionalFormatting>
  <conditionalFormatting sqref="P75">
    <cfRule type="cellIs" dxfId="260" priority="211" operator="equal">
      <formula>0</formula>
    </cfRule>
  </conditionalFormatting>
  <conditionalFormatting sqref="S75">
    <cfRule type="cellIs" dxfId="259" priority="210" operator="equal">
      <formula>0</formula>
    </cfRule>
  </conditionalFormatting>
  <conditionalFormatting sqref="S75">
    <cfRule type="cellIs" dxfId="258" priority="209" operator="equal">
      <formula>0</formula>
    </cfRule>
  </conditionalFormatting>
  <conditionalFormatting sqref="S29">
    <cfRule type="cellIs" dxfId="257" priority="208" operator="equal">
      <formula>0</formula>
    </cfRule>
  </conditionalFormatting>
  <conditionalFormatting sqref="S29">
    <cfRule type="cellIs" dxfId="256" priority="207" operator="equal">
      <formula>0</formula>
    </cfRule>
  </conditionalFormatting>
  <conditionalFormatting sqref="V29">
    <cfRule type="cellIs" dxfId="255" priority="206" operator="equal">
      <formula>0</formula>
    </cfRule>
  </conditionalFormatting>
  <conditionalFormatting sqref="V29">
    <cfRule type="cellIs" dxfId="254" priority="205" operator="equal">
      <formula>0</formula>
    </cfRule>
  </conditionalFormatting>
  <conditionalFormatting sqref="V75">
    <cfRule type="cellIs" dxfId="253" priority="204" operator="equal">
      <formula>0</formula>
    </cfRule>
  </conditionalFormatting>
  <conditionalFormatting sqref="V75">
    <cfRule type="cellIs" dxfId="252" priority="203" operator="equal">
      <formula>0</formula>
    </cfRule>
  </conditionalFormatting>
  <conditionalFormatting sqref="W75">
    <cfRule type="cellIs" dxfId="251" priority="202" operator="equal">
      <formula>0</formula>
    </cfRule>
  </conditionalFormatting>
  <conditionalFormatting sqref="W75">
    <cfRule type="cellIs" dxfId="250" priority="201" operator="equal">
      <formula>0</formula>
    </cfRule>
  </conditionalFormatting>
  <conditionalFormatting sqref="W29">
    <cfRule type="cellIs" dxfId="249" priority="200" operator="equal">
      <formula>0</formula>
    </cfRule>
  </conditionalFormatting>
  <conditionalFormatting sqref="W29">
    <cfRule type="cellIs" dxfId="248" priority="199" operator="equal">
      <formula>0</formula>
    </cfRule>
  </conditionalFormatting>
  <conditionalFormatting sqref="D16:D19 D21 D38:D52 D65:D67 D57:D60 D74 D106:D118 D127:D142 D144:D156 D158:D189 D27 D87:D91 D97 D94 D76:D80 D30">
    <cfRule type="cellIs" dxfId="247" priority="198" operator="equal">
      <formula>0</formula>
    </cfRule>
  </conditionalFormatting>
  <conditionalFormatting sqref="D7:E24 D33:E71 D30 D76:E82 D74:E74 D87:E91 D97:E97 D102:E118 D27:E27 D94:E94 D124:E189">
    <cfRule type="cellIs" dxfId="246" priority="197" operator="equal">
      <formula>0</formula>
    </cfRule>
  </conditionalFormatting>
  <conditionalFormatting sqref="E189">
    <cfRule type="cellIs" dxfId="245" priority="196" operator="equal">
      <formula>0</formula>
    </cfRule>
  </conditionalFormatting>
  <conditionalFormatting sqref="BH14:BM19 BH21:BM21 BH38:BM52 BH65:BM67 BH57:BM60 BH74:BM74 BH106:BM118 BH127:BM142 BH144:BM156 BH158:BM188 BH27:BM27 BO27:BZ27 BO158:BZ188 BO144:BZ156 BO127:BZ142 BO106:BZ118 BO74:BZ74 BO57:BZ60 BO65:BZ67 BO38:BZ52 BO21:BZ21 BO14:BZ19 BO88:BZ91 BH87:BM91 BH97:BM97 BO97:BZ97 BH94:BM94 BO94:BZ94 BO76:BZ80 BH76:BM80 BO30:BZ30 BH30:BM30 CD30:CE30 CD76:CE80 CD94:CE94 CD97:CE97 CD14:CE19 CD21:CE21 CD38:CE52 CD57:CE60 CD74:CE74 CD106:CE118 CD127:CE142 CD144:CE156 CD158:CE188 CD27:CE27 CA59 BO87:BU87 CD65:CE67 CD87:CE91">
    <cfRule type="cellIs" dxfId="244" priority="175" operator="equal">
      <formula>0</formula>
    </cfRule>
  </conditionalFormatting>
  <conditionalFormatting sqref="E75">
    <cfRule type="cellIs" dxfId="243" priority="195" operator="equal">
      <formula>0</formula>
    </cfRule>
  </conditionalFormatting>
  <conditionalFormatting sqref="E29:E30">
    <cfRule type="cellIs" dxfId="242" priority="194" operator="equal">
      <formula>0</formula>
    </cfRule>
  </conditionalFormatting>
  <conditionalFormatting sqref="I7">
    <cfRule type="cellIs" dxfId="241" priority="193" operator="equal">
      <formula>0</formula>
    </cfRule>
  </conditionalFormatting>
  <conditionalFormatting sqref="X16:AC19 X30:Z30 X10:AC13 X158:AC187 X60:AC60 X69:AC70 X104:AC118 X125:AC142 X144:AC145 AE145:AT145 AE105:BC106 AE54:BC55 AE10:BC13 AE30:BC30 AE16:BC19 AE35:BC36 AE74:AT80 X75:AC80 AE89:AT89 X87:Z91 X97:AC97 AE97:AT97 AE27:BC27 X27:Z27 X94:AC94 AE94:AT94 X21:AC22 X23:Z24 AB23:AC24 AB27:AC27 AB30:AC30 AA23:AA31 X35:AC37 X38:Z52 AB38:AC52 X54:Z59 AB54:AC59 AA38:AA59 X62:AC67 X74:Z74 AB74:AC74 X71:Z71 AB71:AC71 AB87:AC91 X155:AC156 X146:Z154 AB146:AC154 X189:AC189 X188:Z188 AB188:AC188 AE38:AT39 AE37:AN37 AP37:BC37 AE41:AT49 AE40:AN40 AP40:AT40 AE52:AT52 AE50:AN51 AP50:AT51 AE57:AT57 AE56:AN56 AE60:AT60 AE58:AN59 AP58:AT59 AE66:AT67 AE65:AN65 AP65:AT65 AE71:AN71 AP71:AT71 AE87:AN88 AP87:AT88 AE91:AT91 AE90:AN90 AP90:AT90 AE104:AN104 AP104:BC104 AE108:BC110 AE107:AN107 AP107:BC107 AE117:BC118 AE111:AN116 AP111:BC116 AE144:AN144 AP144:AT144 AE150:AT152 AE146:AN149 AP146:AT149 AE156:BC156 AE153:AN155 AP155:BC155 AE188:AN189 AP188:AT189 AE21:BC24 AU38:BC52 AP56:BC56 AU57:BC60 AE62:BC62 AE63:AT64 AU63:BC67 AE69:BC69 AE70:AT70 AV70:BC71 AV74:BC80 AU70:AU80 AV94:BC94 AV97:BC97 AV87:BC91 AE125:AT142 AV125:BC142 AP153:AT154 AV144:BC154 AE158:AT187 AV158:BC189">
    <cfRule type="cellIs" dxfId="240" priority="192" operator="equal">
      <formula>0</formula>
    </cfRule>
  </conditionalFormatting>
  <conditionalFormatting sqref="X158:AC187 X7:BC7 X30:Z30 X15:AC19 X60:AC60 X69:AC70 X104:AC118 X125:AC142 X144:AC145 AE145:AT145 AE105:BC106 AE54:BC55 AE15:BC19 AE30:BC30 X8:AC13 AE8:BC13 AE34:BC36 AE74:AT80 X75:AC80 AE89:AT89 X87:Z91 X97:AC97 AE97:AT97 AE27:BC27 X27:Z27 X94:AC94 AE94:AT94 X21:AC22 X23:Z24 AB23:AC24 AB27:AC27 AB30:AC30 AA23:AA31 X34:AC37 X38:Z52 AB38:AC52 X54:Z59 AB54:AC59 AA38:AA59 X62:AC67 X74:Z74 AB74:AC74 X71:Z71 AB71:AC71 AB87:AC91 X155:AC156 X146:Z154 AB146:AC154 X189:AC189 X188:Z188 AB188:AC188 AE38:AT39 AE37:AN37 AP37:BC37 AE41:AT49 AE40:AN40 AP40:AT40 AE52:AT52 AE50:AN51 AP50:AT51 AE57:AT57 AE56:AN56 AE60:AT60 AE58:AN59 AP58:AT59 AE66:AT67 AE65:AN65 AP65:AT65 AE71:AN71 AP71:AT71 AE87:AN88 AP87:AT88 AE91:AT91 AE90:AN90 AP90:AT90 AE104:AN104 AP104:BC104 AE108:BC110 AE107:AN107 AP107:BC107 AE117:BC118 AE111:AN116 AP111:BC116 AE144:AN144 AP144:AT144 AE150:AT152 AE146:AN149 AP146:AT149 AE156:BC156 AE153:AN155 AP155:BC155 AE188:AN189 AP188:AT189 AE21:BC24 AU38:BC52 AP56:BC56 AU57:BC60 AE62:BC62 AE63:AT64 AU63:BC67 AE69:BC69 AE70:AT70 AV70:BC71 AV74:BC80 AU70:AU80 AV94:BC94 AV97:BC97 AV87:BC91 AE125:AT142 AV125:BC142 AP153:AT154 AV144:BC154 AE158:AT187 AV158:BC189">
    <cfRule type="cellIs" dxfId="239" priority="191" operator="equal">
      <formula>0</formula>
    </cfRule>
  </conditionalFormatting>
  <conditionalFormatting sqref="AD16:AD19 AD35:AD52 AD21:AD24 AD30 AD10:AD13 AD158:AD189 AD54:AD60 AD62:AD67 AD69:AD71 AD104:AD118 AD125:AD142 AD144:AD156 AD74:AD80 AD87:AD91 AD97 AD27 AD94">
    <cfRule type="cellIs" dxfId="238" priority="190" operator="equal">
      <formula>0</formula>
    </cfRule>
  </conditionalFormatting>
  <conditionalFormatting sqref="AD158:AD189 AD30 AD15:AD19 AD34:AD52 AD21:AD24 AD54:AD60 AD62:AD67 AD69:AD71 AD104:AD118 AD125:AD142 AD144:AD156 AD8:AD13 AD74:AD80 AD87:AD91 AD97 AD27 AD94">
    <cfRule type="cellIs" dxfId="237" priority="189" operator="equal">
      <formula>0</formula>
    </cfRule>
  </conditionalFormatting>
  <conditionalFormatting sqref="AU29">
    <cfRule type="cellIs" dxfId="236" priority="188" operator="equal">
      <formula>0</formula>
    </cfRule>
  </conditionalFormatting>
  <conditionalFormatting sqref="AU29">
    <cfRule type="cellIs" dxfId="235" priority="187" operator="equal">
      <formula>0</formula>
    </cfRule>
  </conditionalFormatting>
  <conditionalFormatting sqref="AO29">
    <cfRule type="cellIs" dxfId="234" priority="186" operator="equal">
      <formula>0</formula>
    </cfRule>
  </conditionalFormatting>
  <conditionalFormatting sqref="AO29">
    <cfRule type="cellIs" dxfId="233" priority="185" operator="equal">
      <formula>0</formula>
    </cfRule>
  </conditionalFormatting>
  <conditionalFormatting sqref="AX29">
    <cfRule type="cellIs" dxfId="232" priority="184" operator="equal">
      <formula>0</formula>
    </cfRule>
  </conditionalFormatting>
  <conditionalFormatting sqref="AX29">
    <cfRule type="cellIs" dxfId="231" priority="183" operator="equal">
      <formula>0</formula>
    </cfRule>
  </conditionalFormatting>
  <conditionalFormatting sqref="BC29">
    <cfRule type="cellIs" dxfId="230" priority="182" operator="equal">
      <formula>0</formula>
    </cfRule>
  </conditionalFormatting>
  <conditionalFormatting sqref="BC29">
    <cfRule type="cellIs" dxfId="229" priority="181" operator="equal">
      <formula>0</formula>
    </cfRule>
  </conditionalFormatting>
  <conditionalFormatting sqref="AD29">
    <cfRule type="cellIs" dxfId="228" priority="180" operator="equal">
      <formula>0</formula>
    </cfRule>
  </conditionalFormatting>
  <conditionalFormatting sqref="AD29">
    <cfRule type="cellIs" dxfId="227" priority="179" operator="equal">
      <formula>0</formula>
    </cfRule>
  </conditionalFormatting>
  <conditionalFormatting sqref="AO90">
    <cfRule type="cellIs" dxfId="226" priority="69" operator="equal">
      <formula>0</formula>
    </cfRule>
  </conditionalFormatting>
  <conditionalFormatting sqref="CD30:CN30 CD7:CR24 CP30:CR30 CD33:CR71 CD76:CR82 CX35:CZ40 CX41:CY71 CX76:CY82 CX7:CZ24 CZ158:CZ189 CZ144:CZ156 CZ104:CZ118 CZ69:CZ71 CZ62:CZ67 CZ54:CZ60 CX30:CY30 CZ41:CZ52 CZ125:CZ142 CX33:CY34 CX74:CZ74 CD74:CR74 CX87:CZ91 CD87:CR91 CD97:CR97 CX97:CZ97 CX102:CY118 CD102:CR118 CX27:CZ27 CD27:CR27 CD94:CR94 CX94:CZ94 CO29:CO30 CZ29:CZ30 CD124:CR189 CX124:CY189">
    <cfRule type="cellIs" dxfId="225" priority="176" operator="equal">
      <formula>0</formula>
    </cfRule>
  </conditionalFormatting>
  <conditionalFormatting sqref="CF14:CG19 CF21:CG21 CF38:CG52 CF57:CG60 CF74:CG74 CF106:CG118 CF127:CG142 CF144:CG156 CF158:CG188 CF27:CG27 CF97:CG97 CF94:CG94 CF76:CG80 CF30:CG30 CF65:CG67 CF87:CG91">
    <cfRule type="cellIs" dxfId="224" priority="173" operator="equal">
      <formula>0</formula>
    </cfRule>
  </conditionalFormatting>
  <conditionalFormatting sqref="BN14:BN19 BN21 BN38:BN52 BN65:BN67 BN57:BN60 BN74 BN106:BN118 BN127:BN142 BN144:BN156 BN158:BN188 BN27 BN87:BN91 BN97 BN94 BN76:BN80 BN30">
    <cfRule type="cellIs" dxfId="223" priority="174" operator="equal">
      <formula>0</formula>
    </cfRule>
  </conditionalFormatting>
  <conditionalFormatting sqref="CA59">
    <cfRule type="cellIs" dxfId="222" priority="172" operator="equal">
      <formula>0</formula>
    </cfRule>
  </conditionalFormatting>
  <conditionalFormatting sqref="CF189:CG189">
    <cfRule type="cellIs" dxfId="221" priority="169" operator="equal">
      <formula>0</formula>
    </cfRule>
  </conditionalFormatting>
  <conditionalFormatting sqref="BH189:BM189 BO189:BZ189 CD189:CE189">
    <cfRule type="cellIs" dxfId="220" priority="171" operator="equal">
      <formula>0</formula>
    </cfRule>
  </conditionalFormatting>
  <conditionalFormatting sqref="BN189">
    <cfRule type="cellIs" dxfId="219" priority="170" operator="equal">
      <formula>0</formula>
    </cfRule>
  </conditionalFormatting>
  <conditionalFormatting sqref="CZ124">
    <cfRule type="cellIs" dxfId="218" priority="153" operator="equal">
      <formula>0</formula>
    </cfRule>
  </conditionalFormatting>
  <conditionalFormatting sqref="CZ53">
    <cfRule type="cellIs" dxfId="217" priority="155" operator="equal">
      <formula>0</formula>
    </cfRule>
  </conditionalFormatting>
  <conditionalFormatting sqref="CZ33:CZ34">
    <cfRule type="cellIs" dxfId="216" priority="154" operator="equal">
      <formula>0</formula>
    </cfRule>
  </conditionalFormatting>
  <conditionalFormatting sqref="CA27:CC27 CA127:CC142 CA106:CC118 CA74:CC74 CA38:CC52 CA21:CC21 CA14:CC19 CA88:CC91 CA97:CC97 CA94:CC94 CA76:CC80 CA30:CC30 CA57:CC60 CA65:CC67 CC87 CA144:CC156 CA158:CC188">
    <cfRule type="cellIs" dxfId="215" priority="168" operator="equal">
      <formula>0</formula>
    </cfRule>
  </conditionalFormatting>
  <conditionalFormatting sqref="CA30:CC30 CA7:CC24 CA33:CC71 CA74:CC74 CA76:CC82 CC87:CC91 CA88:CB91 CA97:CC97 CA102:CC118 CA27:CC27 CA94:CC94 CA124:CC188">
    <cfRule type="cellIs" dxfId="214" priority="167" operator="equal">
      <formula>0</formula>
    </cfRule>
  </conditionalFormatting>
  <conditionalFormatting sqref="CA189:CC189">
    <cfRule type="cellIs" dxfId="213" priority="166" operator="equal">
      <formula>0</formula>
    </cfRule>
  </conditionalFormatting>
  <conditionalFormatting sqref="CA189:CC189">
    <cfRule type="cellIs" dxfId="212" priority="165" operator="equal">
      <formula>0</formula>
    </cfRule>
  </conditionalFormatting>
  <conditionalFormatting sqref="CA87:CB87">
    <cfRule type="cellIs" dxfId="211" priority="163" operator="equal">
      <formula>0</formula>
    </cfRule>
  </conditionalFormatting>
  <conditionalFormatting sqref="BV87:CA87">
    <cfRule type="cellIs" dxfId="210" priority="164" operator="equal">
      <formula>0</formula>
    </cfRule>
  </conditionalFormatting>
  <conditionalFormatting sqref="CS7:CW24 CS30:CW30 CS76:CW82 CS33:CW71 CS74:CW74 CS87:CW91 CS97:CW97 CS102:CW118 CS27:CW27 CS94:CW94 CS124:CW189">
    <cfRule type="cellIs" dxfId="209" priority="162" operator="equal">
      <formula>0</formula>
    </cfRule>
  </conditionalFormatting>
  <conditionalFormatting sqref="CZ157">
    <cfRule type="cellIs" dxfId="208" priority="161" operator="equal">
      <formula>0</formula>
    </cfRule>
  </conditionalFormatting>
  <conditionalFormatting sqref="CZ143">
    <cfRule type="cellIs" dxfId="207" priority="160" operator="equal">
      <formula>0</formula>
    </cfRule>
  </conditionalFormatting>
  <conditionalFormatting sqref="CZ102:CZ103">
    <cfRule type="cellIs" dxfId="206" priority="159" operator="equal">
      <formula>0</formula>
    </cfRule>
  </conditionalFormatting>
  <conditionalFormatting sqref="CZ76:CZ82">
    <cfRule type="cellIs" dxfId="205" priority="158" operator="equal">
      <formula>0</formula>
    </cfRule>
  </conditionalFormatting>
  <conditionalFormatting sqref="CZ68">
    <cfRule type="cellIs" dxfId="204" priority="157" operator="equal">
      <formula>0</formula>
    </cfRule>
  </conditionalFormatting>
  <conditionalFormatting sqref="CZ61">
    <cfRule type="cellIs" dxfId="203" priority="156" operator="equal">
      <formula>0</formula>
    </cfRule>
  </conditionalFormatting>
  <conditionalFormatting sqref="BE7:BG24 BE76:BG82 BE30:BG30 BE74:BG74 BE87:BG91 BE33:BG71 BE97:BG97 BE102:BG118 BE27:BG27 BE94:BG94 BE124:BG189">
    <cfRule type="cellIs" dxfId="202" priority="152" operator="equal">
      <formula>0</formula>
    </cfRule>
  </conditionalFormatting>
  <conditionalFormatting sqref="BE14:BE19 BE21 BE38:BE52 BE65:BE67 BE57:BE60 BE74 BE106:BE118 BE127:BE142 BE144:BE156 BE158:BE188 BE27 BG27 BG158:BG188 BG144:BG156 BG127:BG142 BG106:BG118 BG74 BG57:BG60 BG65:BG67 BG38:BG52 BG21 BG14:BG19 BE87:BE91 BE97 BG97 BE94 BG94 BG76:BG80 BE76:BE80 BG30 BE30 BG87:BG91">
    <cfRule type="cellIs" dxfId="201" priority="151" operator="equal">
      <formula>0</formula>
    </cfRule>
  </conditionalFormatting>
  <conditionalFormatting sqref="BF14:BF19 BF21 BF38:BF52 BF65:BF67 BF57:BF60 BF74 BF106:BF118 BF127:BF142 BF144:BF156 BF158:BF188 BF27 BF87:BF91 BF97 BF94 BF76:BF80 BF30">
    <cfRule type="cellIs" dxfId="200" priority="150" operator="equal">
      <formula>0</formula>
    </cfRule>
  </conditionalFormatting>
  <conditionalFormatting sqref="BE189 BG189">
    <cfRule type="cellIs" dxfId="199" priority="149" operator="equal">
      <formula>0</formula>
    </cfRule>
  </conditionalFormatting>
  <conditionalFormatting sqref="BF189">
    <cfRule type="cellIs" dxfId="198" priority="148" operator="equal">
      <formula>0</formula>
    </cfRule>
  </conditionalFormatting>
  <conditionalFormatting sqref="H191">
    <cfRule type="cellIs" dxfId="197" priority="147" operator="equal">
      <formula>0</formula>
    </cfRule>
  </conditionalFormatting>
  <conditionalFormatting sqref="H191">
    <cfRule type="cellIs" dxfId="196" priority="146" operator="equal">
      <formula>0</formula>
    </cfRule>
  </conditionalFormatting>
  <conditionalFormatting sqref="J191">
    <cfRule type="cellIs" dxfId="195" priority="141" operator="equal">
      <formula>0</formula>
    </cfRule>
  </conditionalFormatting>
  <conditionalFormatting sqref="BH191:BZ191 DA191">
    <cfRule type="cellIs" dxfId="194" priority="145" operator="equal">
      <formula>0</formula>
    </cfRule>
  </conditionalFormatting>
  <conditionalFormatting sqref="DA191">
    <cfRule type="cellIs" dxfId="193" priority="144" operator="equal">
      <formula>0</formula>
    </cfRule>
  </conditionalFormatting>
  <conditionalFormatting sqref="T191:W191 K191:P191 I191">
    <cfRule type="cellIs" dxfId="192" priority="143" operator="equal">
      <formula>0</formula>
    </cfRule>
  </conditionalFormatting>
  <conditionalFormatting sqref="T191:W191 I191:P191">
    <cfRule type="cellIs" dxfId="191" priority="142" operator="equal">
      <formula>0</formula>
    </cfRule>
  </conditionalFormatting>
  <conditionalFormatting sqref="Q191:S191">
    <cfRule type="cellIs" dxfId="190" priority="140" operator="equal">
      <formula>0</formula>
    </cfRule>
  </conditionalFormatting>
  <conditionalFormatting sqref="Q191:S191">
    <cfRule type="cellIs" dxfId="189" priority="139" operator="equal">
      <formula>0</formula>
    </cfRule>
  </conditionalFormatting>
  <conditionalFormatting sqref="D191">
    <cfRule type="cellIs" dxfId="188" priority="138" operator="equal">
      <formula>0</formula>
    </cfRule>
  </conditionalFormatting>
  <conditionalFormatting sqref="D191:E191">
    <cfRule type="cellIs" dxfId="187" priority="137" operator="equal">
      <formula>0</formula>
    </cfRule>
  </conditionalFormatting>
  <conditionalFormatting sqref="E191">
    <cfRule type="cellIs" dxfId="186" priority="136" operator="equal">
      <formula>0</formula>
    </cfRule>
  </conditionalFormatting>
  <conditionalFormatting sqref="X191:AC191 AE191:AT191 AV191:BC191">
    <cfRule type="cellIs" dxfId="185" priority="135" operator="equal">
      <formula>0</formula>
    </cfRule>
  </conditionalFormatting>
  <conditionalFormatting sqref="X191:AC191 AE191:AT191 AV191:BC191">
    <cfRule type="cellIs" dxfId="184" priority="134" operator="equal">
      <formula>0</formula>
    </cfRule>
  </conditionalFormatting>
  <conditionalFormatting sqref="AD191">
    <cfRule type="cellIs" dxfId="183" priority="133" operator="equal">
      <formula>0</formula>
    </cfRule>
  </conditionalFormatting>
  <conditionalFormatting sqref="AD191">
    <cfRule type="cellIs" dxfId="182" priority="132" operator="equal">
      <formula>0</formula>
    </cfRule>
  </conditionalFormatting>
  <conditionalFormatting sqref="CX191:CZ191 CD191:CR191">
    <cfRule type="cellIs" dxfId="181" priority="131" operator="equal">
      <formula>0</formula>
    </cfRule>
  </conditionalFormatting>
  <conditionalFormatting sqref="CF191:CG191">
    <cfRule type="cellIs" dxfId="180" priority="128" operator="equal">
      <formula>0</formula>
    </cfRule>
  </conditionalFormatting>
  <conditionalFormatting sqref="BH191:BM191 BO191:BZ191 CD191:CE191">
    <cfRule type="cellIs" dxfId="179" priority="130" operator="equal">
      <formula>0</formula>
    </cfRule>
  </conditionalFormatting>
  <conditionalFormatting sqref="BN191">
    <cfRule type="cellIs" dxfId="178" priority="129" operator="equal">
      <formula>0</formula>
    </cfRule>
  </conditionalFormatting>
  <conditionalFormatting sqref="CA191:CC191">
    <cfRule type="cellIs" dxfId="177" priority="127" operator="equal">
      <formula>0</formula>
    </cfRule>
  </conditionalFormatting>
  <conditionalFormatting sqref="CA191:CC191">
    <cfRule type="cellIs" dxfId="176" priority="126" operator="equal">
      <formula>0</formula>
    </cfRule>
  </conditionalFormatting>
  <conditionalFormatting sqref="CS191:CW191">
    <cfRule type="cellIs" dxfId="175" priority="125" operator="equal">
      <formula>0</formula>
    </cfRule>
  </conditionalFormatting>
  <conditionalFormatting sqref="BE191:BG191">
    <cfRule type="cellIs" dxfId="174" priority="124" operator="equal">
      <formula>0</formula>
    </cfRule>
  </conditionalFormatting>
  <conditionalFormatting sqref="BE191 BG191">
    <cfRule type="cellIs" dxfId="173" priority="123" operator="equal">
      <formula>0</formula>
    </cfRule>
  </conditionalFormatting>
  <conditionalFormatting sqref="BF191">
    <cfRule type="cellIs" dxfId="172" priority="122" operator="equal">
      <formula>0</formula>
    </cfRule>
  </conditionalFormatting>
  <conditionalFormatting sqref="AA71:AA74">
    <cfRule type="cellIs" dxfId="171" priority="121" operator="equal">
      <formula>0</formula>
    </cfRule>
  </conditionalFormatting>
  <conditionalFormatting sqref="AA71:AA74">
    <cfRule type="cellIs" dxfId="170" priority="120" operator="equal">
      <formula>0</formula>
    </cfRule>
  </conditionalFormatting>
  <conditionalFormatting sqref="AO188:AO190">
    <cfRule type="cellIs" dxfId="169" priority="16" operator="equal">
      <formula>0</formula>
    </cfRule>
  </conditionalFormatting>
  <conditionalFormatting sqref="AO188:AO190">
    <cfRule type="cellIs" dxfId="168" priority="15" operator="equal">
      <formula>0</formula>
    </cfRule>
  </conditionalFormatting>
  <conditionalFormatting sqref="AA83:AA93">
    <cfRule type="cellIs" dxfId="167" priority="117" operator="equal">
      <formula>0</formula>
    </cfRule>
  </conditionalFormatting>
  <conditionalFormatting sqref="AA83:AA93">
    <cfRule type="cellIs" dxfId="166" priority="116" operator="equal">
      <formula>0</formula>
    </cfRule>
  </conditionalFormatting>
  <conditionalFormatting sqref="AA146:AA154">
    <cfRule type="cellIs" dxfId="165" priority="115" operator="equal">
      <formula>0</formula>
    </cfRule>
  </conditionalFormatting>
  <conditionalFormatting sqref="AA146:AA154">
    <cfRule type="cellIs" dxfId="164" priority="114" operator="equal">
      <formula>0</formula>
    </cfRule>
  </conditionalFormatting>
  <conditionalFormatting sqref="AA188">
    <cfRule type="cellIs" dxfId="163" priority="113" operator="equal">
      <formula>0</formula>
    </cfRule>
  </conditionalFormatting>
  <conditionalFormatting sqref="AA188">
    <cfRule type="cellIs" dxfId="162" priority="112" operator="equal">
      <formula>0</formula>
    </cfRule>
  </conditionalFormatting>
  <conditionalFormatting sqref="AO25">
    <cfRule type="cellIs" dxfId="161" priority="111" operator="equal">
      <formula>0</formula>
    </cfRule>
  </conditionalFormatting>
  <conditionalFormatting sqref="AO25">
    <cfRule type="cellIs" dxfId="160" priority="110" operator="equal">
      <formula>0</formula>
    </cfRule>
  </conditionalFormatting>
  <conditionalFormatting sqref="AO26">
    <cfRule type="cellIs" dxfId="159" priority="109" operator="equal">
      <formula>0</formula>
    </cfRule>
  </conditionalFormatting>
  <conditionalFormatting sqref="AO26">
    <cfRule type="cellIs" dxfId="158" priority="108" operator="equal">
      <formula>0</formula>
    </cfRule>
  </conditionalFormatting>
  <conditionalFormatting sqref="AO31">
    <cfRule type="cellIs" dxfId="157" priority="107" operator="equal">
      <formula>0</formula>
    </cfRule>
  </conditionalFormatting>
  <conditionalFormatting sqref="AO31">
    <cfRule type="cellIs" dxfId="156" priority="106" operator="equal">
      <formula>0</formula>
    </cfRule>
  </conditionalFormatting>
  <conditionalFormatting sqref="AO37">
    <cfRule type="cellIs" dxfId="155" priority="105" operator="equal">
      <formula>0</formula>
    </cfRule>
  </conditionalFormatting>
  <conditionalFormatting sqref="AO37">
    <cfRule type="cellIs" dxfId="154" priority="104" operator="equal">
      <formula>0</formula>
    </cfRule>
  </conditionalFormatting>
  <conditionalFormatting sqref="AO40">
    <cfRule type="cellIs" dxfId="153" priority="103" operator="equal">
      <formula>0</formula>
    </cfRule>
  </conditionalFormatting>
  <conditionalFormatting sqref="AO40">
    <cfRule type="cellIs" dxfId="152" priority="102" operator="equal">
      <formula>0</formula>
    </cfRule>
  </conditionalFormatting>
  <conditionalFormatting sqref="AO50">
    <cfRule type="cellIs" dxfId="151" priority="101" operator="equal">
      <formula>0</formula>
    </cfRule>
  </conditionalFormatting>
  <conditionalFormatting sqref="AO50">
    <cfRule type="cellIs" dxfId="150" priority="100" operator="equal">
      <formula>0</formula>
    </cfRule>
  </conditionalFormatting>
  <conditionalFormatting sqref="AO51">
    <cfRule type="cellIs" dxfId="149" priority="99" operator="equal">
      <formula>0</formula>
    </cfRule>
  </conditionalFormatting>
  <conditionalFormatting sqref="AO51">
    <cfRule type="cellIs" dxfId="148" priority="98" operator="equal">
      <formula>0</formula>
    </cfRule>
  </conditionalFormatting>
  <conditionalFormatting sqref="AO56">
    <cfRule type="cellIs" dxfId="147" priority="97" operator="equal">
      <formula>0</formula>
    </cfRule>
  </conditionalFormatting>
  <conditionalFormatting sqref="AO56">
    <cfRule type="cellIs" dxfId="146" priority="96" operator="equal">
      <formula>0</formula>
    </cfRule>
  </conditionalFormatting>
  <conditionalFormatting sqref="AO58">
    <cfRule type="cellIs" dxfId="145" priority="95" operator="equal">
      <formula>0</formula>
    </cfRule>
  </conditionalFormatting>
  <conditionalFormatting sqref="AO58">
    <cfRule type="cellIs" dxfId="144" priority="94" operator="equal">
      <formula>0</formula>
    </cfRule>
  </conditionalFormatting>
  <conditionalFormatting sqref="AO59">
    <cfRule type="cellIs" dxfId="143" priority="93" operator="equal">
      <formula>0</formula>
    </cfRule>
  </conditionalFormatting>
  <conditionalFormatting sqref="AO59">
    <cfRule type="cellIs" dxfId="142" priority="92" operator="equal">
      <formula>0</formula>
    </cfRule>
  </conditionalFormatting>
  <conditionalFormatting sqref="AO65">
    <cfRule type="cellIs" dxfId="141" priority="91" operator="equal">
      <formula>0</formula>
    </cfRule>
  </conditionalFormatting>
  <conditionalFormatting sqref="AO65">
    <cfRule type="cellIs" dxfId="140" priority="90" operator="equal">
      <formula>0</formula>
    </cfRule>
  </conditionalFormatting>
  <conditionalFormatting sqref="AO71">
    <cfRule type="cellIs" dxfId="139" priority="89" operator="equal">
      <formula>0</formula>
    </cfRule>
  </conditionalFormatting>
  <conditionalFormatting sqref="AO71">
    <cfRule type="cellIs" dxfId="138" priority="88" operator="equal">
      <formula>0</formula>
    </cfRule>
  </conditionalFormatting>
  <conditionalFormatting sqref="AO72">
    <cfRule type="cellIs" dxfId="137" priority="87" operator="equal">
      <formula>0</formula>
    </cfRule>
  </conditionalFormatting>
  <conditionalFormatting sqref="AO72:AO74">
    <cfRule type="cellIs" dxfId="136" priority="86" operator="equal">
      <formula>0</formula>
    </cfRule>
  </conditionalFormatting>
  <conditionalFormatting sqref="AO74">
    <cfRule type="cellIs" dxfId="135" priority="85" operator="equal">
      <formula>0</formula>
    </cfRule>
  </conditionalFormatting>
  <conditionalFormatting sqref="AO83:AO85">
    <cfRule type="cellIs" dxfId="134" priority="84" operator="equal">
      <formula>0</formula>
    </cfRule>
  </conditionalFormatting>
  <conditionalFormatting sqref="AO83:AO85">
    <cfRule type="cellIs" dxfId="133" priority="83" operator="equal">
      <formula>0</formula>
    </cfRule>
  </conditionalFormatting>
  <conditionalFormatting sqref="AO83:AO85">
    <cfRule type="cellIs" dxfId="132" priority="82" operator="equal">
      <formula>0</formula>
    </cfRule>
  </conditionalFormatting>
  <conditionalFormatting sqref="AO83:AO85">
    <cfRule type="cellIs" dxfId="131" priority="81" operator="equal">
      <formula>0</formula>
    </cfRule>
  </conditionalFormatting>
  <conditionalFormatting sqref="AO87">
    <cfRule type="cellIs" dxfId="130" priority="80" operator="equal">
      <formula>0</formula>
    </cfRule>
  </conditionalFormatting>
  <conditionalFormatting sqref="AO87">
    <cfRule type="cellIs" dxfId="129" priority="79" operator="equal">
      <formula>0</formula>
    </cfRule>
  </conditionalFormatting>
  <conditionalFormatting sqref="AO87">
    <cfRule type="cellIs" dxfId="128" priority="78" operator="equal">
      <formula>0</formula>
    </cfRule>
  </conditionalFormatting>
  <conditionalFormatting sqref="AO87">
    <cfRule type="cellIs" dxfId="127" priority="77" operator="equal">
      <formula>0</formula>
    </cfRule>
  </conditionalFormatting>
  <conditionalFormatting sqref="AO88">
    <cfRule type="cellIs" dxfId="126" priority="76" operator="equal">
      <formula>0</formula>
    </cfRule>
  </conditionalFormatting>
  <conditionalFormatting sqref="AO88">
    <cfRule type="cellIs" dxfId="125" priority="75" operator="equal">
      <formula>0</formula>
    </cfRule>
  </conditionalFormatting>
  <conditionalFormatting sqref="AO88">
    <cfRule type="cellIs" dxfId="124" priority="74" operator="equal">
      <formula>0</formula>
    </cfRule>
  </conditionalFormatting>
  <conditionalFormatting sqref="AO88">
    <cfRule type="cellIs" dxfId="123" priority="73" operator="equal">
      <formula>0</formula>
    </cfRule>
  </conditionalFormatting>
  <conditionalFormatting sqref="AO90">
    <cfRule type="cellIs" dxfId="122" priority="72" operator="equal">
      <formula>0</formula>
    </cfRule>
  </conditionalFormatting>
  <conditionalFormatting sqref="AO90">
    <cfRule type="cellIs" dxfId="121" priority="71" operator="equal">
      <formula>0</formula>
    </cfRule>
  </conditionalFormatting>
  <conditionalFormatting sqref="AO90">
    <cfRule type="cellIs" dxfId="120" priority="70" operator="equal">
      <formula>0</formula>
    </cfRule>
  </conditionalFormatting>
  <conditionalFormatting sqref="AO104">
    <cfRule type="cellIs" dxfId="119" priority="57" operator="equal">
      <formula>0</formula>
    </cfRule>
  </conditionalFormatting>
  <conditionalFormatting sqref="AO92">
    <cfRule type="cellIs" dxfId="118" priority="68" operator="equal">
      <formula>0</formula>
    </cfRule>
  </conditionalFormatting>
  <conditionalFormatting sqref="AO92">
    <cfRule type="cellIs" dxfId="117" priority="67" operator="equal">
      <formula>0</formula>
    </cfRule>
  </conditionalFormatting>
  <conditionalFormatting sqref="AO92">
    <cfRule type="cellIs" dxfId="116" priority="66" operator="equal">
      <formula>0</formula>
    </cfRule>
  </conditionalFormatting>
  <conditionalFormatting sqref="AO92">
    <cfRule type="cellIs" dxfId="115" priority="65" operator="equal">
      <formula>0</formula>
    </cfRule>
  </conditionalFormatting>
  <conditionalFormatting sqref="AO93">
    <cfRule type="cellIs" dxfId="114" priority="64" operator="equal">
      <formula>0</formula>
    </cfRule>
  </conditionalFormatting>
  <conditionalFormatting sqref="AO93">
    <cfRule type="cellIs" dxfId="113" priority="63" operator="equal">
      <formula>0</formula>
    </cfRule>
  </conditionalFormatting>
  <conditionalFormatting sqref="AO93">
    <cfRule type="cellIs" dxfId="112" priority="62" operator="equal">
      <formula>0</formula>
    </cfRule>
  </conditionalFormatting>
  <conditionalFormatting sqref="AO93">
    <cfRule type="cellIs" dxfId="111" priority="61" operator="equal">
      <formula>0</formula>
    </cfRule>
  </conditionalFormatting>
  <conditionalFormatting sqref="AO104">
    <cfRule type="cellIs" dxfId="110" priority="60" operator="equal">
      <formula>0</formula>
    </cfRule>
  </conditionalFormatting>
  <conditionalFormatting sqref="AO104">
    <cfRule type="cellIs" dxfId="109" priority="59" operator="equal">
      <formula>0</formula>
    </cfRule>
  </conditionalFormatting>
  <conditionalFormatting sqref="AO104">
    <cfRule type="cellIs" dxfId="108" priority="58" operator="equal">
      <formula>0</formula>
    </cfRule>
  </conditionalFormatting>
  <conditionalFormatting sqref="AO107">
    <cfRule type="cellIs" dxfId="107" priority="56" operator="equal">
      <formula>0</formula>
    </cfRule>
  </conditionalFormatting>
  <conditionalFormatting sqref="AO107">
    <cfRule type="cellIs" dxfId="106" priority="55" operator="equal">
      <formula>0</formula>
    </cfRule>
  </conditionalFormatting>
  <conditionalFormatting sqref="AO107">
    <cfRule type="cellIs" dxfId="105" priority="54" operator="equal">
      <formula>0</formula>
    </cfRule>
  </conditionalFormatting>
  <conditionalFormatting sqref="AO107">
    <cfRule type="cellIs" dxfId="104" priority="53" operator="equal">
      <formula>0</formula>
    </cfRule>
  </conditionalFormatting>
  <conditionalFormatting sqref="AO111">
    <cfRule type="cellIs" dxfId="103" priority="52" operator="equal">
      <formula>0</formula>
    </cfRule>
  </conditionalFormatting>
  <conditionalFormatting sqref="AO111">
    <cfRule type="cellIs" dxfId="102" priority="51" operator="equal">
      <formula>0</formula>
    </cfRule>
  </conditionalFormatting>
  <conditionalFormatting sqref="AO111">
    <cfRule type="cellIs" dxfId="101" priority="50" operator="equal">
      <formula>0</formula>
    </cfRule>
  </conditionalFormatting>
  <conditionalFormatting sqref="AO111">
    <cfRule type="cellIs" dxfId="100" priority="49" operator="equal">
      <formula>0</formula>
    </cfRule>
  </conditionalFormatting>
  <conditionalFormatting sqref="AO112">
    <cfRule type="cellIs" dxfId="99" priority="48" operator="equal">
      <formula>0</formula>
    </cfRule>
  </conditionalFormatting>
  <conditionalFormatting sqref="AO112">
    <cfRule type="cellIs" dxfId="98" priority="47" operator="equal">
      <formula>0</formula>
    </cfRule>
  </conditionalFormatting>
  <conditionalFormatting sqref="AO112">
    <cfRule type="cellIs" dxfId="97" priority="46" operator="equal">
      <formula>0</formula>
    </cfRule>
  </conditionalFormatting>
  <conditionalFormatting sqref="AO112">
    <cfRule type="cellIs" dxfId="96" priority="45" operator="equal">
      <formula>0</formula>
    </cfRule>
  </conditionalFormatting>
  <conditionalFormatting sqref="AO113">
    <cfRule type="cellIs" dxfId="95" priority="44" operator="equal">
      <formula>0</formula>
    </cfRule>
  </conditionalFormatting>
  <conditionalFormatting sqref="AO113">
    <cfRule type="cellIs" dxfId="94" priority="43" operator="equal">
      <formula>0</formula>
    </cfRule>
  </conditionalFormatting>
  <conditionalFormatting sqref="AO113">
    <cfRule type="cellIs" dxfId="93" priority="42" operator="equal">
      <formula>0</formula>
    </cfRule>
  </conditionalFormatting>
  <conditionalFormatting sqref="AO113">
    <cfRule type="cellIs" dxfId="92" priority="41" operator="equal">
      <formula>0</formula>
    </cfRule>
  </conditionalFormatting>
  <conditionalFormatting sqref="AO114">
    <cfRule type="cellIs" dxfId="91" priority="40" operator="equal">
      <formula>0</formula>
    </cfRule>
  </conditionalFormatting>
  <conditionalFormatting sqref="AO114">
    <cfRule type="cellIs" dxfId="90" priority="39" operator="equal">
      <formula>0</formula>
    </cfRule>
  </conditionalFormatting>
  <conditionalFormatting sqref="AO114">
    <cfRule type="cellIs" dxfId="89" priority="38" operator="equal">
      <formula>0</formula>
    </cfRule>
  </conditionalFormatting>
  <conditionalFormatting sqref="AO114">
    <cfRule type="cellIs" dxfId="88" priority="37" operator="equal">
      <formula>0</formula>
    </cfRule>
  </conditionalFormatting>
  <conditionalFormatting sqref="AO115">
    <cfRule type="cellIs" dxfId="87" priority="36" operator="equal">
      <formula>0</formula>
    </cfRule>
  </conditionalFormatting>
  <conditionalFormatting sqref="AO115">
    <cfRule type="cellIs" dxfId="86" priority="35" operator="equal">
      <formula>0</formula>
    </cfRule>
  </conditionalFormatting>
  <conditionalFormatting sqref="AO115">
    <cfRule type="cellIs" dxfId="85" priority="34" operator="equal">
      <formula>0</formula>
    </cfRule>
  </conditionalFormatting>
  <conditionalFormatting sqref="AO115">
    <cfRule type="cellIs" dxfId="84" priority="33" operator="equal">
      <formula>0</formula>
    </cfRule>
  </conditionalFormatting>
  <conditionalFormatting sqref="AO116">
    <cfRule type="cellIs" dxfId="83" priority="32" operator="equal">
      <formula>0</formula>
    </cfRule>
  </conditionalFormatting>
  <conditionalFormatting sqref="AO116">
    <cfRule type="cellIs" dxfId="82" priority="31" operator="equal">
      <formula>0</formula>
    </cfRule>
  </conditionalFormatting>
  <conditionalFormatting sqref="AO116">
    <cfRule type="cellIs" dxfId="81" priority="30" operator="equal">
      <formula>0</formula>
    </cfRule>
  </conditionalFormatting>
  <conditionalFormatting sqref="AO116">
    <cfRule type="cellIs" dxfId="80" priority="29" operator="equal">
      <formula>0</formula>
    </cfRule>
  </conditionalFormatting>
  <conditionalFormatting sqref="AO144">
    <cfRule type="cellIs" dxfId="79" priority="28" operator="equal">
      <formula>0</formula>
    </cfRule>
  </conditionalFormatting>
  <conditionalFormatting sqref="AO144">
    <cfRule type="cellIs" dxfId="78" priority="27" operator="equal">
      <formula>0</formula>
    </cfRule>
  </conditionalFormatting>
  <conditionalFormatting sqref="AO144">
    <cfRule type="cellIs" dxfId="77" priority="26" operator="equal">
      <formula>0</formula>
    </cfRule>
  </conditionalFormatting>
  <conditionalFormatting sqref="AO144">
    <cfRule type="cellIs" dxfId="76" priority="25" operator="equal">
      <formula>0</formula>
    </cfRule>
  </conditionalFormatting>
  <conditionalFormatting sqref="AO146:AO149">
    <cfRule type="cellIs" dxfId="75" priority="24" operator="equal">
      <formula>0</formula>
    </cfRule>
  </conditionalFormatting>
  <conditionalFormatting sqref="AO146:AO149">
    <cfRule type="cellIs" dxfId="74" priority="23" operator="equal">
      <formula>0</formula>
    </cfRule>
  </conditionalFormatting>
  <conditionalFormatting sqref="AO146:AO149">
    <cfRule type="cellIs" dxfId="73" priority="22" operator="equal">
      <formula>0</formula>
    </cfRule>
  </conditionalFormatting>
  <conditionalFormatting sqref="AO146:AO149">
    <cfRule type="cellIs" dxfId="72" priority="21" operator="equal">
      <formula>0</formula>
    </cfRule>
  </conditionalFormatting>
  <conditionalFormatting sqref="AO153:AO155">
    <cfRule type="cellIs" dxfId="71" priority="20" operator="equal">
      <formula>0</formula>
    </cfRule>
  </conditionalFormatting>
  <conditionalFormatting sqref="AO153:AO155">
    <cfRule type="cellIs" dxfId="70" priority="19" operator="equal">
      <formula>0</formula>
    </cfRule>
  </conditionalFormatting>
  <conditionalFormatting sqref="AO153:AO155">
    <cfRule type="cellIs" dxfId="69" priority="18" operator="equal">
      <formula>0</formula>
    </cfRule>
  </conditionalFormatting>
  <conditionalFormatting sqref="AO153:AO155">
    <cfRule type="cellIs" dxfId="68" priority="17" operator="equal">
      <formula>0</formula>
    </cfRule>
  </conditionalFormatting>
  <conditionalFormatting sqref="AU144:AU154">
    <cfRule type="cellIs" dxfId="67" priority="4" operator="equal">
      <formula>0</formula>
    </cfRule>
  </conditionalFormatting>
  <conditionalFormatting sqref="AU144:AU154">
    <cfRule type="cellIs" dxfId="66" priority="3" operator="equal">
      <formula>0</formula>
    </cfRule>
  </conditionalFormatting>
  <conditionalFormatting sqref="AO188:AO190">
    <cfRule type="cellIs" dxfId="65" priority="14" operator="equal">
      <formula>0</formula>
    </cfRule>
  </conditionalFormatting>
  <conditionalFormatting sqref="AO188:AO190">
    <cfRule type="cellIs" dxfId="64" priority="13" operator="equal">
      <formula>0</formula>
    </cfRule>
  </conditionalFormatting>
  <conditionalFormatting sqref="AU25:AU26">
    <cfRule type="cellIs" dxfId="63" priority="12" operator="equal">
      <formula>0</formula>
    </cfRule>
  </conditionalFormatting>
  <conditionalFormatting sqref="AU25:AU26">
    <cfRule type="cellIs" dxfId="62" priority="11" operator="equal">
      <formula>0</formula>
    </cfRule>
  </conditionalFormatting>
  <conditionalFormatting sqref="AU31">
    <cfRule type="cellIs" dxfId="61" priority="10" operator="equal">
      <formula>0</formula>
    </cfRule>
  </conditionalFormatting>
  <conditionalFormatting sqref="AU31">
    <cfRule type="cellIs" dxfId="60" priority="9" operator="equal">
      <formula>0</formula>
    </cfRule>
  </conditionalFormatting>
  <conditionalFormatting sqref="AU83:AU99">
    <cfRule type="cellIs" dxfId="59" priority="8" operator="equal">
      <formula>0</formula>
    </cfRule>
  </conditionalFormatting>
  <conditionalFormatting sqref="AU83:AU99">
    <cfRule type="cellIs" dxfId="58" priority="7" operator="equal">
      <formula>0</formula>
    </cfRule>
  </conditionalFormatting>
  <conditionalFormatting sqref="AU125:AU142">
    <cfRule type="cellIs" dxfId="57" priority="6" operator="equal">
      <formula>0</formula>
    </cfRule>
  </conditionalFormatting>
  <conditionalFormatting sqref="AU125:AU142">
    <cfRule type="cellIs" dxfId="56" priority="5" operator="equal">
      <formula>0</formula>
    </cfRule>
  </conditionalFormatting>
  <conditionalFormatting sqref="AU158:AU191">
    <cfRule type="cellIs" dxfId="55" priority="2" operator="equal">
      <formula>0</formula>
    </cfRule>
  </conditionalFormatting>
  <conditionalFormatting sqref="AU158:AU191">
    <cfRule type="cellIs" dxfId="54" priority="1" operator="equal">
      <formula>0</formula>
    </cfRule>
  </conditionalFormatting>
  <pageMargins left="0.19685039370078741" right="0.19685039370078741" top="0.19685039370078741" bottom="0.19685039370078741" header="0.31496062992125984" footer="0.19685039370078741"/>
  <pageSetup scale="56" fitToWidth="8" fitToHeight="3" orientation="landscape" r:id="rId1"/>
  <headerFooter>
    <oddFooter>&amp;R&amp;P de &amp;N</oddFooter>
  </headerFooter>
  <rowBreaks count="1" manualBreakCount="1">
    <brk id="3" max="105" man="1"/>
  </rowBreaks>
  <colBreaks count="2" manualBreakCount="2">
    <brk id="16" max="190" man="1"/>
    <brk id="41" max="190" man="1"/>
  </col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X88"/>
  <sheetViews>
    <sheetView view="pageBreakPreview" zoomScale="70" zoomScaleNormal="85" zoomScaleSheetLayoutView="70" workbookViewId="0">
      <pane xSplit="3" ySplit="14" topLeftCell="L15" activePane="bottomRight" state="frozen"/>
      <selection activeCell="A214" sqref="A1:XFD1048576"/>
      <selection pane="topRight" activeCell="A214" sqref="A1:XFD1048576"/>
      <selection pane="bottomLeft" activeCell="A214" sqref="A1:XFD1048576"/>
      <selection pane="bottomRight" activeCell="R6" sqref="R6"/>
    </sheetView>
  </sheetViews>
  <sheetFormatPr baseColWidth="10" defaultColWidth="11.42578125" defaultRowHeight="15"/>
  <cols>
    <col min="1" max="1" width="11.85546875" style="1185" customWidth="1"/>
    <col min="2" max="2" width="18.7109375" style="1186" customWidth="1"/>
    <col min="3" max="3" width="11.42578125" style="1185"/>
    <col min="4" max="21" width="13.7109375" style="1185" customWidth="1"/>
    <col min="22" max="22" width="13.7109375" style="1297" customWidth="1"/>
    <col min="23" max="23" width="13.140625" style="1185" customWidth="1"/>
    <col min="24" max="24" width="14.5703125" style="1185" customWidth="1"/>
    <col min="25" max="25" width="9.42578125" style="1185" customWidth="1"/>
    <col min="26" max="16384" width="11.42578125" style="1185"/>
  </cols>
  <sheetData>
    <row r="1" spans="1:102" s="1193" customFormat="1" ht="30" customHeight="1">
      <c r="A1" s="1630" t="s">
        <v>1199</v>
      </c>
      <c r="B1" s="1631"/>
      <c r="C1" s="1632"/>
      <c r="D1" s="1188" t="s">
        <v>1200</v>
      </c>
      <c r="E1" s="1189" t="s">
        <v>1201</v>
      </c>
      <c r="F1" s="1189" t="s">
        <v>1202</v>
      </c>
      <c r="G1" s="1189" t="s">
        <v>1203</v>
      </c>
      <c r="H1" s="1189" t="s">
        <v>1204</v>
      </c>
      <c r="I1" s="1427" t="s">
        <v>1205</v>
      </c>
      <c r="J1" s="1427" t="s">
        <v>1206</v>
      </c>
      <c r="K1" s="1190" t="s">
        <v>1207</v>
      </c>
      <c r="L1" s="1427" t="s">
        <v>1208</v>
      </c>
      <c r="M1" s="1190" t="s">
        <v>1209</v>
      </c>
      <c r="N1" s="1427" t="s">
        <v>1210</v>
      </c>
      <c r="O1" s="1189" t="s">
        <v>1211</v>
      </c>
      <c r="P1" s="1190" t="s">
        <v>1212</v>
      </c>
      <c r="Q1" s="1190" t="s">
        <v>1213</v>
      </c>
      <c r="R1" s="1189" t="s">
        <v>1214</v>
      </c>
      <c r="S1" s="1189" t="s">
        <v>1215</v>
      </c>
      <c r="T1" s="1189" t="s">
        <v>1216</v>
      </c>
      <c r="U1" s="1189" t="s">
        <v>1217</v>
      </c>
      <c r="V1" s="1191" t="s">
        <v>1218</v>
      </c>
      <c r="W1" s="1192" t="s">
        <v>1219</v>
      </c>
      <c r="X1" s="1192" t="s">
        <v>1220</v>
      </c>
      <c r="Y1" s="1633" t="s">
        <v>1221</v>
      </c>
    </row>
    <row r="2" spans="1:102" s="957" customFormat="1">
      <c r="A2" s="1636" t="s">
        <v>1222</v>
      </c>
      <c r="B2" s="1637"/>
      <c r="C2" s="1638"/>
      <c r="D2" s="1194">
        <v>0</v>
      </c>
      <c r="E2" s="1195">
        <v>0</v>
      </c>
      <c r="F2" s="1195">
        <v>0</v>
      </c>
      <c r="G2" s="1195">
        <v>2</v>
      </c>
      <c r="H2" s="1195">
        <v>3</v>
      </c>
      <c r="I2" s="1428">
        <v>0</v>
      </c>
      <c r="J2" s="1428">
        <v>0</v>
      </c>
      <c r="K2" s="1195">
        <v>0</v>
      </c>
      <c r="L2" s="1428">
        <v>0</v>
      </c>
      <c r="M2" s="1195">
        <v>0</v>
      </c>
      <c r="N2" s="1428">
        <v>2</v>
      </c>
      <c r="O2" s="1195">
        <v>0</v>
      </c>
      <c r="P2" s="1195">
        <v>0</v>
      </c>
      <c r="Q2" s="1195">
        <v>0</v>
      </c>
      <c r="R2" s="1195">
        <v>0</v>
      </c>
      <c r="S2" s="1195">
        <v>0</v>
      </c>
      <c r="T2" s="1195">
        <v>0</v>
      </c>
      <c r="U2" s="1195">
        <v>0</v>
      </c>
      <c r="V2" s="1196">
        <v>0</v>
      </c>
      <c r="W2" s="1197"/>
      <c r="X2" s="1197"/>
      <c r="Y2" s="1634"/>
    </row>
    <row r="3" spans="1:102" s="957" customFormat="1" ht="15" customHeight="1">
      <c r="A3" s="1639" t="s">
        <v>1223</v>
      </c>
      <c r="B3" s="1640"/>
      <c r="C3" s="1198" t="s">
        <v>1224</v>
      </c>
      <c r="D3" s="1194"/>
      <c r="E3" s="1195"/>
      <c r="F3" s="1195"/>
      <c r="G3" s="1195">
        <f>+(112.35-98.4)*2</f>
        <v>27.899999999999977</v>
      </c>
      <c r="H3" s="1195">
        <f>+(112.35-98.4)*2</f>
        <v>27.899999999999977</v>
      </c>
      <c r="I3" s="1195"/>
      <c r="J3" s="1195"/>
      <c r="K3" s="1195"/>
      <c r="L3" s="1195"/>
      <c r="M3" s="1195">
        <f>+(20.955-20.5)*2</f>
        <v>0.90999999999999659</v>
      </c>
      <c r="N3" s="1199">
        <f>+(30.918-22.5)*2</f>
        <v>16.835999999999999</v>
      </c>
      <c r="O3" s="1195"/>
      <c r="P3" s="1195"/>
      <c r="Q3" s="1195">
        <f>+(41.145-39.3)*2</f>
        <v>3.6900000000000119</v>
      </c>
      <c r="R3" s="1195"/>
      <c r="S3" s="1195"/>
      <c r="T3" s="1195"/>
      <c r="U3" s="1195"/>
      <c r="V3" s="1196"/>
      <c r="W3" s="1197"/>
      <c r="X3" s="1197"/>
      <c r="Y3" s="1634"/>
    </row>
    <row r="4" spans="1:102" s="957" customFormat="1">
      <c r="A4" s="1639"/>
      <c r="B4" s="1640"/>
      <c r="C4" s="1198" t="s">
        <v>1225</v>
      </c>
      <c r="D4" s="1194"/>
      <c r="E4" s="1195"/>
      <c r="F4" s="1195"/>
      <c r="G4" s="1195"/>
      <c r="H4" s="1195"/>
      <c r="I4" s="1195">
        <f>+(113.61-109.692)*2</f>
        <v>7.8360000000000127</v>
      </c>
      <c r="J4" s="1195"/>
      <c r="K4" s="1195"/>
      <c r="L4" s="1195"/>
      <c r="M4" s="1195"/>
      <c r="N4" s="1195"/>
      <c r="O4" s="1195"/>
      <c r="P4" s="1195">
        <f>+(36.3-30.926)*2</f>
        <v>10.747999999999998</v>
      </c>
      <c r="Q4" s="1195"/>
      <c r="R4" s="1195"/>
      <c r="S4" s="1195"/>
      <c r="T4" s="1195"/>
      <c r="U4" s="1195"/>
      <c r="V4" s="1196"/>
      <c r="W4" s="1197"/>
      <c r="X4" s="1197"/>
      <c r="Y4" s="1634"/>
    </row>
    <row r="5" spans="1:102" s="957" customFormat="1">
      <c r="A5" s="1636" t="s">
        <v>1226</v>
      </c>
      <c r="B5" s="1637"/>
      <c r="C5" s="1638"/>
      <c r="D5" s="1200">
        <v>83700</v>
      </c>
      <c r="E5" s="1201">
        <v>88080</v>
      </c>
      <c r="F5" s="1201">
        <v>89910</v>
      </c>
      <c r="G5" s="1201">
        <v>98400</v>
      </c>
      <c r="H5" s="1201">
        <v>98400</v>
      </c>
      <c r="I5" s="1201">
        <v>113610</v>
      </c>
      <c r="J5" s="1202">
        <v>116500</v>
      </c>
      <c r="K5" s="1201">
        <v>108910</v>
      </c>
      <c r="L5" s="1203">
        <v>1650</v>
      </c>
      <c r="M5" s="1203">
        <v>20500</v>
      </c>
      <c r="N5" s="1201">
        <v>22200</v>
      </c>
      <c r="O5" s="1201">
        <v>32500</v>
      </c>
      <c r="P5" s="1201">
        <v>36300</v>
      </c>
      <c r="Q5" s="1203">
        <v>39300</v>
      </c>
      <c r="R5" s="1201">
        <v>43000</v>
      </c>
      <c r="S5" s="1201">
        <v>49000</v>
      </c>
      <c r="T5" s="1201">
        <v>50000</v>
      </c>
      <c r="U5" s="1204">
        <v>55000</v>
      </c>
      <c r="V5" s="1205">
        <v>1650</v>
      </c>
      <c r="W5" s="1206">
        <v>43000</v>
      </c>
      <c r="X5" s="1206">
        <v>98400</v>
      </c>
      <c r="Y5" s="1634"/>
    </row>
    <row r="6" spans="1:102" s="957" customFormat="1">
      <c r="A6" s="1641" t="s">
        <v>1227</v>
      </c>
      <c r="B6" s="1642"/>
      <c r="C6" s="1643"/>
      <c r="D6" s="1207">
        <v>4510</v>
      </c>
      <c r="E6" s="1208">
        <v>4510</v>
      </c>
      <c r="F6" s="1208">
        <v>4510</v>
      </c>
      <c r="G6" s="1208">
        <v>4510</v>
      </c>
      <c r="H6" s="1208">
        <v>4510</v>
      </c>
      <c r="I6" s="1208">
        <v>4510</v>
      </c>
      <c r="J6" s="1209">
        <v>4510</v>
      </c>
      <c r="K6" s="1208">
        <v>4510</v>
      </c>
      <c r="L6" s="1208">
        <v>4511</v>
      </c>
      <c r="M6" s="1208">
        <v>4511</v>
      </c>
      <c r="N6" s="1208">
        <v>4511</v>
      </c>
      <c r="O6" s="1208">
        <v>4511</v>
      </c>
      <c r="P6" s="1208">
        <v>4511</v>
      </c>
      <c r="Q6" s="1208">
        <v>4511</v>
      </c>
      <c r="R6" s="1208">
        <v>4511</v>
      </c>
      <c r="S6" s="1208">
        <v>4511</v>
      </c>
      <c r="T6" s="1208">
        <v>4511</v>
      </c>
      <c r="U6" s="1208">
        <v>4511</v>
      </c>
      <c r="V6" s="1210">
        <v>4511</v>
      </c>
      <c r="W6" s="1210">
        <v>4511</v>
      </c>
      <c r="X6" s="1210">
        <v>4510</v>
      </c>
      <c r="Y6" s="1634"/>
    </row>
    <row r="7" spans="1:102" s="1193" customFormat="1" ht="45">
      <c r="A7" s="1644" t="s">
        <v>1228</v>
      </c>
      <c r="B7" s="1645"/>
      <c r="C7" s="1646"/>
      <c r="D7" s="1211" t="s">
        <v>1229</v>
      </c>
      <c r="E7" s="1212" t="s">
        <v>1229</v>
      </c>
      <c r="F7" s="1212" t="s">
        <v>1229</v>
      </c>
      <c r="G7" s="1212" t="s">
        <v>1229</v>
      </c>
      <c r="H7" s="1212" t="s">
        <v>1229</v>
      </c>
      <c r="I7" s="1212" t="s">
        <v>1229</v>
      </c>
      <c r="J7" s="1212" t="s">
        <v>1229</v>
      </c>
      <c r="K7" s="1212" t="s">
        <v>1229</v>
      </c>
      <c r="L7" s="1213" t="s">
        <v>1229</v>
      </c>
      <c r="M7" s="1213" t="s">
        <v>1229</v>
      </c>
      <c r="N7" s="1212" t="s">
        <v>1229</v>
      </c>
      <c r="O7" s="1212" t="s">
        <v>1229</v>
      </c>
      <c r="P7" s="1212" t="s">
        <v>1229</v>
      </c>
      <c r="Q7" s="1213" t="s">
        <v>1229</v>
      </c>
      <c r="R7" s="1212" t="s">
        <v>1229</v>
      </c>
      <c r="S7" s="1212" t="s">
        <v>1229</v>
      </c>
      <c r="T7" s="1212" t="s">
        <v>1229</v>
      </c>
      <c r="U7" s="1212" t="s">
        <v>1229</v>
      </c>
      <c r="V7" s="1214" t="s">
        <v>1230</v>
      </c>
      <c r="W7" s="1215" t="s">
        <v>1231</v>
      </c>
      <c r="X7" s="1216" t="s">
        <v>1232</v>
      </c>
      <c r="Y7" s="1634"/>
    </row>
    <row r="8" spans="1:102" s="957" customFormat="1" ht="45">
      <c r="A8" s="1647" t="s">
        <v>1233</v>
      </c>
      <c r="B8" s="1648"/>
      <c r="C8" s="1648"/>
      <c r="D8" s="1217">
        <v>43056</v>
      </c>
      <c r="E8" s="1218">
        <v>43202</v>
      </c>
      <c r="F8" s="1218">
        <v>43202</v>
      </c>
      <c r="G8" s="1649">
        <v>43202</v>
      </c>
      <c r="H8" s="1649"/>
      <c r="I8" s="1218">
        <v>43201</v>
      </c>
      <c r="J8" s="1219" t="s">
        <v>1234</v>
      </c>
      <c r="K8" s="1218">
        <v>43230</v>
      </c>
      <c r="L8" s="1218">
        <v>43328</v>
      </c>
      <c r="M8" s="1649">
        <v>43423</v>
      </c>
      <c r="N8" s="1649"/>
      <c r="O8" s="1218">
        <v>43748</v>
      </c>
      <c r="P8" s="1218">
        <v>43698</v>
      </c>
      <c r="Q8" s="1218">
        <v>43807</v>
      </c>
      <c r="R8" s="1218">
        <v>43437</v>
      </c>
      <c r="S8" s="1218">
        <v>43747</v>
      </c>
      <c r="T8" s="1218">
        <v>43634</v>
      </c>
      <c r="U8" s="1219">
        <v>43615</v>
      </c>
      <c r="V8" s="1220"/>
      <c r="W8" s="1221"/>
      <c r="X8" s="1206"/>
      <c r="Y8" s="1634"/>
    </row>
    <row r="9" spans="1:102" s="1228" customFormat="1">
      <c r="A9" s="1647" t="s">
        <v>1235</v>
      </c>
      <c r="B9" s="1648"/>
      <c r="C9" s="1648"/>
      <c r="D9" s="1222">
        <v>42186</v>
      </c>
      <c r="E9" s="1223">
        <v>41974</v>
      </c>
      <c r="F9" s="1224" t="s">
        <v>1236</v>
      </c>
      <c r="G9" s="1223">
        <v>42339</v>
      </c>
      <c r="H9" s="1225">
        <v>42583</v>
      </c>
      <c r="I9" s="1225">
        <v>42644</v>
      </c>
      <c r="J9" s="1223">
        <v>42675</v>
      </c>
      <c r="K9" s="1223" t="s">
        <v>1237</v>
      </c>
      <c r="L9" s="1225">
        <v>42705</v>
      </c>
      <c r="M9" s="1223">
        <v>42675</v>
      </c>
      <c r="N9" s="1225">
        <v>42736</v>
      </c>
      <c r="O9" s="1223" t="s">
        <v>1238</v>
      </c>
      <c r="P9" s="1223">
        <v>42583</v>
      </c>
      <c r="Q9" s="1223">
        <v>42491</v>
      </c>
      <c r="R9" s="1225">
        <v>42705</v>
      </c>
      <c r="S9" s="1224" t="s">
        <v>1238</v>
      </c>
      <c r="T9" s="1224" t="s">
        <v>1238</v>
      </c>
      <c r="U9" s="1224" t="s">
        <v>1238</v>
      </c>
      <c r="V9" s="1226" t="s">
        <v>1239</v>
      </c>
      <c r="W9" s="1227" t="s">
        <v>1240</v>
      </c>
      <c r="X9" s="1227" t="s">
        <v>1240</v>
      </c>
      <c r="Y9" s="1634"/>
    </row>
    <row r="10" spans="1:102" s="957" customFormat="1">
      <c r="A10" s="1650" t="s">
        <v>1241</v>
      </c>
      <c r="B10" s="1651"/>
      <c r="C10" s="1652"/>
      <c r="D10" s="1229">
        <v>1400000</v>
      </c>
      <c r="E10" s="1230">
        <v>242000</v>
      </c>
      <c r="F10" s="1230">
        <v>200047</v>
      </c>
      <c r="G10" s="1231">
        <v>800000</v>
      </c>
      <c r="H10" s="1231">
        <v>600000</v>
      </c>
      <c r="I10" s="1230">
        <v>504235</v>
      </c>
      <c r="J10" s="1232">
        <v>500000</v>
      </c>
      <c r="K10" s="1230">
        <v>547649</v>
      </c>
      <c r="L10" s="1232">
        <v>410373</v>
      </c>
      <c r="M10" s="1230">
        <v>456000</v>
      </c>
      <c r="N10" s="1232">
        <v>1200000</v>
      </c>
      <c r="O10" s="1230">
        <v>550000</v>
      </c>
      <c r="P10" s="1232">
        <v>179287</v>
      </c>
      <c r="Q10" s="1233">
        <v>509794</v>
      </c>
      <c r="R10" s="1230">
        <v>950000</v>
      </c>
      <c r="S10" s="1230">
        <v>230000</v>
      </c>
      <c r="T10" s="1230">
        <v>890000</v>
      </c>
      <c r="U10" s="1234" t="s">
        <v>1242</v>
      </c>
      <c r="V10" s="1235"/>
      <c r="W10" s="1206"/>
      <c r="X10" s="1206"/>
      <c r="Y10" s="1634"/>
    </row>
    <row r="11" spans="1:102" s="957" customFormat="1">
      <c r="A11" s="1650" t="s">
        <v>1243</v>
      </c>
      <c r="B11" s="1651"/>
      <c r="C11" s="1652"/>
      <c r="D11" s="1236">
        <v>160000</v>
      </c>
      <c r="E11" s="1237">
        <v>66230</v>
      </c>
      <c r="F11" s="1238">
        <v>0</v>
      </c>
      <c r="G11" s="1239">
        <v>293008</v>
      </c>
      <c r="H11" s="1239">
        <v>439604</v>
      </c>
      <c r="I11" s="1237">
        <v>433744</v>
      </c>
      <c r="J11" s="1240">
        <v>407284</v>
      </c>
      <c r="K11" s="1238">
        <v>0</v>
      </c>
      <c r="L11" s="1240">
        <v>275000</v>
      </c>
      <c r="M11" s="1238">
        <v>187852</v>
      </c>
      <c r="N11" s="1240">
        <v>365562</v>
      </c>
      <c r="O11" s="1238">
        <v>0</v>
      </c>
      <c r="P11" s="1240">
        <v>20932</v>
      </c>
      <c r="Q11" s="1237">
        <v>35826</v>
      </c>
      <c r="R11" s="1237">
        <v>34543</v>
      </c>
      <c r="S11" s="1238">
        <v>0</v>
      </c>
      <c r="T11" s="1238">
        <v>0</v>
      </c>
      <c r="U11" s="1241">
        <v>0</v>
      </c>
      <c r="V11" s="1242"/>
      <c r="W11" s="1206"/>
      <c r="X11" s="1206"/>
      <c r="Y11" s="1634"/>
    </row>
    <row r="12" spans="1:102" s="957" customFormat="1">
      <c r="A12" s="1628" t="s">
        <v>1244</v>
      </c>
      <c r="B12" s="1629"/>
      <c r="C12" s="1653"/>
      <c r="D12" s="1243">
        <v>1439985</v>
      </c>
      <c r="E12" s="1244">
        <v>175770</v>
      </c>
      <c r="F12" s="1244">
        <v>200047</v>
      </c>
      <c r="G12" s="1245">
        <v>506992</v>
      </c>
      <c r="H12" s="1245">
        <v>160396</v>
      </c>
      <c r="I12" s="1244">
        <v>70491</v>
      </c>
      <c r="J12" s="1246">
        <v>92716</v>
      </c>
      <c r="K12" s="1244">
        <v>547649</v>
      </c>
      <c r="L12" s="1246">
        <v>135373</v>
      </c>
      <c r="M12" s="1244">
        <v>268148</v>
      </c>
      <c r="N12" s="1246">
        <v>834438</v>
      </c>
      <c r="O12" s="1244">
        <v>550000</v>
      </c>
      <c r="P12" s="1246">
        <v>158355</v>
      </c>
      <c r="Q12" s="1244">
        <v>473968</v>
      </c>
      <c r="R12" s="1244">
        <v>915457</v>
      </c>
      <c r="S12" s="1244">
        <v>230000</v>
      </c>
      <c r="T12" s="1244">
        <v>890000</v>
      </c>
      <c r="U12" s="1246">
        <v>1300000</v>
      </c>
      <c r="V12" s="1247"/>
      <c r="W12" s="1248"/>
      <c r="X12" s="1248"/>
      <c r="Y12" s="1635"/>
    </row>
    <row r="13" spans="1:102" s="957" customFormat="1">
      <c r="A13" s="1654" t="s">
        <v>1245</v>
      </c>
      <c r="B13" s="1655"/>
      <c r="C13" s="1655"/>
      <c r="D13" s="1249" t="e">
        <f>+D14+D11</f>
        <v>#REF!</v>
      </c>
      <c r="E13" s="1249" t="e">
        <f t="shared" ref="E13:U13" si="0">+E14+E11</f>
        <v>#REF!</v>
      </c>
      <c r="F13" s="1249" t="e">
        <f t="shared" si="0"/>
        <v>#REF!</v>
      </c>
      <c r="G13" s="1249" t="e">
        <f t="shared" si="0"/>
        <v>#REF!</v>
      </c>
      <c r="H13" s="1249" t="e">
        <f t="shared" si="0"/>
        <v>#REF!</v>
      </c>
      <c r="I13" s="1249" t="e">
        <f t="shared" si="0"/>
        <v>#REF!</v>
      </c>
      <c r="J13" s="1249" t="e">
        <f t="shared" si="0"/>
        <v>#REF!</v>
      </c>
      <c r="K13" s="1249" t="e">
        <f t="shared" si="0"/>
        <v>#REF!</v>
      </c>
      <c r="L13" s="1249" t="e">
        <f t="shared" si="0"/>
        <v>#REF!</v>
      </c>
      <c r="M13" s="1249" t="e">
        <f t="shared" si="0"/>
        <v>#REF!</v>
      </c>
      <c r="N13" s="1249" t="e">
        <f t="shared" si="0"/>
        <v>#REF!</v>
      </c>
      <c r="O13" s="1249" t="e">
        <f t="shared" si="0"/>
        <v>#REF!</v>
      </c>
      <c r="P13" s="1249" t="e">
        <f t="shared" si="0"/>
        <v>#REF!</v>
      </c>
      <c r="Q13" s="1249" t="e">
        <f t="shared" si="0"/>
        <v>#REF!</v>
      </c>
      <c r="R13" s="1249" t="e">
        <f t="shared" si="0"/>
        <v>#REF!</v>
      </c>
      <c r="S13" s="1249" t="e">
        <f t="shared" si="0"/>
        <v>#REF!</v>
      </c>
      <c r="T13" s="1249" t="e">
        <f t="shared" si="0"/>
        <v>#REF!</v>
      </c>
      <c r="U13" s="1249" t="e">
        <f t="shared" si="0"/>
        <v>#REF!</v>
      </c>
      <c r="V13" s="1250"/>
      <c r="W13" s="1250"/>
      <c r="X13" s="1250"/>
      <c r="Y13" s="1251"/>
    </row>
    <row r="14" spans="1:102" s="957" customFormat="1">
      <c r="A14" s="1628" t="s">
        <v>1246</v>
      </c>
      <c r="B14" s="1629"/>
      <c r="C14" s="1629"/>
      <c r="D14" s="1252" t="e">
        <f>SUMIFS(D$23:D$85,$B$23:$B$85,"Terraplen")*#REF!+SUMIFS(D$23:D$85,$B$23:$B$85,"Coronas")*#REF!+SUMIFS(D$23:D$85,$B$23:$B$85,"Subbase/Base")*#REF!+SUMIFS(D$23:D$85,$B$23:$B$85,"Pavimento")*#REF!</f>
        <v>#REF!</v>
      </c>
      <c r="E14" s="1244" t="e">
        <f>SUMIFS(E$23:E$85,$B$23:$B$85,"Terraplen")*#REF!+SUMIFS(E$23:E$85,$B$23:$B$85,"Coronas")*#REF!+SUMIFS(E$23:E$85,$B$23:$B$85,"Subbase/Base")*#REF!+SUMIFS(E$23:E$85,$B$23:$B$85,"Pavimento")*#REF!</f>
        <v>#REF!</v>
      </c>
      <c r="F14" s="1244" t="e">
        <f>SUMIFS(F$23:F$85,$B$23:$B$85,"Terraplen")*#REF!+SUMIFS(F$23:F$85,$B$23:$B$85,"Coronas")*#REF!+SUMIFS(F$23:F$85,$B$23:$B$85,"Subbase/Base")*#REF!+SUMIFS(F$23:F$85,$B$23:$B$85,"Pavimento")*#REF!</f>
        <v>#REF!</v>
      </c>
      <c r="G14" s="1245" t="e">
        <f>SUMIFS(G$23:G$85,$B$23:$B$85,"Terraplen")*#REF!+SUMIFS(G$23:G$85,$B$23:$B$85,"Coronas")*#REF!+SUMIFS(G$23:G$85,$B$23:$B$85,"Subbase/Base")*#REF!+SUMIFS(G$23:G$85,$B$23:$B$85,"Pavimento")*#REF!</f>
        <v>#REF!</v>
      </c>
      <c r="H14" s="1245" t="e">
        <f>SUMIFS(H$23:H$85,$B$23:$B$85,"Terraplen")*#REF!+SUMIFS(H$23:H$85,$B$23:$B$85,"Coronas")*#REF!+SUMIFS(H$23:H$85,$B$23:$B$85,"Subbase/Base")*#REF!+SUMIFS(H$23:H$85,$B$23:$B$85,"Pavimento")*#REF!</f>
        <v>#REF!</v>
      </c>
      <c r="I14" s="1244" t="e">
        <f>SUMIFS(I$23:I$85,$B$23:$B$85,"Terraplen")*#REF!+SUMIFS(I$23:I$85,$B$23:$B$85,"Coronas")*#REF!+SUMIFS(I$23:I$85,$B$23:$B$85,"Subbase/Base")*#REF!+SUMIFS(I$23:I$85,$B$23:$B$85,"Pavimento")*#REF!</f>
        <v>#REF!</v>
      </c>
      <c r="J14" s="1246" t="e">
        <f>SUMIFS(J$23:J$85,$B$23:$B$85,"Terraplen")*#REF!+SUMIFS(J$23:J$85,$B$23:$B$85,"Coronas")*#REF!+SUMIFS(J$23:J$85,$B$23:$B$85,"Subbase/Base")*#REF!+SUMIFS(J$23:J$85,$B$23:$B$85,"Pavimento")*#REF!</f>
        <v>#REF!</v>
      </c>
      <c r="K14" s="1244" t="e">
        <f>SUMIFS(K$23:K$85,$B$23:$B$85,"Terraplen")*#REF!+SUMIFS(K$23:K$85,$B$23:$B$85,"Coronas")*#REF!+SUMIFS(K$23:K$85,$B$23:$B$85,"Subbase/Base")*#REF!+SUMIFS(K$23:K$85,$B$23:$B$85,"Pavimento")*#REF!</f>
        <v>#REF!</v>
      </c>
      <c r="L14" s="1246" t="e">
        <f>SUMIFS(L$23:L$85,$B$23:$B$85,"Terraplen")*#REF!+SUMIFS(L$23:L$85,$B$23:$B$85,"Coronas")*#REF!+SUMIFS(L$23:L$85,$B$23:$B$85,"Subbase/Base")*#REF!+SUMIFS(L$23:L$85,$B$23:$B$85,"Pavimento")*#REF!</f>
        <v>#REF!</v>
      </c>
      <c r="M14" s="1244" t="e">
        <f>SUMIFS(M$23:M$85,$B$23:$B$85,"Terraplen")*#REF!+SUMIFS(M$23:M$85,$B$23:$B$85,"Coronas")*#REF!+SUMIFS(M$23:M$85,$B$23:$B$85,"Subbase/Base")*#REF!+SUMIFS(M$23:M$85,$B$23:$B$85,"Pavimento")*#REF!</f>
        <v>#REF!</v>
      </c>
      <c r="N14" s="1246" t="e">
        <f>SUMIFS(N$23:N$85,$B$23:$B$85,"Terraplen")*#REF!+SUMIFS(N$23:N$85,$B$23:$B$85,"Coronas")*#REF!+SUMIFS(N$23:N$85,$B$23:$B$85,"Subbase/Base")*#REF!+SUMIFS(N$23:N$85,$B$23:$B$85,"Pavimento")*#REF!</f>
        <v>#REF!</v>
      </c>
      <c r="O14" s="1244" t="e">
        <f>SUMIFS(O$23:O$85,$B$23:$B$85,"Terraplen")*#REF!+SUMIFS(O$23:O$85,$B$23:$B$85,"Coronas")*#REF!+SUMIFS(O$23:O$85,$B$23:$B$85,"Subbase/Base")*#REF!+SUMIFS(O$23:O$85,$B$23:$B$85,"Pavimento")*#REF!</f>
        <v>#REF!</v>
      </c>
      <c r="P14" s="1246" t="e">
        <f>SUMIFS(P$23:P$85,$B$23:$B$85,"Terraplen")*#REF!+SUMIFS(P$23:P$85,$B$23:$B$85,"Coronas")*#REF!+SUMIFS(P$23:P$85,$B$23:$B$85,"Subbase/Base")*#REF!+SUMIFS(P$23:P$85,$B$23:$B$85,"Pavimento")*#REF!</f>
        <v>#REF!</v>
      </c>
      <c r="Q14" s="1244" t="e">
        <f>SUMIFS(Q$23:Q$85,$B$23:$B$85,"Terraplen")*#REF!+SUMIFS(Q$23:Q$85,$B$23:$B$85,"Coronas")*#REF!+SUMIFS(Q$23:Q$85,$B$23:$B$85,"Subbase/Base")*#REF!+SUMIFS(Q$23:Q$85,$B$23:$B$85,"Pavimento")*#REF!</f>
        <v>#REF!</v>
      </c>
      <c r="R14" s="1246" t="e">
        <f>SUMIFS(R$23:R$85,$B$23:$B$85,"Terraplen")*#REF!+SUMIFS(R$23:R$85,$B$23:$B$85,"Coronas")*#REF!+SUMIFS(R$23:R$85,$B$23:$B$85,"Subbase/Base")*#REF!+SUMIFS(R$23:R$85,$B$23:$B$85,"Pavimento")*#REF!</f>
        <v>#REF!</v>
      </c>
      <c r="S14" s="1244" t="e">
        <f>SUMIFS(S$23:S$81,$B$23:$B$81,"Terraplen")*#REF!+SUMIFS(S$23:S$81,$B$23:$B$81,"Corona Inf")*#REF!+SUMIFS(S$23:S$81,$B$23:$B$81,"Corona Sup")*#REF!+SUMIFS(S$23:S$81,$B$23:$B$81,"Subbase")*#REF!+SUMIFS(S$23:S$81,$B$23:$B$81,"Base")*#REF!+SUMIFS(S$23:S$81,$B$23:$B$81,"Pavimento")*#REF!</f>
        <v>#REF!</v>
      </c>
      <c r="T14" s="1244" t="e">
        <f>SUMIFS(T$23:T$81,$B$23:$B$81,"Terraplen")*#REF!+SUMIFS(T$23:T$81,$B$23:$B$81,"Corona Inf")*#REF!+SUMIFS(T$23:T$81,$B$23:$B$81,"Corona Sup")*#REF!+SUMIFS(T$23:T$81,$B$23:$B$81,"Subbase")*#REF!+SUMIFS(T$23:T$81,$B$23:$B$81,"Base")*#REF!+SUMIFS(T$23:T$81,$B$23:$B$81,"Pavimento")*#REF!</f>
        <v>#REF!</v>
      </c>
      <c r="U14" s="1246" t="e">
        <f>SUMIFS(U$23:U$81,$B$23:$B$81,"Terraplen")*#REF!+SUMIFS(U$23:U$81,$B$23:$B$81,"Corona Inf")*#REF!+SUMIFS(U$23:U$81,$B$23:$B$81,"Corona Sup")*#REF!+SUMIFS(U$23:U$81,$B$23:$B$81,"Subbase")*#REF!+SUMIFS(U$23:U$81,$B$23:$B$81,"Base")*#REF!+SUMIFS(U$23:U$81,$B$23:$B$81,"Pavimento")*#REF!</f>
        <v>#REF!</v>
      </c>
      <c r="V14" s="1247"/>
      <c r="W14" s="1247"/>
      <c r="X14" s="1247"/>
      <c r="Y14" s="1251"/>
    </row>
    <row r="15" spans="1:102">
      <c r="A15" s="1253" t="s">
        <v>1247</v>
      </c>
      <c r="B15" s="1254"/>
      <c r="C15" s="1255" t="s">
        <v>1248</v>
      </c>
      <c r="D15" s="1256"/>
      <c r="E15" s="1257"/>
      <c r="F15" s="1257"/>
      <c r="G15" s="1257"/>
      <c r="H15" s="1257"/>
      <c r="I15" s="1257"/>
      <c r="J15" s="1257"/>
      <c r="K15" s="1257"/>
      <c r="L15" s="1257"/>
      <c r="M15" s="1257"/>
      <c r="N15" s="1257"/>
      <c r="O15" s="1257"/>
      <c r="P15" s="1257"/>
      <c r="Q15" s="1257"/>
      <c r="R15" s="1257"/>
      <c r="S15" s="1257"/>
      <c r="T15" s="1257"/>
      <c r="U15" s="1257"/>
      <c r="V15" s="1258"/>
      <c r="W15" s="1258"/>
      <c r="X15" s="1258"/>
      <c r="Y15" s="1259"/>
      <c r="Z15" s="1260"/>
      <c r="AA15" s="1260"/>
      <c r="AB15" s="1260"/>
      <c r="AC15" s="1260"/>
      <c r="AD15" s="1260"/>
      <c r="AE15" s="1260"/>
      <c r="AF15" s="1260"/>
      <c r="AG15" s="1260"/>
      <c r="AH15" s="1260"/>
      <c r="AI15" s="1260"/>
      <c r="AJ15" s="1260"/>
      <c r="AK15" s="1260"/>
      <c r="AL15" s="1260"/>
      <c r="AM15" s="1260"/>
      <c r="AN15" s="1260"/>
      <c r="AO15" s="1260"/>
      <c r="AP15" s="1260"/>
      <c r="AQ15" s="1260"/>
      <c r="AR15" s="1260"/>
      <c r="AS15" s="1260"/>
      <c r="AT15" s="1260"/>
      <c r="AU15" s="1260"/>
      <c r="AV15" s="1260"/>
      <c r="AW15" s="1260"/>
      <c r="AX15" s="1260"/>
      <c r="AY15" s="1260"/>
      <c r="AZ15" s="1260"/>
      <c r="BA15" s="1260"/>
      <c r="BB15" s="1260"/>
      <c r="BC15" s="1260"/>
      <c r="BD15" s="1260"/>
      <c r="BE15" s="1260"/>
      <c r="BF15" s="1260"/>
      <c r="BG15" s="1260"/>
      <c r="BH15" s="1260"/>
      <c r="BI15" s="1260"/>
      <c r="BJ15" s="1260"/>
      <c r="BK15" s="1260"/>
      <c r="BL15" s="1260"/>
      <c r="BM15" s="1260"/>
      <c r="BN15" s="1260"/>
      <c r="BO15" s="1260"/>
      <c r="BP15" s="1260"/>
      <c r="BQ15" s="1260"/>
      <c r="BR15" s="1260"/>
      <c r="BS15" s="1260"/>
      <c r="BT15" s="1260"/>
      <c r="BU15" s="1260"/>
      <c r="BV15" s="1260"/>
      <c r="BW15" s="1260"/>
      <c r="BX15" s="1260"/>
      <c r="BY15" s="1260"/>
      <c r="BZ15" s="1260"/>
      <c r="CA15" s="1260"/>
      <c r="CB15" s="1260"/>
      <c r="CC15" s="1260"/>
      <c r="CD15" s="1260"/>
      <c r="CE15" s="1260"/>
      <c r="CF15" s="1260"/>
      <c r="CG15" s="1260"/>
      <c r="CH15" s="1260"/>
      <c r="CI15" s="1260"/>
      <c r="CJ15" s="1260"/>
      <c r="CK15" s="1260"/>
      <c r="CL15" s="1260"/>
      <c r="CM15" s="1260"/>
      <c r="CN15" s="1260"/>
      <c r="CO15" s="1260"/>
      <c r="CP15" s="1260"/>
      <c r="CQ15" s="1260"/>
      <c r="CR15" s="1260"/>
      <c r="CS15" s="1260"/>
      <c r="CT15" s="1260"/>
      <c r="CU15" s="1260"/>
      <c r="CV15" s="1260"/>
      <c r="CW15" s="1260"/>
      <c r="CX15" s="1260"/>
    </row>
    <row r="16" spans="1:102">
      <c r="A16" s="1261" t="s">
        <v>1227</v>
      </c>
      <c r="B16" s="1262"/>
      <c r="C16" s="1263">
        <v>4510</v>
      </c>
      <c r="D16" s="1264"/>
      <c r="E16" s="1265"/>
      <c r="F16" s="1265"/>
      <c r="G16" s="1265"/>
      <c r="H16" s="1265"/>
      <c r="I16" s="1265"/>
      <c r="J16" s="1265"/>
      <c r="K16" s="1265"/>
      <c r="L16" s="1265"/>
      <c r="M16" s="1265"/>
      <c r="N16" s="1265"/>
      <c r="O16" s="1265"/>
      <c r="P16" s="1265"/>
      <c r="Q16" s="1265"/>
      <c r="R16" s="1265"/>
      <c r="S16" s="1265"/>
      <c r="T16" s="1265"/>
      <c r="U16" s="1265"/>
      <c r="V16" s="1266"/>
      <c r="W16" s="1266"/>
      <c r="X16" s="1266"/>
      <c r="Y16" s="1259"/>
      <c r="Z16" s="1260"/>
      <c r="AA16" s="1260"/>
      <c r="AB16" s="1260"/>
      <c r="AC16" s="1260"/>
      <c r="AD16" s="1260"/>
      <c r="AE16" s="1260"/>
      <c r="AF16" s="1260"/>
      <c r="AG16" s="1260"/>
      <c r="AH16" s="1260"/>
      <c r="AI16" s="1260"/>
      <c r="AJ16" s="1260"/>
      <c r="AK16" s="1260"/>
      <c r="AL16" s="1260"/>
      <c r="AM16" s="1260"/>
      <c r="AN16" s="1260"/>
      <c r="AO16" s="1260"/>
      <c r="AP16" s="1260"/>
      <c r="AQ16" s="1260"/>
      <c r="AR16" s="1260"/>
      <c r="AS16" s="1260"/>
      <c r="AT16" s="1260"/>
      <c r="AU16" s="1260"/>
      <c r="AV16" s="1260"/>
      <c r="AW16" s="1260"/>
      <c r="AX16" s="1260"/>
      <c r="AY16" s="1260"/>
      <c r="AZ16" s="1260"/>
      <c r="BA16" s="1260"/>
      <c r="BB16" s="1260"/>
      <c r="BC16" s="1260"/>
      <c r="BD16" s="1260"/>
      <c r="BE16" s="1260"/>
      <c r="BF16" s="1260"/>
      <c r="BG16" s="1260"/>
      <c r="BH16" s="1260"/>
      <c r="BI16" s="1260"/>
      <c r="BJ16" s="1260"/>
      <c r="BK16" s="1260"/>
      <c r="BL16" s="1260"/>
      <c r="BM16" s="1260"/>
      <c r="BN16" s="1260"/>
      <c r="BO16" s="1260"/>
      <c r="BP16" s="1260"/>
      <c r="BQ16" s="1260"/>
      <c r="BR16" s="1260"/>
      <c r="BS16" s="1260"/>
      <c r="BT16" s="1260"/>
      <c r="BU16" s="1260"/>
      <c r="BV16" s="1260"/>
      <c r="BW16" s="1260"/>
      <c r="BX16" s="1260"/>
      <c r="BY16" s="1260"/>
      <c r="BZ16" s="1260"/>
      <c r="CA16" s="1260"/>
      <c r="CB16" s="1260"/>
      <c r="CC16" s="1260"/>
      <c r="CD16" s="1260"/>
      <c r="CE16" s="1260"/>
      <c r="CF16" s="1260"/>
      <c r="CG16" s="1260"/>
      <c r="CH16" s="1260"/>
      <c r="CI16" s="1260"/>
      <c r="CJ16" s="1260"/>
      <c r="CK16" s="1260"/>
      <c r="CL16" s="1260"/>
      <c r="CM16" s="1260"/>
      <c r="CN16" s="1260"/>
      <c r="CO16" s="1260"/>
      <c r="CP16" s="1260"/>
      <c r="CQ16" s="1260"/>
      <c r="CR16" s="1260"/>
      <c r="CS16" s="1260"/>
      <c r="CT16" s="1260"/>
      <c r="CU16" s="1260"/>
      <c r="CV16" s="1260"/>
      <c r="CW16" s="1260"/>
      <c r="CX16" s="1260"/>
    </row>
    <row r="17" spans="1:102">
      <c r="A17" s="1622" t="s">
        <v>1249</v>
      </c>
      <c r="B17" s="1267" t="s">
        <v>1250</v>
      </c>
      <c r="C17" s="1268">
        <v>87545</v>
      </c>
      <c r="D17" s="1269"/>
      <c r="E17" s="1270"/>
      <c r="F17" s="1270"/>
      <c r="G17" s="1270"/>
      <c r="H17" s="1270"/>
      <c r="I17" s="1270"/>
      <c r="J17" s="1270"/>
      <c r="K17" s="1270"/>
      <c r="L17" s="1270"/>
      <c r="M17" s="1270"/>
      <c r="N17" s="1270"/>
      <c r="O17" s="1270"/>
      <c r="P17" s="1270"/>
      <c r="Q17" s="1270"/>
      <c r="R17" s="1270"/>
      <c r="S17" s="1270"/>
      <c r="T17" s="1270"/>
      <c r="U17" s="1270"/>
      <c r="V17" s="1271"/>
      <c r="W17" s="1271"/>
      <c r="X17" s="1271"/>
      <c r="Y17" s="1259"/>
      <c r="Z17" s="1260"/>
      <c r="AA17" s="1260"/>
      <c r="AB17" s="1260"/>
      <c r="AC17" s="1260"/>
      <c r="AD17" s="1260"/>
      <c r="AE17" s="1260"/>
      <c r="AF17" s="1260"/>
      <c r="AG17" s="1260"/>
      <c r="AH17" s="1260"/>
      <c r="AI17" s="1260"/>
      <c r="AJ17" s="1260"/>
      <c r="AK17" s="1260"/>
      <c r="AL17" s="1260"/>
      <c r="AM17" s="1260"/>
      <c r="AN17" s="1260"/>
      <c r="AO17" s="1260"/>
      <c r="AP17" s="1260"/>
      <c r="AQ17" s="1260"/>
      <c r="AR17" s="1260"/>
      <c r="AS17" s="1260"/>
      <c r="AT17" s="1260"/>
      <c r="AU17" s="1260"/>
      <c r="AV17" s="1260"/>
      <c r="AW17" s="1260"/>
      <c r="AX17" s="1260"/>
      <c r="AY17" s="1260"/>
      <c r="AZ17" s="1260"/>
      <c r="BA17" s="1260"/>
      <c r="BB17" s="1260"/>
      <c r="BC17" s="1260"/>
      <c r="BD17" s="1260"/>
      <c r="BE17" s="1260"/>
      <c r="BF17" s="1260"/>
      <c r="BG17" s="1260"/>
      <c r="BH17" s="1260"/>
      <c r="BI17" s="1260"/>
      <c r="BJ17" s="1260"/>
      <c r="BK17" s="1260"/>
      <c r="BL17" s="1260"/>
      <c r="BM17" s="1260"/>
      <c r="BN17" s="1260"/>
      <c r="BO17" s="1260"/>
      <c r="BP17" s="1260"/>
      <c r="BQ17" s="1260"/>
      <c r="BR17" s="1260"/>
      <c r="BS17" s="1260"/>
      <c r="BT17" s="1260"/>
      <c r="BU17" s="1260"/>
      <c r="BV17" s="1260"/>
      <c r="BW17" s="1260"/>
      <c r="BX17" s="1260"/>
      <c r="BY17" s="1260"/>
      <c r="BZ17" s="1260"/>
      <c r="CA17" s="1260"/>
      <c r="CB17" s="1260"/>
      <c r="CC17" s="1260"/>
      <c r="CD17" s="1260"/>
      <c r="CE17" s="1260"/>
      <c r="CF17" s="1260"/>
      <c r="CG17" s="1260"/>
      <c r="CH17" s="1260"/>
      <c r="CI17" s="1260"/>
      <c r="CJ17" s="1260"/>
      <c r="CK17" s="1260"/>
      <c r="CL17" s="1260"/>
      <c r="CM17" s="1260"/>
      <c r="CN17" s="1260"/>
      <c r="CO17" s="1260"/>
      <c r="CP17" s="1260"/>
      <c r="CQ17" s="1260"/>
      <c r="CR17" s="1260"/>
      <c r="CS17" s="1260"/>
      <c r="CT17" s="1260"/>
      <c r="CU17" s="1260"/>
      <c r="CV17" s="1260"/>
      <c r="CW17" s="1260"/>
      <c r="CX17" s="1260"/>
    </row>
    <row r="18" spans="1:102">
      <c r="A18" s="1622"/>
      <c r="B18" s="1267" t="s">
        <v>1251</v>
      </c>
      <c r="C18" s="1268">
        <v>91430</v>
      </c>
      <c r="D18" s="1269"/>
      <c r="E18" s="1270"/>
      <c r="F18" s="1270"/>
      <c r="G18" s="1270"/>
      <c r="H18" s="1270"/>
      <c r="I18" s="1270"/>
      <c r="J18" s="1270"/>
      <c r="K18" s="1270"/>
      <c r="L18" s="1270"/>
      <c r="M18" s="1270"/>
      <c r="N18" s="1270"/>
      <c r="O18" s="1270"/>
      <c r="P18" s="1270"/>
      <c r="Q18" s="1270"/>
      <c r="R18" s="1270"/>
      <c r="S18" s="1270"/>
      <c r="T18" s="1270"/>
      <c r="U18" s="1270"/>
      <c r="V18" s="1271"/>
      <c r="W18" s="1271"/>
      <c r="X18" s="1271"/>
      <c r="Y18" s="1270"/>
    </row>
    <row r="19" spans="1:102">
      <c r="A19" s="1272" t="s">
        <v>1252</v>
      </c>
      <c r="B19" s="1273"/>
      <c r="C19" s="1268">
        <f>+(C18-C17)/2+C17</f>
        <v>89487.5</v>
      </c>
      <c r="D19" s="1269"/>
      <c r="E19" s="1270"/>
      <c r="F19" s="1270"/>
      <c r="G19" s="1270"/>
      <c r="H19" s="1270"/>
      <c r="I19" s="1270"/>
      <c r="J19" s="1270"/>
      <c r="K19" s="1270"/>
      <c r="L19" s="1270"/>
      <c r="M19" s="1270"/>
      <c r="N19" s="1270"/>
      <c r="O19" s="1270"/>
      <c r="P19" s="1270"/>
      <c r="Q19" s="1270"/>
      <c r="R19" s="1270"/>
      <c r="S19" s="1270"/>
      <c r="T19" s="1270"/>
      <c r="U19" s="1270"/>
      <c r="V19" s="1271"/>
      <c r="W19" s="1271"/>
      <c r="X19" s="1271"/>
      <c r="Y19" s="1270"/>
    </row>
    <row r="20" spans="1:102">
      <c r="A20" s="1272" t="s">
        <v>1253</v>
      </c>
      <c r="B20" s="1273"/>
      <c r="C20" s="1274"/>
      <c r="D20" s="1275">
        <f>IF(D22&gt;D21,(D22-D21)+D$2*1000+D$3*1000,(D21-D22)+D$2*1000+D$4*1000)/1000</f>
        <v>5.7874999999999996</v>
      </c>
      <c r="E20" s="1276">
        <f t="shared" ref="E20:X20" si="1">IF(E22&gt;E21,(E22-E21)+E$2*1000+E$3*1000,(E21-E22)+E$2*1000+E$4*1000)/1000</f>
        <v>1.4075</v>
      </c>
      <c r="F20" s="1276">
        <f t="shared" si="1"/>
        <v>0.42249999999999999</v>
      </c>
      <c r="G20" s="1276">
        <f t="shared" si="1"/>
        <v>38.812499999999979</v>
      </c>
      <c r="H20" s="1276">
        <f t="shared" si="1"/>
        <v>39.812499999999979</v>
      </c>
      <c r="I20" s="1276">
        <f t="shared" si="1"/>
        <v>24.122499999999999</v>
      </c>
      <c r="J20" s="1276">
        <f t="shared" si="1"/>
        <v>27.012499999999999</v>
      </c>
      <c r="K20" s="1276">
        <f t="shared" si="1"/>
        <v>19.422499999999999</v>
      </c>
      <c r="L20" s="1276">
        <f t="shared" si="1"/>
        <v>46.490499999999997</v>
      </c>
      <c r="M20" s="1276">
        <f t="shared" si="1"/>
        <v>66.250500000000002</v>
      </c>
      <c r="N20" s="1276">
        <f t="shared" si="1"/>
        <v>85.876499999999993</v>
      </c>
      <c r="O20" s="1276">
        <f t="shared" si="1"/>
        <v>77.340500000000006</v>
      </c>
      <c r="P20" s="1276">
        <f t="shared" si="1"/>
        <v>81.140500000000003</v>
      </c>
      <c r="Q20" s="1276">
        <f t="shared" si="1"/>
        <v>87.830500000000015</v>
      </c>
      <c r="R20" s="1276">
        <f t="shared" si="1"/>
        <v>87.840500000000006</v>
      </c>
      <c r="S20" s="1276">
        <f t="shared" si="1"/>
        <v>93.840500000000006</v>
      </c>
      <c r="T20" s="1276">
        <f t="shared" si="1"/>
        <v>94.840500000000006</v>
      </c>
      <c r="U20" s="1276">
        <f t="shared" si="1"/>
        <v>99.840500000000006</v>
      </c>
      <c r="V20" s="1277">
        <f t="shared" si="1"/>
        <v>46.490499999999997</v>
      </c>
      <c r="W20" s="1277">
        <f t="shared" si="1"/>
        <v>87.840500000000006</v>
      </c>
      <c r="X20" s="1277">
        <f t="shared" si="1"/>
        <v>8.9124999999999996</v>
      </c>
      <c r="Y20" s="1270"/>
    </row>
    <row r="21" spans="1:102" hidden="1">
      <c r="A21" s="1278" t="s">
        <v>1254</v>
      </c>
      <c r="B21" s="1279"/>
      <c r="C21" s="1280"/>
      <c r="D21" s="1200">
        <f>+IF($C16=4510,IF(D$6=4510,$C19,$C19),IF(D$6=4511,$C19+134328,134328+$C19))</f>
        <v>89487.5</v>
      </c>
      <c r="E21" s="1200">
        <f t="shared" ref="E21:X21" si="2">+IF($C16=4510,IF(E$6=4510,$C19,$C19),IF(E$6=4511,$C19+134328,134328+$C19))</f>
        <v>89487.5</v>
      </c>
      <c r="F21" s="1200">
        <f t="shared" si="2"/>
        <v>89487.5</v>
      </c>
      <c r="G21" s="1200">
        <f t="shared" si="2"/>
        <v>89487.5</v>
      </c>
      <c r="H21" s="1200">
        <f t="shared" si="2"/>
        <v>89487.5</v>
      </c>
      <c r="I21" s="1200">
        <f t="shared" si="2"/>
        <v>89487.5</v>
      </c>
      <c r="J21" s="1200">
        <f t="shared" si="2"/>
        <v>89487.5</v>
      </c>
      <c r="K21" s="1200">
        <f t="shared" si="2"/>
        <v>89487.5</v>
      </c>
      <c r="L21" s="1200">
        <f t="shared" si="2"/>
        <v>89487.5</v>
      </c>
      <c r="M21" s="1200">
        <f t="shared" si="2"/>
        <v>89487.5</v>
      </c>
      <c r="N21" s="1200">
        <f t="shared" si="2"/>
        <v>89487.5</v>
      </c>
      <c r="O21" s="1200">
        <f t="shared" si="2"/>
        <v>89487.5</v>
      </c>
      <c r="P21" s="1200">
        <f t="shared" si="2"/>
        <v>89487.5</v>
      </c>
      <c r="Q21" s="1200">
        <f t="shared" si="2"/>
        <v>89487.5</v>
      </c>
      <c r="R21" s="1200">
        <f t="shared" si="2"/>
        <v>89487.5</v>
      </c>
      <c r="S21" s="1200">
        <f t="shared" si="2"/>
        <v>89487.5</v>
      </c>
      <c r="T21" s="1200">
        <f t="shared" si="2"/>
        <v>89487.5</v>
      </c>
      <c r="U21" s="1200">
        <f t="shared" si="2"/>
        <v>89487.5</v>
      </c>
      <c r="V21" s="1281">
        <f t="shared" si="2"/>
        <v>89487.5</v>
      </c>
      <c r="W21" s="1281">
        <f t="shared" si="2"/>
        <v>89487.5</v>
      </c>
      <c r="X21" s="1281">
        <f t="shared" si="2"/>
        <v>89487.5</v>
      </c>
      <c r="Y21" s="1270"/>
    </row>
    <row r="22" spans="1:102" hidden="1">
      <c r="A22" s="1278" t="s">
        <v>1255</v>
      </c>
      <c r="B22" s="1279"/>
      <c r="C22" s="1280"/>
      <c r="D22" s="1200">
        <f>+IF($C16=4510,IF(D$6=4510,D$5,D$5+134328),IF(D$6=4511,D$5+134328,D$5))</f>
        <v>83700</v>
      </c>
      <c r="E22" s="1200">
        <f t="shared" ref="E22:X22" si="3">+IF($C16=4510,IF(E$6=4510,E$5,E$5+134328),IF(E$6=4511,E$5+134328,E$5))</f>
        <v>88080</v>
      </c>
      <c r="F22" s="1200">
        <f t="shared" si="3"/>
        <v>89910</v>
      </c>
      <c r="G22" s="1200">
        <f t="shared" si="3"/>
        <v>98400</v>
      </c>
      <c r="H22" s="1200">
        <f t="shared" si="3"/>
        <v>98400</v>
      </c>
      <c r="I22" s="1200">
        <f t="shared" si="3"/>
        <v>113610</v>
      </c>
      <c r="J22" s="1200">
        <f t="shared" si="3"/>
        <v>116500</v>
      </c>
      <c r="K22" s="1200">
        <f t="shared" si="3"/>
        <v>108910</v>
      </c>
      <c r="L22" s="1200">
        <f t="shared" si="3"/>
        <v>135978</v>
      </c>
      <c r="M22" s="1200">
        <f t="shared" si="3"/>
        <v>154828</v>
      </c>
      <c r="N22" s="1200">
        <f t="shared" si="3"/>
        <v>156528</v>
      </c>
      <c r="O22" s="1200">
        <f t="shared" si="3"/>
        <v>166828</v>
      </c>
      <c r="P22" s="1200">
        <f t="shared" si="3"/>
        <v>170628</v>
      </c>
      <c r="Q22" s="1200">
        <f t="shared" si="3"/>
        <v>173628</v>
      </c>
      <c r="R22" s="1200">
        <f t="shared" si="3"/>
        <v>177328</v>
      </c>
      <c r="S22" s="1200">
        <f t="shared" si="3"/>
        <v>183328</v>
      </c>
      <c r="T22" s="1200">
        <f t="shared" si="3"/>
        <v>184328</v>
      </c>
      <c r="U22" s="1200">
        <f t="shared" si="3"/>
        <v>189328</v>
      </c>
      <c r="V22" s="1281">
        <f t="shared" si="3"/>
        <v>135978</v>
      </c>
      <c r="W22" s="1281">
        <f t="shared" si="3"/>
        <v>177328</v>
      </c>
      <c r="X22" s="1281">
        <f t="shared" si="3"/>
        <v>98400</v>
      </c>
      <c r="Y22" s="1270"/>
    </row>
    <row r="23" spans="1:102" ht="15" customHeight="1">
      <c r="A23" s="1625" t="s">
        <v>1256</v>
      </c>
      <c r="B23" s="1267" t="s">
        <v>1257</v>
      </c>
      <c r="C23" s="1282">
        <v>0</v>
      </c>
      <c r="D23" s="1236"/>
      <c r="E23" s="1237"/>
      <c r="F23" s="1237"/>
      <c r="G23" s="1237"/>
      <c r="H23" s="1237"/>
      <c r="I23" s="1237"/>
      <c r="J23" s="1237"/>
      <c r="K23" s="1237"/>
      <c r="L23" s="1237"/>
      <c r="M23" s="1237"/>
      <c r="N23" s="1237"/>
      <c r="O23" s="1237"/>
      <c r="P23" s="1237"/>
      <c r="Q23" s="1237"/>
      <c r="R23" s="1237"/>
      <c r="S23" s="1237"/>
      <c r="T23" s="1237"/>
      <c r="U23" s="1237"/>
      <c r="V23" s="1283"/>
      <c r="W23" s="1283"/>
      <c r="X23" s="1283"/>
      <c r="Y23" s="1284">
        <f>+SUMPRODUCT(D23:X23,D20:X20)</f>
        <v>0</v>
      </c>
      <c r="Z23" s="1236" t="e">
        <f>$C23*#REF!*#REF!</f>
        <v>#REF!</v>
      </c>
    </row>
    <row r="24" spans="1:102">
      <c r="A24" s="1626"/>
      <c r="B24" s="1267" t="s">
        <v>1258</v>
      </c>
      <c r="C24" s="1282">
        <v>0</v>
      </c>
      <c r="D24" s="1236"/>
      <c r="E24" s="1237"/>
      <c r="F24" s="1237"/>
      <c r="G24" s="1237"/>
      <c r="H24" s="1237"/>
      <c r="I24" s="1237"/>
      <c r="J24" s="1237"/>
      <c r="K24" s="1237"/>
      <c r="L24" s="1237"/>
      <c r="M24" s="1237"/>
      <c r="N24" s="1237"/>
      <c r="O24" s="1237"/>
      <c r="P24" s="1237"/>
      <c r="Q24" s="1237"/>
      <c r="R24" s="1237"/>
      <c r="S24" s="1237"/>
      <c r="T24" s="1237"/>
      <c r="U24" s="1237"/>
      <c r="V24" s="1283"/>
      <c r="W24" s="1283"/>
      <c r="X24" s="1283"/>
      <c r="Y24" s="1284">
        <f>+SUMPRODUCT(D24:X24,D20:X20)</f>
        <v>0</v>
      </c>
      <c r="Z24" s="1236" t="e">
        <f>$C24*#REF!*#REF!</f>
        <v>#REF!</v>
      </c>
    </row>
    <row r="25" spans="1:102">
      <c r="A25" s="1626"/>
      <c r="B25" s="1267" t="s">
        <v>1259</v>
      </c>
      <c r="C25" s="1282" t="e">
        <f>+#REF!</f>
        <v>#REF!</v>
      </c>
      <c r="D25" s="1236"/>
      <c r="E25" s="1237"/>
      <c r="F25" s="1237"/>
      <c r="G25" s="1237"/>
      <c r="H25" s="1237"/>
      <c r="I25" s="1237"/>
      <c r="J25" s="1237"/>
      <c r="K25" s="1237"/>
      <c r="L25" s="1237"/>
      <c r="M25" s="1237"/>
      <c r="N25" s="1237"/>
      <c r="O25" s="1237"/>
      <c r="P25" s="1237"/>
      <c r="Q25" s="1237"/>
      <c r="R25" s="1237"/>
      <c r="S25" s="1237"/>
      <c r="T25" s="1237"/>
      <c r="U25" s="1237"/>
      <c r="V25" s="1283"/>
      <c r="W25" s="1283"/>
      <c r="X25" s="1283" t="e">
        <f>+$C25*#REF!*#REF!</f>
        <v>#REF!</v>
      </c>
      <c r="Y25" s="1284" t="e">
        <f>+SUMPRODUCT(D25:X25,D20:X20)</f>
        <v>#REF!</v>
      </c>
      <c r="Z25" s="1236" t="e">
        <f>+$C25*#REF!*#REF!</f>
        <v>#REF!</v>
      </c>
    </row>
    <row r="26" spans="1:102">
      <c r="A26" s="1626"/>
      <c r="B26" s="1267" t="s">
        <v>1260</v>
      </c>
      <c r="C26" s="1282" t="e">
        <f>+#REF!</f>
        <v>#REF!</v>
      </c>
      <c r="D26" s="1236"/>
      <c r="E26" s="1237"/>
      <c r="F26" s="1237"/>
      <c r="G26" s="1237"/>
      <c r="H26" s="1237"/>
      <c r="I26" s="1237"/>
      <c r="J26" s="1237"/>
      <c r="K26" s="1237"/>
      <c r="L26" s="1237"/>
      <c r="M26" s="1237"/>
      <c r="N26" s="1237"/>
      <c r="O26" s="1237"/>
      <c r="P26" s="1237"/>
      <c r="Q26" s="1237"/>
      <c r="R26" s="1237"/>
      <c r="S26" s="1237"/>
      <c r="T26" s="1237"/>
      <c r="U26" s="1237"/>
      <c r="V26" s="1283"/>
      <c r="W26" s="1283"/>
      <c r="X26" s="1283" t="e">
        <f>+$C26*#REF!*#REF!</f>
        <v>#REF!</v>
      </c>
      <c r="Y26" s="1284" t="e">
        <f>+SUMPRODUCT(D26:X26,D20:X20)</f>
        <v>#REF!</v>
      </c>
      <c r="Z26" s="1236" t="e">
        <f>+$C26*#REF!*#REF!</f>
        <v>#REF!</v>
      </c>
    </row>
    <row r="27" spans="1:102">
      <c r="A27" s="1626"/>
      <c r="B27" s="1267" t="s">
        <v>1261</v>
      </c>
      <c r="C27" s="1282" t="e">
        <f>+#REF!</f>
        <v>#REF!</v>
      </c>
      <c r="D27" s="1236"/>
      <c r="E27" s="1237"/>
      <c r="F27" s="1237"/>
      <c r="G27" s="1237"/>
      <c r="H27" s="1237"/>
      <c r="I27" s="1237"/>
      <c r="J27" s="1237"/>
      <c r="K27" s="1237"/>
      <c r="L27" s="1237"/>
      <c r="M27" s="1237"/>
      <c r="N27" s="1237"/>
      <c r="O27" s="1237"/>
      <c r="P27" s="1237"/>
      <c r="Q27" s="1237"/>
      <c r="R27" s="1237"/>
      <c r="S27" s="1237"/>
      <c r="T27" s="1237"/>
      <c r="U27" s="1237"/>
      <c r="V27" s="1283"/>
      <c r="W27" s="1283"/>
      <c r="X27" s="1283" t="e">
        <f>+$C27*#REF!*#REF!</f>
        <v>#REF!</v>
      </c>
      <c r="Y27" s="1284" t="e">
        <f>+SUMPRODUCT(D27:X27,D20:X20)</f>
        <v>#REF!</v>
      </c>
      <c r="Z27" s="1243" t="e">
        <f>+$C27*#REF!*#REF!</f>
        <v>#REF!</v>
      </c>
    </row>
    <row r="28" spans="1:102" s="1186" customFormat="1">
      <c r="A28" s="1627"/>
      <c r="B28" s="1285" t="s">
        <v>1262</v>
      </c>
      <c r="C28" s="1286" t="e">
        <f>+#REF!</f>
        <v>#REF!</v>
      </c>
      <c r="D28" s="1287"/>
      <c r="E28" s="1246"/>
      <c r="F28" s="1246"/>
      <c r="G28" s="1246"/>
      <c r="H28" s="1246"/>
      <c r="I28" s="1246"/>
      <c r="J28" s="1246"/>
      <c r="K28" s="1246"/>
      <c r="L28" s="1246"/>
      <c r="M28" s="1246"/>
      <c r="N28" s="1246"/>
      <c r="O28" s="1246"/>
      <c r="P28" s="1246"/>
      <c r="Q28" s="1246"/>
      <c r="R28" s="1246"/>
      <c r="S28" s="1246"/>
      <c r="T28" s="1246"/>
      <c r="U28" s="1246"/>
      <c r="V28" s="1247"/>
      <c r="W28" s="1247"/>
      <c r="X28" s="1247" t="e">
        <f>+$C28*#REF!</f>
        <v>#REF!</v>
      </c>
      <c r="Y28" s="1245" t="e">
        <f>+SUMPRODUCT(D28:X28,D20:X20)</f>
        <v>#REF!</v>
      </c>
      <c r="Z28" s="1287" t="e">
        <f>+$C28*#REF!</f>
        <v>#REF!</v>
      </c>
    </row>
    <row r="29" spans="1:102">
      <c r="A29" s="1288" t="s">
        <v>1247</v>
      </c>
      <c r="B29" s="1289"/>
      <c r="C29" s="1290" t="s">
        <v>1263</v>
      </c>
      <c r="D29" s="1264"/>
      <c r="E29" s="1265"/>
      <c r="F29" s="1265"/>
      <c r="G29" s="1265"/>
      <c r="H29" s="1265"/>
      <c r="I29" s="1265"/>
      <c r="J29" s="1265"/>
      <c r="K29" s="1265"/>
      <c r="L29" s="1265"/>
      <c r="M29" s="1265"/>
      <c r="N29" s="1265"/>
      <c r="O29" s="1265"/>
      <c r="P29" s="1265"/>
      <c r="Q29" s="1265"/>
      <c r="R29" s="1265"/>
      <c r="S29" s="1265"/>
      <c r="T29" s="1265"/>
      <c r="U29" s="1265"/>
      <c r="V29" s="1266"/>
      <c r="W29" s="1266"/>
      <c r="X29" s="1266"/>
      <c r="Y29" s="1291"/>
      <c r="Z29" s="1260"/>
      <c r="AA29" s="1260"/>
      <c r="AB29" s="1260"/>
      <c r="AC29" s="1260"/>
      <c r="AD29" s="1260"/>
      <c r="AE29" s="1260"/>
      <c r="AF29" s="1260"/>
      <c r="AG29" s="1260"/>
      <c r="AH29" s="1260"/>
      <c r="AI29" s="1260"/>
      <c r="AJ29" s="1260"/>
      <c r="AK29" s="1260"/>
      <c r="AL29" s="1260"/>
      <c r="AM29" s="1260"/>
      <c r="AN29" s="1260"/>
      <c r="AO29" s="1260"/>
      <c r="AP29" s="1260"/>
      <c r="AQ29" s="1260"/>
      <c r="AR29" s="1260"/>
      <c r="AS29" s="1260"/>
      <c r="AT29" s="1260"/>
      <c r="AU29" s="1260"/>
      <c r="AV29" s="1260"/>
      <c r="AW29" s="1260"/>
      <c r="AX29" s="1260"/>
      <c r="AY29" s="1260"/>
      <c r="AZ29" s="1260"/>
      <c r="BA29" s="1260"/>
      <c r="BB29" s="1260"/>
      <c r="BC29" s="1260"/>
      <c r="BD29" s="1260"/>
      <c r="BE29" s="1260"/>
      <c r="BF29" s="1260"/>
      <c r="BG29" s="1260"/>
      <c r="BH29" s="1260"/>
      <c r="BI29" s="1260"/>
      <c r="BJ29" s="1260"/>
      <c r="BK29" s="1260"/>
      <c r="BL29" s="1260"/>
      <c r="BM29" s="1260"/>
      <c r="BN29" s="1260"/>
      <c r="BO29" s="1260"/>
      <c r="BP29" s="1260"/>
      <c r="BQ29" s="1260"/>
      <c r="BR29" s="1260"/>
      <c r="BS29" s="1260"/>
      <c r="BT29" s="1260"/>
      <c r="BU29" s="1260"/>
      <c r="BV29" s="1260"/>
      <c r="BW29" s="1260"/>
      <c r="BX29" s="1260"/>
      <c r="BY29" s="1260"/>
      <c r="BZ29" s="1260"/>
      <c r="CA29" s="1260"/>
      <c r="CB29" s="1260"/>
      <c r="CC29" s="1260"/>
      <c r="CD29" s="1260"/>
      <c r="CE29" s="1260"/>
      <c r="CF29" s="1260"/>
      <c r="CG29" s="1260"/>
      <c r="CH29" s="1260"/>
      <c r="CI29" s="1260"/>
      <c r="CJ29" s="1260"/>
      <c r="CK29" s="1260"/>
      <c r="CL29" s="1260"/>
      <c r="CM29" s="1260"/>
      <c r="CN29" s="1260"/>
      <c r="CO29" s="1260"/>
      <c r="CP29" s="1260"/>
      <c r="CQ29" s="1260"/>
      <c r="CR29" s="1260"/>
      <c r="CS29" s="1260"/>
      <c r="CT29" s="1260"/>
      <c r="CU29" s="1260"/>
      <c r="CV29" s="1260"/>
      <c r="CW29" s="1260"/>
      <c r="CX29" s="1260"/>
    </row>
    <row r="30" spans="1:102">
      <c r="A30" s="1261" t="s">
        <v>1227</v>
      </c>
      <c r="B30" s="1262"/>
      <c r="C30" s="1263">
        <v>4510</v>
      </c>
      <c r="D30" s="1264"/>
      <c r="E30" s="1265"/>
      <c r="F30" s="1265"/>
      <c r="G30" s="1265"/>
      <c r="H30" s="1265"/>
      <c r="I30" s="1265"/>
      <c r="J30" s="1265"/>
      <c r="K30" s="1265"/>
      <c r="L30" s="1265"/>
      <c r="M30" s="1265"/>
      <c r="N30" s="1265"/>
      <c r="O30" s="1265"/>
      <c r="P30" s="1265"/>
      <c r="Q30" s="1265"/>
      <c r="R30" s="1265"/>
      <c r="S30" s="1265"/>
      <c r="T30" s="1265"/>
      <c r="U30" s="1265"/>
      <c r="V30" s="1266"/>
      <c r="W30" s="1266"/>
      <c r="X30" s="1266"/>
      <c r="Y30" s="1259"/>
      <c r="Z30" s="1260"/>
      <c r="AA30" s="1260"/>
      <c r="AB30" s="1260"/>
      <c r="AC30" s="1260"/>
      <c r="AD30" s="1260"/>
      <c r="AE30" s="1260"/>
      <c r="AF30" s="1260"/>
      <c r="AG30" s="1260"/>
      <c r="AH30" s="1260"/>
      <c r="AI30" s="1260"/>
      <c r="AJ30" s="1260"/>
      <c r="AK30" s="1260"/>
      <c r="AL30" s="1260"/>
      <c r="AM30" s="1260"/>
      <c r="AN30" s="1260"/>
      <c r="AO30" s="1260"/>
      <c r="AP30" s="1260"/>
      <c r="AQ30" s="1260"/>
      <c r="AR30" s="1260"/>
      <c r="AS30" s="1260"/>
      <c r="AT30" s="1260"/>
      <c r="AU30" s="1260"/>
      <c r="AV30" s="1260"/>
      <c r="AW30" s="1260"/>
      <c r="AX30" s="1260"/>
      <c r="AY30" s="1260"/>
      <c r="AZ30" s="1260"/>
      <c r="BA30" s="1260"/>
      <c r="BB30" s="1260"/>
      <c r="BC30" s="1260"/>
      <c r="BD30" s="1260"/>
      <c r="BE30" s="1260"/>
      <c r="BF30" s="1260"/>
      <c r="BG30" s="1260"/>
      <c r="BH30" s="1260"/>
      <c r="BI30" s="1260"/>
      <c r="BJ30" s="1260"/>
      <c r="BK30" s="1260"/>
      <c r="BL30" s="1260"/>
      <c r="BM30" s="1260"/>
      <c r="BN30" s="1260"/>
      <c r="BO30" s="1260"/>
      <c r="BP30" s="1260"/>
      <c r="BQ30" s="1260"/>
      <c r="BR30" s="1260"/>
      <c r="BS30" s="1260"/>
      <c r="BT30" s="1260"/>
      <c r="BU30" s="1260"/>
      <c r="BV30" s="1260"/>
      <c r="BW30" s="1260"/>
      <c r="BX30" s="1260"/>
      <c r="BY30" s="1260"/>
      <c r="BZ30" s="1260"/>
      <c r="CA30" s="1260"/>
      <c r="CB30" s="1260"/>
      <c r="CC30" s="1260"/>
      <c r="CD30" s="1260"/>
      <c r="CE30" s="1260"/>
      <c r="CF30" s="1260"/>
      <c r="CG30" s="1260"/>
      <c r="CH30" s="1260"/>
      <c r="CI30" s="1260"/>
      <c r="CJ30" s="1260"/>
      <c r="CK30" s="1260"/>
      <c r="CL30" s="1260"/>
      <c r="CM30" s="1260"/>
      <c r="CN30" s="1260"/>
      <c r="CO30" s="1260"/>
      <c r="CP30" s="1260"/>
      <c r="CQ30" s="1260"/>
      <c r="CR30" s="1260"/>
      <c r="CS30" s="1260"/>
      <c r="CT30" s="1260"/>
      <c r="CU30" s="1260"/>
      <c r="CV30" s="1260"/>
      <c r="CW30" s="1260"/>
      <c r="CX30" s="1260"/>
    </row>
    <row r="31" spans="1:102">
      <c r="A31" s="1622" t="s">
        <v>1249</v>
      </c>
      <c r="B31" s="1267" t="s">
        <v>1250</v>
      </c>
      <c r="C31" s="1268">
        <v>114328</v>
      </c>
      <c r="D31" s="1269"/>
      <c r="E31" s="1270"/>
      <c r="F31" s="1270"/>
      <c r="G31" s="1270"/>
      <c r="H31" s="1270"/>
      <c r="I31" s="1270"/>
      <c r="J31" s="1270"/>
      <c r="K31" s="1270"/>
      <c r="L31" s="1270"/>
      <c r="M31" s="1270"/>
      <c r="N31" s="1270"/>
      <c r="O31" s="1270"/>
      <c r="P31" s="1270"/>
      <c r="Q31" s="1270"/>
      <c r="R31" s="1270"/>
      <c r="S31" s="1270"/>
      <c r="T31" s="1270"/>
      <c r="U31" s="1270"/>
      <c r="V31" s="1271"/>
      <c r="W31" s="1271"/>
      <c r="X31" s="1271"/>
      <c r="Y31" s="1259"/>
      <c r="Z31" s="1260"/>
      <c r="AA31" s="1260"/>
      <c r="AB31" s="1260"/>
      <c r="AC31" s="1260"/>
      <c r="AD31" s="1260"/>
      <c r="AE31" s="1260"/>
      <c r="AF31" s="1260"/>
      <c r="AG31" s="1260"/>
      <c r="AH31" s="1260"/>
      <c r="AI31" s="1260"/>
      <c r="AJ31" s="1260"/>
      <c r="AK31" s="1260"/>
      <c r="AL31" s="1260"/>
      <c r="AM31" s="1260"/>
      <c r="AN31" s="1260"/>
      <c r="AO31" s="1260"/>
      <c r="AP31" s="1260"/>
      <c r="AQ31" s="1260"/>
      <c r="AR31" s="1260"/>
      <c r="AS31" s="1260"/>
      <c r="AT31" s="1260"/>
      <c r="AU31" s="1260"/>
      <c r="AV31" s="1260"/>
      <c r="AW31" s="1260"/>
      <c r="AX31" s="1260"/>
      <c r="AY31" s="1260"/>
      <c r="AZ31" s="1260"/>
      <c r="BA31" s="1260"/>
      <c r="BB31" s="1260"/>
      <c r="BC31" s="1260"/>
      <c r="BD31" s="1260"/>
      <c r="BE31" s="1260"/>
      <c r="BF31" s="1260"/>
      <c r="BG31" s="1260"/>
      <c r="BH31" s="1260"/>
      <c r="BI31" s="1260"/>
      <c r="BJ31" s="1260"/>
      <c r="BK31" s="1260"/>
      <c r="BL31" s="1260"/>
      <c r="BM31" s="1260"/>
      <c r="BN31" s="1260"/>
      <c r="BO31" s="1260"/>
      <c r="BP31" s="1260"/>
      <c r="BQ31" s="1260"/>
      <c r="BR31" s="1260"/>
      <c r="BS31" s="1260"/>
      <c r="BT31" s="1260"/>
      <c r="BU31" s="1260"/>
      <c r="BV31" s="1260"/>
      <c r="BW31" s="1260"/>
      <c r="BX31" s="1260"/>
      <c r="BY31" s="1260"/>
      <c r="BZ31" s="1260"/>
      <c r="CA31" s="1260"/>
      <c r="CB31" s="1260"/>
      <c r="CC31" s="1260"/>
      <c r="CD31" s="1260"/>
      <c r="CE31" s="1260"/>
      <c r="CF31" s="1260"/>
      <c r="CG31" s="1260"/>
      <c r="CH31" s="1260"/>
      <c r="CI31" s="1260"/>
      <c r="CJ31" s="1260"/>
      <c r="CK31" s="1260"/>
      <c r="CL31" s="1260"/>
      <c r="CM31" s="1260"/>
      <c r="CN31" s="1260"/>
      <c r="CO31" s="1260"/>
      <c r="CP31" s="1260"/>
      <c r="CQ31" s="1260"/>
      <c r="CR31" s="1260"/>
      <c r="CS31" s="1260"/>
      <c r="CT31" s="1260"/>
      <c r="CU31" s="1260"/>
      <c r="CV31" s="1260"/>
      <c r="CW31" s="1260"/>
      <c r="CX31" s="1260"/>
    </row>
    <row r="32" spans="1:102">
      <c r="A32" s="1622"/>
      <c r="B32" s="1267" t="s">
        <v>1251</v>
      </c>
      <c r="C32" s="1268">
        <v>124328</v>
      </c>
      <c r="D32" s="1269"/>
      <c r="E32" s="1270"/>
      <c r="F32" s="1270"/>
      <c r="G32" s="1270"/>
      <c r="H32" s="1270"/>
      <c r="I32" s="1270"/>
      <c r="J32" s="1270"/>
      <c r="K32" s="1270"/>
      <c r="L32" s="1270"/>
      <c r="M32" s="1270"/>
      <c r="N32" s="1270"/>
      <c r="O32" s="1270"/>
      <c r="P32" s="1270"/>
      <c r="Q32" s="1270"/>
      <c r="R32" s="1270"/>
      <c r="S32" s="1270"/>
      <c r="T32" s="1270"/>
      <c r="U32" s="1270"/>
      <c r="V32" s="1271"/>
      <c r="W32" s="1271"/>
      <c r="X32" s="1271"/>
      <c r="Y32" s="1270"/>
    </row>
    <row r="33" spans="1:102">
      <c r="A33" s="1272" t="s">
        <v>1252</v>
      </c>
      <c r="B33" s="1273"/>
      <c r="C33" s="1268">
        <f>+(C32-C31)/2+C31</f>
        <v>119328</v>
      </c>
      <c r="D33" s="1269"/>
      <c r="E33" s="1270"/>
      <c r="F33" s="1270"/>
      <c r="G33" s="1270"/>
      <c r="H33" s="1270"/>
      <c r="I33" s="1270"/>
      <c r="J33" s="1270"/>
      <c r="K33" s="1270"/>
      <c r="L33" s="1270"/>
      <c r="M33" s="1270"/>
      <c r="N33" s="1270"/>
      <c r="O33" s="1270"/>
      <c r="P33" s="1270"/>
      <c r="Q33" s="1270"/>
      <c r="R33" s="1270"/>
      <c r="S33" s="1270"/>
      <c r="T33" s="1270"/>
      <c r="U33" s="1270"/>
      <c r="V33" s="1271"/>
      <c r="W33" s="1271"/>
      <c r="X33" s="1271"/>
      <c r="Y33" s="1270"/>
    </row>
    <row r="34" spans="1:102">
      <c r="A34" s="1272" t="s">
        <v>1253</v>
      </c>
      <c r="B34" s="1273"/>
      <c r="C34" s="1274"/>
      <c r="D34" s="1275">
        <f>IF(D36&gt;D35,(D36-D35)+D$2*1000+D$3*1000,(D35-D36)+D$2*1000+D$4*1000)/1000</f>
        <v>35.628</v>
      </c>
      <c r="E34" s="1276">
        <f t="shared" ref="E34:X34" si="4">IF(E36&gt;E35,(E36-E35)+E$2*1000+E$3*1000,(E35-E36)+E$2*1000+E$4*1000)/1000</f>
        <v>31.248000000000001</v>
      </c>
      <c r="F34" s="1276">
        <f t="shared" si="4"/>
        <v>29.417999999999999</v>
      </c>
      <c r="G34" s="1276">
        <f t="shared" si="4"/>
        <v>22.928000000000001</v>
      </c>
      <c r="H34" s="1276">
        <f t="shared" si="4"/>
        <v>23.928000000000001</v>
      </c>
      <c r="I34" s="1276">
        <f t="shared" si="4"/>
        <v>13.554000000000013</v>
      </c>
      <c r="J34" s="1276">
        <f t="shared" si="4"/>
        <v>2.8279999999999998</v>
      </c>
      <c r="K34" s="1276">
        <f t="shared" si="4"/>
        <v>10.417999999999999</v>
      </c>
      <c r="L34" s="1276">
        <f t="shared" si="4"/>
        <v>16.649999999999999</v>
      </c>
      <c r="M34" s="1276">
        <f t="shared" si="4"/>
        <v>36.409999999999997</v>
      </c>
      <c r="N34" s="1276">
        <f t="shared" si="4"/>
        <v>56.036000000000001</v>
      </c>
      <c r="O34" s="1276">
        <f t="shared" si="4"/>
        <v>47.5</v>
      </c>
      <c r="P34" s="1276">
        <f t="shared" si="4"/>
        <v>51.3</v>
      </c>
      <c r="Q34" s="1276">
        <f t="shared" si="4"/>
        <v>57.990000000000016</v>
      </c>
      <c r="R34" s="1276">
        <f t="shared" si="4"/>
        <v>58</v>
      </c>
      <c r="S34" s="1276">
        <f t="shared" si="4"/>
        <v>64</v>
      </c>
      <c r="T34" s="1276">
        <f t="shared" si="4"/>
        <v>65</v>
      </c>
      <c r="U34" s="1276">
        <f t="shared" si="4"/>
        <v>70</v>
      </c>
      <c r="V34" s="1277">
        <f t="shared" si="4"/>
        <v>16.649999999999999</v>
      </c>
      <c r="W34" s="1277">
        <f t="shared" si="4"/>
        <v>58</v>
      </c>
      <c r="X34" s="1277">
        <f t="shared" si="4"/>
        <v>20.928000000000001</v>
      </c>
      <c r="Y34" s="1270"/>
    </row>
    <row r="35" spans="1:102" hidden="1">
      <c r="A35" s="1278" t="s">
        <v>1254</v>
      </c>
      <c r="B35" s="1279"/>
      <c r="C35" s="1280"/>
      <c r="D35" s="1200">
        <f>+IF($C30=4510,IF(D$6=4510,$C33,$C33),IF(D$6=4511,$C33+134328,134328+$C33))</f>
        <v>119328</v>
      </c>
      <c r="E35" s="1200">
        <f t="shared" ref="E35:X35" si="5">+IF($C30=4510,IF(E$6=4510,$C33,$C33),IF(E$6=4511,$C33+134328,134328+$C33))</f>
        <v>119328</v>
      </c>
      <c r="F35" s="1200">
        <f t="shared" si="5"/>
        <v>119328</v>
      </c>
      <c r="G35" s="1200">
        <f t="shared" si="5"/>
        <v>119328</v>
      </c>
      <c r="H35" s="1200">
        <f t="shared" si="5"/>
        <v>119328</v>
      </c>
      <c r="I35" s="1200">
        <f t="shared" si="5"/>
        <v>119328</v>
      </c>
      <c r="J35" s="1200">
        <f t="shared" si="5"/>
        <v>119328</v>
      </c>
      <c r="K35" s="1200">
        <f t="shared" si="5"/>
        <v>119328</v>
      </c>
      <c r="L35" s="1200">
        <f t="shared" si="5"/>
        <v>119328</v>
      </c>
      <c r="M35" s="1200">
        <f t="shared" si="5"/>
        <v>119328</v>
      </c>
      <c r="N35" s="1200">
        <f t="shared" si="5"/>
        <v>119328</v>
      </c>
      <c r="O35" s="1200">
        <f t="shared" si="5"/>
        <v>119328</v>
      </c>
      <c r="P35" s="1200">
        <f t="shared" si="5"/>
        <v>119328</v>
      </c>
      <c r="Q35" s="1200">
        <f t="shared" si="5"/>
        <v>119328</v>
      </c>
      <c r="R35" s="1200">
        <f t="shared" si="5"/>
        <v>119328</v>
      </c>
      <c r="S35" s="1200">
        <f t="shared" si="5"/>
        <v>119328</v>
      </c>
      <c r="T35" s="1200">
        <f t="shared" si="5"/>
        <v>119328</v>
      </c>
      <c r="U35" s="1200">
        <f t="shared" si="5"/>
        <v>119328</v>
      </c>
      <c r="V35" s="1281">
        <f t="shared" si="5"/>
        <v>119328</v>
      </c>
      <c r="W35" s="1281">
        <f t="shared" si="5"/>
        <v>119328</v>
      </c>
      <c r="X35" s="1281">
        <f t="shared" si="5"/>
        <v>119328</v>
      </c>
      <c r="Y35" s="1270"/>
    </row>
    <row r="36" spans="1:102" hidden="1">
      <c r="A36" s="1278" t="s">
        <v>1255</v>
      </c>
      <c r="B36" s="1279"/>
      <c r="C36" s="1280"/>
      <c r="D36" s="1200">
        <f>+IF($C30=4510,IF(D$6=4510,D$5,D$5+134328),IF(D$6=4511,D$5+134328,D$5))</f>
        <v>83700</v>
      </c>
      <c r="E36" s="1200">
        <f t="shared" ref="E36:X36" si="6">+IF($C30=4510,IF(E$6=4510,E$5,E$5+134328),IF(E$6=4511,E$5+134328,E$5))</f>
        <v>88080</v>
      </c>
      <c r="F36" s="1200">
        <f t="shared" si="6"/>
        <v>89910</v>
      </c>
      <c r="G36" s="1200">
        <f t="shared" si="6"/>
        <v>98400</v>
      </c>
      <c r="H36" s="1200">
        <f t="shared" si="6"/>
        <v>98400</v>
      </c>
      <c r="I36" s="1200">
        <f t="shared" si="6"/>
        <v>113610</v>
      </c>
      <c r="J36" s="1200">
        <f t="shared" si="6"/>
        <v>116500</v>
      </c>
      <c r="K36" s="1200">
        <f t="shared" si="6"/>
        <v>108910</v>
      </c>
      <c r="L36" s="1200">
        <f t="shared" si="6"/>
        <v>135978</v>
      </c>
      <c r="M36" s="1200">
        <f t="shared" si="6"/>
        <v>154828</v>
      </c>
      <c r="N36" s="1200">
        <f t="shared" si="6"/>
        <v>156528</v>
      </c>
      <c r="O36" s="1200">
        <f t="shared" si="6"/>
        <v>166828</v>
      </c>
      <c r="P36" s="1200">
        <f t="shared" si="6"/>
        <v>170628</v>
      </c>
      <c r="Q36" s="1200">
        <f t="shared" si="6"/>
        <v>173628</v>
      </c>
      <c r="R36" s="1200">
        <f t="shared" si="6"/>
        <v>177328</v>
      </c>
      <c r="S36" s="1200">
        <f t="shared" si="6"/>
        <v>183328</v>
      </c>
      <c r="T36" s="1200">
        <f t="shared" si="6"/>
        <v>184328</v>
      </c>
      <c r="U36" s="1200">
        <f t="shared" si="6"/>
        <v>189328</v>
      </c>
      <c r="V36" s="1281">
        <f t="shared" si="6"/>
        <v>135978</v>
      </c>
      <c r="W36" s="1281">
        <f t="shared" si="6"/>
        <v>177328</v>
      </c>
      <c r="X36" s="1281">
        <f t="shared" si="6"/>
        <v>98400</v>
      </c>
      <c r="Y36" s="1270"/>
    </row>
    <row r="37" spans="1:102" ht="15" customHeight="1">
      <c r="A37" s="1623" t="s">
        <v>1264</v>
      </c>
      <c r="B37" s="1267" t="s">
        <v>1257</v>
      </c>
      <c r="C37" s="1282" t="e">
        <f>+#REF!</f>
        <v>#REF!</v>
      </c>
      <c r="D37" s="1236"/>
      <c r="E37" s="1237"/>
      <c r="F37" s="1237"/>
      <c r="G37" s="1237"/>
      <c r="H37" s="1237"/>
      <c r="I37" s="1237" t="e">
        <f>$C37*#REF!*#REF!</f>
        <v>#REF!</v>
      </c>
      <c r="J37" s="1237"/>
      <c r="K37" s="1237"/>
      <c r="L37" s="1237"/>
      <c r="M37" s="1237"/>
      <c r="N37" s="1237"/>
      <c r="O37" s="1237"/>
      <c r="P37" s="1237"/>
      <c r="Q37" s="1237"/>
      <c r="R37" s="1237"/>
      <c r="S37" s="1237"/>
      <c r="T37" s="1237"/>
      <c r="U37" s="1237"/>
      <c r="V37" s="1283"/>
      <c r="W37" s="1283"/>
      <c r="X37" s="1283"/>
      <c r="Y37" s="1284" t="e">
        <f>+SUMPRODUCT(D37:X37,D34:X34)</f>
        <v>#REF!</v>
      </c>
      <c r="Z37" s="1236" t="e">
        <f>$C37*#REF!*#REF!</f>
        <v>#REF!</v>
      </c>
    </row>
    <row r="38" spans="1:102">
      <c r="A38" s="1623"/>
      <c r="B38" s="1267" t="s">
        <v>1258</v>
      </c>
      <c r="C38" s="1282" t="e">
        <f>+#REF!</f>
        <v>#REF!</v>
      </c>
      <c r="D38" s="1236"/>
      <c r="E38" s="1237"/>
      <c r="F38" s="1237"/>
      <c r="G38" s="1237"/>
      <c r="H38" s="1237"/>
      <c r="I38" s="1237" t="e">
        <f>$C38*#REF!*#REF!</f>
        <v>#REF!</v>
      </c>
      <c r="J38" s="1237"/>
      <c r="K38" s="1237"/>
      <c r="L38" s="1237"/>
      <c r="M38" s="1237"/>
      <c r="N38" s="1237"/>
      <c r="O38" s="1237"/>
      <c r="P38" s="1237"/>
      <c r="Q38" s="1237"/>
      <c r="R38" s="1237"/>
      <c r="S38" s="1237"/>
      <c r="T38" s="1237"/>
      <c r="U38" s="1237"/>
      <c r="V38" s="1283"/>
      <c r="W38" s="1283"/>
      <c r="X38" s="1283"/>
      <c r="Y38" s="1284" t="e">
        <f>+SUMPRODUCT(D38:X38,D34:X34)</f>
        <v>#REF!</v>
      </c>
      <c r="Z38" s="1236" t="e">
        <f>$C38*#REF!*#REF!</f>
        <v>#REF!</v>
      </c>
    </row>
    <row r="39" spans="1:102">
      <c r="A39" s="1623"/>
      <c r="B39" s="1267" t="s">
        <v>1259</v>
      </c>
      <c r="C39" s="1282" t="e">
        <f>+#REF!</f>
        <v>#REF!</v>
      </c>
      <c r="D39" s="1236"/>
      <c r="E39" s="1237"/>
      <c r="F39" s="1237"/>
      <c r="G39" s="1237"/>
      <c r="H39" s="1237"/>
      <c r="I39" s="1237"/>
      <c r="J39" s="1237"/>
      <c r="K39" s="1237"/>
      <c r="L39" s="1237"/>
      <c r="M39" s="1237"/>
      <c r="N39" s="1237"/>
      <c r="O39" s="1237"/>
      <c r="P39" s="1237"/>
      <c r="Q39" s="1237"/>
      <c r="R39" s="1237"/>
      <c r="S39" s="1237"/>
      <c r="T39" s="1237"/>
      <c r="U39" s="1237"/>
      <c r="V39" s="1283"/>
      <c r="W39" s="1283"/>
      <c r="X39" s="1283" t="e">
        <f>+$C39*#REF!*#REF!</f>
        <v>#REF!</v>
      </c>
      <c r="Y39" s="1284" t="e">
        <f>+SUMPRODUCT(D39:X39,D34:X34)</f>
        <v>#REF!</v>
      </c>
      <c r="Z39" s="1236" t="e">
        <f>+$C39*#REF!*#REF!</f>
        <v>#REF!</v>
      </c>
    </row>
    <row r="40" spans="1:102">
      <c r="A40" s="1623"/>
      <c r="B40" s="1267" t="s">
        <v>1260</v>
      </c>
      <c r="C40" s="1282" t="e">
        <f>+#REF!</f>
        <v>#REF!</v>
      </c>
      <c r="D40" s="1236"/>
      <c r="E40" s="1237"/>
      <c r="F40" s="1237"/>
      <c r="G40" s="1237"/>
      <c r="H40" s="1237"/>
      <c r="I40" s="1237"/>
      <c r="J40" s="1237"/>
      <c r="K40" s="1237"/>
      <c r="L40" s="1237"/>
      <c r="M40" s="1237"/>
      <c r="N40" s="1237"/>
      <c r="O40" s="1237"/>
      <c r="P40" s="1237"/>
      <c r="Q40" s="1237"/>
      <c r="R40" s="1237"/>
      <c r="S40" s="1237"/>
      <c r="T40" s="1237"/>
      <c r="U40" s="1237"/>
      <c r="V40" s="1283"/>
      <c r="W40" s="1283"/>
      <c r="X40" s="1283" t="e">
        <f>+$C40*#REF!*#REF!</f>
        <v>#REF!</v>
      </c>
      <c r="Y40" s="1284" t="e">
        <f>+SUMPRODUCT(D40:X40,D34:X34)</f>
        <v>#REF!</v>
      </c>
      <c r="Z40" s="1236" t="e">
        <f>+$C40*#REF!*#REF!</f>
        <v>#REF!</v>
      </c>
    </row>
    <row r="41" spans="1:102">
      <c r="A41" s="1623"/>
      <c r="B41" s="1267" t="s">
        <v>1261</v>
      </c>
      <c r="C41" s="1282" t="e">
        <f>+#REF!</f>
        <v>#REF!</v>
      </c>
      <c r="D41" s="1236"/>
      <c r="E41" s="1237"/>
      <c r="F41" s="1237"/>
      <c r="G41" s="1237"/>
      <c r="H41" s="1237"/>
      <c r="I41" s="1237"/>
      <c r="J41" s="1237"/>
      <c r="K41" s="1237"/>
      <c r="L41" s="1237"/>
      <c r="M41" s="1237"/>
      <c r="N41" s="1237"/>
      <c r="O41" s="1237"/>
      <c r="P41" s="1237"/>
      <c r="Q41" s="1237"/>
      <c r="R41" s="1237"/>
      <c r="S41" s="1237"/>
      <c r="T41" s="1237"/>
      <c r="U41" s="1237"/>
      <c r="V41" s="1283"/>
      <c r="W41" s="1283"/>
      <c r="X41" s="1283" t="e">
        <f>+$C41*#REF!*#REF!</f>
        <v>#REF!</v>
      </c>
      <c r="Y41" s="1284" t="e">
        <f>+SUMPRODUCT(D41:X41,D34:X34)</f>
        <v>#REF!</v>
      </c>
      <c r="Z41" s="1243" t="e">
        <f>+$C41*#REF!*#REF!</f>
        <v>#REF!</v>
      </c>
    </row>
    <row r="42" spans="1:102" s="1186" customFormat="1">
      <c r="A42" s="1624"/>
      <c r="B42" s="1285" t="s">
        <v>1262</v>
      </c>
      <c r="C42" s="1286" t="e">
        <f>+#REF!*0.05</f>
        <v>#REF!</v>
      </c>
      <c r="D42" s="1287"/>
      <c r="E42" s="1246"/>
      <c r="F42" s="1246"/>
      <c r="G42" s="1246"/>
      <c r="H42" s="1246"/>
      <c r="I42" s="1246"/>
      <c r="J42" s="1246"/>
      <c r="K42" s="1246"/>
      <c r="L42" s="1246"/>
      <c r="M42" s="1246"/>
      <c r="N42" s="1246"/>
      <c r="O42" s="1246"/>
      <c r="P42" s="1246"/>
      <c r="Q42" s="1246"/>
      <c r="R42" s="1246"/>
      <c r="S42" s="1246"/>
      <c r="T42" s="1246"/>
      <c r="U42" s="1246"/>
      <c r="V42" s="1247"/>
      <c r="W42" s="1247"/>
      <c r="X42" s="1247" t="e">
        <f>+$C42*#REF!</f>
        <v>#REF!</v>
      </c>
      <c r="Y42" s="1245" t="e">
        <f>+SUMPRODUCT(D42:X42,D34:X34)</f>
        <v>#REF!</v>
      </c>
      <c r="Z42" s="1287" t="e">
        <f>+$C42*#REF!</f>
        <v>#REF!</v>
      </c>
    </row>
    <row r="43" spans="1:102">
      <c r="A43" s="1253" t="s">
        <v>1247</v>
      </c>
      <c r="B43" s="1254"/>
      <c r="C43" s="1255" t="s">
        <v>1265</v>
      </c>
      <c r="D43" s="1256"/>
      <c r="E43" s="1257"/>
      <c r="F43" s="1257"/>
      <c r="G43" s="1257"/>
      <c r="H43" s="1257"/>
      <c r="I43" s="1257"/>
      <c r="J43" s="1257"/>
      <c r="K43" s="1257"/>
      <c r="L43" s="1257"/>
      <c r="M43" s="1257"/>
      <c r="N43" s="1257"/>
      <c r="O43" s="1257"/>
      <c r="P43" s="1257"/>
      <c r="Q43" s="1257"/>
      <c r="R43" s="1257"/>
      <c r="S43" s="1257"/>
      <c r="T43" s="1257"/>
      <c r="U43" s="1257"/>
      <c r="V43" s="1258"/>
      <c r="W43" s="1258"/>
      <c r="X43" s="1258"/>
      <c r="Y43" s="1259"/>
      <c r="Z43" s="1260"/>
      <c r="AA43" s="1260"/>
      <c r="AB43" s="1260"/>
      <c r="AC43" s="1260"/>
      <c r="AD43" s="1260"/>
      <c r="AE43" s="1260"/>
      <c r="AF43" s="1260"/>
      <c r="AG43" s="1260"/>
      <c r="AH43" s="1260"/>
      <c r="AI43" s="1260"/>
      <c r="AJ43" s="1260"/>
      <c r="AK43" s="1260"/>
      <c r="AL43" s="1260"/>
      <c r="AM43" s="1260"/>
      <c r="AN43" s="1260"/>
      <c r="AO43" s="1260"/>
      <c r="AP43" s="1260"/>
      <c r="AQ43" s="1260"/>
      <c r="AR43" s="1260"/>
      <c r="AS43" s="1260"/>
      <c r="AT43" s="1260"/>
      <c r="AU43" s="1260"/>
      <c r="AV43" s="1260"/>
      <c r="AW43" s="1260"/>
      <c r="AX43" s="1260"/>
      <c r="AY43" s="1260"/>
      <c r="AZ43" s="1260"/>
      <c r="BA43" s="1260"/>
      <c r="BB43" s="1260"/>
      <c r="BC43" s="1260"/>
      <c r="BD43" s="1260"/>
      <c r="BE43" s="1260"/>
      <c r="BF43" s="1260"/>
      <c r="BG43" s="1260"/>
      <c r="BH43" s="1260"/>
      <c r="BI43" s="1260"/>
      <c r="BJ43" s="1260"/>
      <c r="BK43" s="1260"/>
      <c r="BL43" s="1260"/>
      <c r="BM43" s="1260"/>
      <c r="BN43" s="1260"/>
      <c r="BO43" s="1260"/>
      <c r="BP43" s="1260"/>
      <c r="BQ43" s="1260"/>
      <c r="BR43" s="1260"/>
      <c r="BS43" s="1260"/>
      <c r="BT43" s="1260"/>
      <c r="BU43" s="1260"/>
      <c r="BV43" s="1260"/>
      <c r="BW43" s="1260"/>
      <c r="BX43" s="1260"/>
      <c r="BY43" s="1260"/>
      <c r="BZ43" s="1260"/>
      <c r="CA43" s="1260"/>
      <c r="CB43" s="1260"/>
      <c r="CC43" s="1260"/>
      <c r="CD43" s="1260"/>
      <c r="CE43" s="1260"/>
      <c r="CF43" s="1260"/>
      <c r="CG43" s="1260"/>
      <c r="CH43" s="1260"/>
      <c r="CI43" s="1260"/>
      <c r="CJ43" s="1260"/>
      <c r="CK43" s="1260"/>
      <c r="CL43" s="1260"/>
      <c r="CM43" s="1260"/>
      <c r="CN43" s="1260"/>
      <c r="CO43" s="1260"/>
      <c r="CP43" s="1260"/>
      <c r="CQ43" s="1260"/>
      <c r="CR43" s="1260"/>
      <c r="CS43" s="1260"/>
      <c r="CT43" s="1260"/>
      <c r="CU43" s="1260"/>
      <c r="CV43" s="1260"/>
      <c r="CW43" s="1260"/>
      <c r="CX43" s="1260"/>
    </row>
    <row r="44" spans="1:102">
      <c r="A44" s="1261" t="s">
        <v>1227</v>
      </c>
      <c r="B44" s="1262"/>
      <c r="C44" s="1263">
        <v>4510</v>
      </c>
      <c r="D44" s="1264"/>
      <c r="E44" s="1265"/>
      <c r="F44" s="1265"/>
      <c r="G44" s="1265"/>
      <c r="H44" s="1265"/>
      <c r="I44" s="1265"/>
      <c r="J44" s="1265"/>
      <c r="K44" s="1265"/>
      <c r="L44" s="1265"/>
      <c r="M44" s="1265"/>
      <c r="N44" s="1265"/>
      <c r="O44" s="1265"/>
      <c r="P44" s="1265"/>
      <c r="Q44" s="1265"/>
      <c r="R44" s="1265"/>
      <c r="S44" s="1265"/>
      <c r="T44" s="1265"/>
      <c r="U44" s="1265"/>
      <c r="V44" s="1266"/>
      <c r="W44" s="1266"/>
      <c r="X44" s="1266"/>
      <c r="Y44" s="1259"/>
      <c r="Z44" s="1260"/>
      <c r="AA44" s="1260"/>
      <c r="AB44" s="1260"/>
      <c r="AC44" s="1260"/>
      <c r="AD44" s="1260"/>
      <c r="AE44" s="1260"/>
      <c r="AF44" s="1260"/>
      <c r="AG44" s="1260"/>
      <c r="AH44" s="1260"/>
      <c r="AI44" s="1260"/>
      <c r="AJ44" s="1260"/>
      <c r="AK44" s="1260"/>
      <c r="AL44" s="1260"/>
      <c r="AM44" s="1260"/>
      <c r="AN44" s="1260"/>
      <c r="AO44" s="1260"/>
      <c r="AP44" s="1260"/>
      <c r="AQ44" s="1260"/>
      <c r="AR44" s="1260"/>
      <c r="AS44" s="1260"/>
      <c r="AT44" s="1260"/>
      <c r="AU44" s="1260"/>
      <c r="AV44" s="1260"/>
      <c r="AW44" s="1260"/>
      <c r="AX44" s="1260"/>
      <c r="AY44" s="1260"/>
      <c r="AZ44" s="1260"/>
      <c r="BA44" s="1260"/>
      <c r="BB44" s="1260"/>
      <c r="BC44" s="1260"/>
      <c r="BD44" s="1260"/>
      <c r="BE44" s="1260"/>
      <c r="BF44" s="1260"/>
      <c r="BG44" s="1260"/>
      <c r="BH44" s="1260"/>
      <c r="BI44" s="1260"/>
      <c r="BJ44" s="1260"/>
      <c r="BK44" s="1260"/>
      <c r="BL44" s="1260"/>
      <c r="BM44" s="1260"/>
      <c r="BN44" s="1260"/>
      <c r="BO44" s="1260"/>
      <c r="BP44" s="1260"/>
      <c r="BQ44" s="1260"/>
      <c r="BR44" s="1260"/>
      <c r="BS44" s="1260"/>
      <c r="BT44" s="1260"/>
      <c r="BU44" s="1260"/>
      <c r="BV44" s="1260"/>
      <c r="BW44" s="1260"/>
      <c r="BX44" s="1260"/>
      <c r="BY44" s="1260"/>
      <c r="BZ44" s="1260"/>
      <c r="CA44" s="1260"/>
      <c r="CB44" s="1260"/>
      <c r="CC44" s="1260"/>
      <c r="CD44" s="1260"/>
      <c r="CE44" s="1260"/>
      <c r="CF44" s="1260"/>
      <c r="CG44" s="1260"/>
      <c r="CH44" s="1260"/>
      <c r="CI44" s="1260"/>
      <c r="CJ44" s="1260"/>
      <c r="CK44" s="1260"/>
      <c r="CL44" s="1260"/>
      <c r="CM44" s="1260"/>
      <c r="CN44" s="1260"/>
      <c r="CO44" s="1260"/>
      <c r="CP44" s="1260"/>
      <c r="CQ44" s="1260"/>
      <c r="CR44" s="1260"/>
      <c r="CS44" s="1260"/>
      <c r="CT44" s="1260"/>
      <c r="CU44" s="1260"/>
      <c r="CV44" s="1260"/>
      <c r="CW44" s="1260"/>
      <c r="CX44" s="1260"/>
    </row>
    <row r="45" spans="1:102">
      <c r="A45" s="1622" t="s">
        <v>1249</v>
      </c>
      <c r="B45" s="1267" t="s">
        <v>1250</v>
      </c>
      <c r="C45" s="1268">
        <v>124328</v>
      </c>
      <c r="D45" s="1269"/>
      <c r="E45" s="1270"/>
      <c r="F45" s="1270"/>
      <c r="G45" s="1270"/>
      <c r="H45" s="1270"/>
      <c r="I45" s="1270"/>
      <c r="J45" s="1270"/>
      <c r="K45" s="1270"/>
      <c r="L45" s="1270"/>
      <c r="M45" s="1270"/>
      <c r="N45" s="1270"/>
      <c r="O45" s="1270"/>
      <c r="P45" s="1270"/>
      <c r="Q45" s="1270"/>
      <c r="R45" s="1270"/>
      <c r="S45" s="1270"/>
      <c r="T45" s="1270"/>
      <c r="U45" s="1270"/>
      <c r="V45" s="1271"/>
      <c r="W45" s="1271"/>
      <c r="X45" s="1271"/>
      <c r="Y45" s="1259"/>
      <c r="Z45" s="1260"/>
      <c r="AA45" s="1260"/>
      <c r="AB45" s="1260"/>
      <c r="AC45" s="1260"/>
      <c r="AD45" s="1260"/>
      <c r="AE45" s="1260"/>
      <c r="AF45" s="1260"/>
      <c r="AG45" s="1260"/>
      <c r="AH45" s="1260"/>
      <c r="AI45" s="1260"/>
      <c r="AJ45" s="1260"/>
      <c r="AK45" s="1260"/>
      <c r="AL45" s="1260"/>
      <c r="AM45" s="1260"/>
      <c r="AN45" s="1260"/>
      <c r="AO45" s="1260"/>
      <c r="AP45" s="1260"/>
      <c r="AQ45" s="1260"/>
      <c r="AR45" s="1260"/>
      <c r="AS45" s="1260"/>
      <c r="AT45" s="1260"/>
      <c r="AU45" s="1260"/>
      <c r="AV45" s="1260"/>
      <c r="AW45" s="1260"/>
      <c r="AX45" s="1260"/>
      <c r="AY45" s="1260"/>
      <c r="AZ45" s="1260"/>
      <c r="BA45" s="1260"/>
      <c r="BB45" s="1260"/>
      <c r="BC45" s="1260"/>
      <c r="BD45" s="1260"/>
      <c r="BE45" s="1260"/>
      <c r="BF45" s="1260"/>
      <c r="BG45" s="1260"/>
      <c r="BH45" s="1260"/>
      <c r="BI45" s="1260"/>
      <c r="BJ45" s="1260"/>
      <c r="BK45" s="1260"/>
      <c r="BL45" s="1260"/>
      <c r="BM45" s="1260"/>
      <c r="BN45" s="1260"/>
      <c r="BO45" s="1260"/>
      <c r="BP45" s="1260"/>
      <c r="BQ45" s="1260"/>
      <c r="BR45" s="1260"/>
      <c r="BS45" s="1260"/>
      <c r="BT45" s="1260"/>
      <c r="BU45" s="1260"/>
      <c r="BV45" s="1260"/>
      <c r="BW45" s="1260"/>
      <c r="BX45" s="1260"/>
      <c r="BY45" s="1260"/>
      <c r="BZ45" s="1260"/>
      <c r="CA45" s="1260"/>
      <c r="CB45" s="1260"/>
      <c r="CC45" s="1260"/>
      <c r="CD45" s="1260"/>
      <c r="CE45" s="1260"/>
      <c r="CF45" s="1260"/>
      <c r="CG45" s="1260"/>
      <c r="CH45" s="1260"/>
      <c r="CI45" s="1260"/>
      <c r="CJ45" s="1260"/>
      <c r="CK45" s="1260"/>
      <c r="CL45" s="1260"/>
      <c r="CM45" s="1260"/>
      <c r="CN45" s="1260"/>
      <c r="CO45" s="1260"/>
      <c r="CP45" s="1260"/>
      <c r="CQ45" s="1260"/>
      <c r="CR45" s="1260"/>
      <c r="CS45" s="1260"/>
      <c r="CT45" s="1260"/>
      <c r="CU45" s="1260"/>
      <c r="CV45" s="1260"/>
      <c r="CW45" s="1260"/>
      <c r="CX45" s="1260"/>
    </row>
    <row r="46" spans="1:102">
      <c r="A46" s="1622"/>
      <c r="B46" s="1267" t="s">
        <v>1251</v>
      </c>
      <c r="C46" s="1268">
        <v>128380</v>
      </c>
      <c r="D46" s="1269"/>
      <c r="E46" s="1270"/>
      <c r="F46" s="1270"/>
      <c r="G46" s="1270"/>
      <c r="H46" s="1270"/>
      <c r="I46" s="1270"/>
      <c r="J46" s="1270"/>
      <c r="K46" s="1270"/>
      <c r="L46" s="1270"/>
      <c r="M46" s="1270"/>
      <c r="N46" s="1270"/>
      <c r="O46" s="1270"/>
      <c r="P46" s="1270"/>
      <c r="Q46" s="1270"/>
      <c r="R46" s="1270"/>
      <c r="S46" s="1270"/>
      <c r="T46" s="1270"/>
      <c r="U46" s="1270"/>
      <c r="V46" s="1271"/>
      <c r="W46" s="1271"/>
      <c r="X46" s="1271"/>
      <c r="Y46" s="1270"/>
    </row>
    <row r="47" spans="1:102">
      <c r="A47" s="1272" t="s">
        <v>1252</v>
      </c>
      <c r="B47" s="1273"/>
      <c r="C47" s="1268">
        <f>+(C46-C45)/2+C45</f>
        <v>126354</v>
      </c>
      <c r="D47" s="1269"/>
      <c r="E47" s="1270"/>
      <c r="F47" s="1270"/>
      <c r="G47" s="1270"/>
      <c r="H47" s="1270"/>
      <c r="I47" s="1270"/>
      <c r="J47" s="1270"/>
      <c r="K47" s="1270"/>
      <c r="L47" s="1270"/>
      <c r="M47" s="1270"/>
      <c r="N47" s="1270"/>
      <c r="O47" s="1270"/>
      <c r="P47" s="1270"/>
      <c r="Q47" s="1270"/>
      <c r="R47" s="1270"/>
      <c r="S47" s="1270"/>
      <c r="T47" s="1270"/>
      <c r="U47" s="1270"/>
      <c r="V47" s="1271"/>
      <c r="W47" s="1271"/>
      <c r="X47" s="1271"/>
      <c r="Y47" s="1270"/>
    </row>
    <row r="48" spans="1:102">
      <c r="A48" s="1272" t="s">
        <v>1253</v>
      </c>
      <c r="B48" s="1273"/>
      <c r="C48" s="1274"/>
      <c r="D48" s="1275">
        <f>IF(D50&gt;D49,(D50-D49)+D$2*1000+D$3*1000,(D49-D50)+D$2*1000+D$4*1000)/1000</f>
        <v>42.654000000000003</v>
      </c>
      <c r="E48" s="1276">
        <f t="shared" ref="E48:X48" si="7">IF(E50&gt;E49,(E50-E49)+E$2*1000+E$3*1000,(E49-E50)+E$2*1000+E$4*1000)/1000</f>
        <v>38.274000000000001</v>
      </c>
      <c r="F48" s="1276">
        <f t="shared" si="7"/>
        <v>36.444000000000003</v>
      </c>
      <c r="G48" s="1276">
        <f t="shared" si="7"/>
        <v>29.954000000000001</v>
      </c>
      <c r="H48" s="1276">
        <f t="shared" si="7"/>
        <v>30.954000000000001</v>
      </c>
      <c r="I48" s="1276">
        <f t="shared" si="7"/>
        <v>20.580000000000016</v>
      </c>
      <c r="J48" s="1276">
        <f t="shared" si="7"/>
        <v>9.8539999999999992</v>
      </c>
      <c r="K48" s="1276">
        <f t="shared" si="7"/>
        <v>17.443999999999999</v>
      </c>
      <c r="L48" s="1276">
        <f t="shared" si="7"/>
        <v>9.6240000000000006</v>
      </c>
      <c r="M48" s="1276">
        <f t="shared" si="7"/>
        <v>29.383999999999997</v>
      </c>
      <c r="N48" s="1276">
        <f t="shared" si="7"/>
        <v>49.01</v>
      </c>
      <c r="O48" s="1276">
        <f t="shared" si="7"/>
        <v>40.473999999999997</v>
      </c>
      <c r="P48" s="1276">
        <f t="shared" si="7"/>
        <v>44.274000000000001</v>
      </c>
      <c r="Q48" s="1276">
        <f t="shared" si="7"/>
        <v>50.964000000000013</v>
      </c>
      <c r="R48" s="1276">
        <f t="shared" si="7"/>
        <v>50.973999999999997</v>
      </c>
      <c r="S48" s="1276">
        <f t="shared" si="7"/>
        <v>56.973999999999997</v>
      </c>
      <c r="T48" s="1276">
        <f t="shared" si="7"/>
        <v>57.973999999999997</v>
      </c>
      <c r="U48" s="1276">
        <f t="shared" si="7"/>
        <v>62.973999999999997</v>
      </c>
      <c r="V48" s="1277">
        <f t="shared" si="7"/>
        <v>9.6240000000000006</v>
      </c>
      <c r="W48" s="1277">
        <f t="shared" si="7"/>
        <v>50.973999999999997</v>
      </c>
      <c r="X48" s="1277">
        <f t="shared" si="7"/>
        <v>27.954000000000001</v>
      </c>
      <c r="Y48" s="1270"/>
    </row>
    <row r="49" spans="1:102" hidden="1">
      <c r="A49" s="1278" t="s">
        <v>1254</v>
      </c>
      <c r="B49" s="1279"/>
      <c r="C49" s="1280"/>
      <c r="D49" s="1200">
        <f>+IF($C44=4510,IF(D$6=4510,$C47,$C47),IF(D$6=4511,$C47+134328,134328+$C47))</f>
        <v>126354</v>
      </c>
      <c r="E49" s="1200">
        <f t="shared" ref="E49:X49" si="8">+IF($C44=4510,IF(E$6=4510,$C47,$C47),IF(E$6=4511,$C47+134328,134328+$C47))</f>
        <v>126354</v>
      </c>
      <c r="F49" s="1200">
        <f t="shared" si="8"/>
        <v>126354</v>
      </c>
      <c r="G49" s="1200">
        <f t="shared" si="8"/>
        <v>126354</v>
      </c>
      <c r="H49" s="1200">
        <f t="shared" si="8"/>
        <v>126354</v>
      </c>
      <c r="I49" s="1200">
        <f t="shared" si="8"/>
        <v>126354</v>
      </c>
      <c r="J49" s="1200">
        <f t="shared" si="8"/>
        <v>126354</v>
      </c>
      <c r="K49" s="1200">
        <f t="shared" si="8"/>
        <v>126354</v>
      </c>
      <c r="L49" s="1200">
        <f t="shared" si="8"/>
        <v>126354</v>
      </c>
      <c r="M49" s="1200">
        <f t="shared" si="8"/>
        <v>126354</v>
      </c>
      <c r="N49" s="1200">
        <f t="shared" si="8"/>
        <v>126354</v>
      </c>
      <c r="O49" s="1200">
        <f t="shared" si="8"/>
        <v>126354</v>
      </c>
      <c r="P49" s="1200">
        <f t="shared" si="8"/>
        <v>126354</v>
      </c>
      <c r="Q49" s="1200">
        <f t="shared" si="8"/>
        <v>126354</v>
      </c>
      <c r="R49" s="1200">
        <f t="shared" si="8"/>
        <v>126354</v>
      </c>
      <c r="S49" s="1200">
        <f t="shared" si="8"/>
        <v>126354</v>
      </c>
      <c r="T49" s="1200">
        <f t="shared" si="8"/>
        <v>126354</v>
      </c>
      <c r="U49" s="1200">
        <f t="shared" si="8"/>
        <v>126354</v>
      </c>
      <c r="V49" s="1281">
        <f t="shared" si="8"/>
        <v>126354</v>
      </c>
      <c r="W49" s="1281">
        <f t="shared" si="8"/>
        <v>126354</v>
      </c>
      <c r="X49" s="1281">
        <f t="shared" si="8"/>
        <v>126354</v>
      </c>
      <c r="Y49" s="1270"/>
    </row>
    <row r="50" spans="1:102" hidden="1">
      <c r="A50" s="1278" t="s">
        <v>1255</v>
      </c>
      <c r="B50" s="1279"/>
      <c r="C50" s="1280"/>
      <c r="D50" s="1200">
        <f>+IF($C44=4510,IF(D$6=4510,D$5,D$5+134328),IF(D$6=4511,D$5+134328,D$5))</f>
        <v>83700</v>
      </c>
      <c r="E50" s="1200">
        <f t="shared" ref="E50:X50" si="9">+IF($C44=4510,IF(E$6=4510,E$5,E$5+134328),IF(E$6=4511,E$5+134328,E$5))</f>
        <v>88080</v>
      </c>
      <c r="F50" s="1200">
        <f t="shared" si="9"/>
        <v>89910</v>
      </c>
      <c r="G50" s="1200">
        <f t="shared" si="9"/>
        <v>98400</v>
      </c>
      <c r="H50" s="1200">
        <f t="shared" si="9"/>
        <v>98400</v>
      </c>
      <c r="I50" s="1200">
        <f t="shared" si="9"/>
        <v>113610</v>
      </c>
      <c r="J50" s="1200">
        <f t="shared" si="9"/>
        <v>116500</v>
      </c>
      <c r="K50" s="1200">
        <f t="shared" si="9"/>
        <v>108910</v>
      </c>
      <c r="L50" s="1200">
        <f t="shared" si="9"/>
        <v>135978</v>
      </c>
      <c r="M50" s="1200">
        <f t="shared" si="9"/>
        <v>154828</v>
      </c>
      <c r="N50" s="1200">
        <f t="shared" si="9"/>
        <v>156528</v>
      </c>
      <c r="O50" s="1200">
        <f t="shared" si="9"/>
        <v>166828</v>
      </c>
      <c r="P50" s="1200">
        <f t="shared" si="9"/>
        <v>170628</v>
      </c>
      <c r="Q50" s="1200">
        <f t="shared" si="9"/>
        <v>173628</v>
      </c>
      <c r="R50" s="1200">
        <f t="shared" si="9"/>
        <v>177328</v>
      </c>
      <c r="S50" s="1200">
        <f t="shared" si="9"/>
        <v>183328</v>
      </c>
      <c r="T50" s="1200">
        <f t="shared" si="9"/>
        <v>184328</v>
      </c>
      <c r="U50" s="1200">
        <f t="shared" si="9"/>
        <v>189328</v>
      </c>
      <c r="V50" s="1281">
        <f t="shared" si="9"/>
        <v>135978</v>
      </c>
      <c r="W50" s="1281">
        <f t="shared" si="9"/>
        <v>177328</v>
      </c>
      <c r="X50" s="1281">
        <f t="shared" si="9"/>
        <v>98400</v>
      </c>
      <c r="Y50" s="1270"/>
    </row>
    <row r="51" spans="1:102">
      <c r="A51" s="1623" t="s">
        <v>1266</v>
      </c>
      <c r="B51" s="1267" t="s">
        <v>1257</v>
      </c>
      <c r="C51" s="1282" t="e">
        <f>+#REF!</f>
        <v>#REF!</v>
      </c>
      <c r="D51" s="1236"/>
      <c r="E51" s="1237"/>
      <c r="F51" s="1237"/>
      <c r="G51" s="1237"/>
      <c r="H51" s="1237"/>
      <c r="I51" s="1237"/>
      <c r="J51" s="1237"/>
      <c r="K51" s="1237"/>
      <c r="L51" s="1237" t="e">
        <f>$C51*#REF!*#REF!</f>
        <v>#REF!</v>
      </c>
      <c r="M51" s="1237"/>
      <c r="N51" s="1237"/>
      <c r="O51" s="1237"/>
      <c r="P51" s="1237"/>
      <c r="Q51" s="1237"/>
      <c r="R51" s="1237"/>
      <c r="S51" s="1237"/>
      <c r="T51" s="1237"/>
      <c r="U51" s="1237"/>
      <c r="V51" s="1283"/>
      <c r="W51" s="1283"/>
      <c r="X51" s="1283"/>
      <c r="Y51" s="1284" t="e">
        <f>+SUMPRODUCT(D51:X51,D48:X48)</f>
        <v>#REF!</v>
      </c>
      <c r="Z51" s="1236" t="e">
        <f>$C51*#REF!*#REF!</f>
        <v>#REF!</v>
      </c>
    </row>
    <row r="52" spans="1:102">
      <c r="A52" s="1623"/>
      <c r="B52" s="1267" t="s">
        <v>1258</v>
      </c>
      <c r="C52" s="1282" t="e">
        <f>+#REF!</f>
        <v>#REF!</v>
      </c>
      <c r="D52" s="1236"/>
      <c r="E52" s="1237"/>
      <c r="F52" s="1237"/>
      <c r="G52" s="1237"/>
      <c r="H52" s="1237"/>
      <c r="I52" s="1237"/>
      <c r="J52" s="1237"/>
      <c r="K52" s="1237"/>
      <c r="L52" s="1237" t="e">
        <f>$C52*#REF!*#REF!</f>
        <v>#REF!</v>
      </c>
      <c r="M52" s="1237"/>
      <c r="N52" s="1237"/>
      <c r="O52" s="1237"/>
      <c r="P52" s="1237"/>
      <c r="Q52" s="1237"/>
      <c r="R52" s="1237"/>
      <c r="S52" s="1237"/>
      <c r="T52" s="1237"/>
      <c r="U52" s="1237"/>
      <c r="V52" s="1283"/>
      <c r="W52" s="1283"/>
      <c r="X52" s="1283"/>
      <c r="Y52" s="1284" t="e">
        <f>+SUMPRODUCT(D52:X52,D48:X48)</f>
        <v>#REF!</v>
      </c>
      <c r="Z52" s="1236" t="e">
        <f>$C52*#REF!*#REF!</f>
        <v>#REF!</v>
      </c>
    </row>
    <row r="53" spans="1:102">
      <c r="A53" s="1623"/>
      <c r="B53" s="1267" t="s">
        <v>1259</v>
      </c>
      <c r="C53" s="1282" t="e">
        <f>+#REF!</f>
        <v>#REF!</v>
      </c>
      <c r="D53" s="1236"/>
      <c r="E53" s="1237"/>
      <c r="F53" s="1237"/>
      <c r="G53" s="1237"/>
      <c r="H53" s="1237"/>
      <c r="I53" s="1237"/>
      <c r="J53" s="1237"/>
      <c r="K53" s="1237"/>
      <c r="L53" s="1237"/>
      <c r="M53" s="1237"/>
      <c r="N53" s="1237"/>
      <c r="O53" s="1237"/>
      <c r="P53" s="1237"/>
      <c r="Q53" s="1237"/>
      <c r="R53" s="1237"/>
      <c r="S53" s="1237"/>
      <c r="T53" s="1237"/>
      <c r="U53" s="1237"/>
      <c r="V53" s="1283"/>
      <c r="W53" s="1283"/>
      <c r="X53" s="1283" t="e">
        <f>+$C53*#REF!*#REF!</f>
        <v>#REF!</v>
      </c>
      <c r="Y53" s="1284" t="e">
        <f>+SUMPRODUCT(D53:X53,D48:X48)</f>
        <v>#REF!</v>
      </c>
      <c r="Z53" s="1236" t="e">
        <f>+$C53*#REF!*#REF!</f>
        <v>#REF!</v>
      </c>
    </row>
    <row r="54" spans="1:102">
      <c r="A54" s="1623"/>
      <c r="B54" s="1267" t="s">
        <v>1260</v>
      </c>
      <c r="C54" s="1282" t="e">
        <f>+#REF!</f>
        <v>#REF!</v>
      </c>
      <c r="D54" s="1236"/>
      <c r="E54" s="1237"/>
      <c r="F54" s="1237"/>
      <c r="G54" s="1237"/>
      <c r="H54" s="1237"/>
      <c r="I54" s="1237"/>
      <c r="J54" s="1237"/>
      <c r="K54" s="1237"/>
      <c r="L54" s="1237"/>
      <c r="M54" s="1237"/>
      <c r="N54" s="1237"/>
      <c r="O54" s="1237"/>
      <c r="P54" s="1237"/>
      <c r="Q54" s="1237"/>
      <c r="R54" s="1237"/>
      <c r="S54" s="1237"/>
      <c r="T54" s="1237"/>
      <c r="U54" s="1237"/>
      <c r="V54" s="1283"/>
      <c r="W54" s="1283"/>
      <c r="X54" s="1283" t="e">
        <f>+$C54*#REF!*#REF!</f>
        <v>#REF!</v>
      </c>
      <c r="Y54" s="1284" t="e">
        <f>+SUMPRODUCT(D54:X54,D48:X48)</f>
        <v>#REF!</v>
      </c>
      <c r="Z54" s="1236" t="e">
        <f>+$C54*#REF!*#REF!</f>
        <v>#REF!</v>
      </c>
    </row>
    <row r="55" spans="1:102">
      <c r="A55" s="1624"/>
      <c r="B55" s="1292" t="s">
        <v>1261</v>
      </c>
      <c r="C55" s="1293" t="e">
        <f>+#REF!</f>
        <v>#REF!</v>
      </c>
      <c r="D55" s="1243"/>
      <c r="E55" s="1244"/>
      <c r="F55" s="1244"/>
      <c r="G55" s="1244"/>
      <c r="H55" s="1244"/>
      <c r="I55" s="1244"/>
      <c r="J55" s="1244"/>
      <c r="K55" s="1244"/>
      <c r="L55" s="1244"/>
      <c r="M55" s="1244"/>
      <c r="N55" s="1244"/>
      <c r="O55" s="1244"/>
      <c r="P55" s="1244"/>
      <c r="Q55" s="1244"/>
      <c r="R55" s="1244"/>
      <c r="S55" s="1244"/>
      <c r="T55" s="1244"/>
      <c r="U55" s="1244"/>
      <c r="V55" s="1294"/>
      <c r="W55" s="1294"/>
      <c r="X55" s="1294" t="e">
        <f>+$C55*#REF!*#REF!</f>
        <v>#REF!</v>
      </c>
      <c r="Y55" s="1284" t="e">
        <f>+SUMPRODUCT(D55:X55,D48:X48)</f>
        <v>#REF!</v>
      </c>
      <c r="Z55" s="1243" t="e">
        <f>+$C55*#REF!*#REF!</f>
        <v>#REF!</v>
      </c>
    </row>
    <row r="56" spans="1:102">
      <c r="A56" s="1253" t="s">
        <v>1247</v>
      </c>
      <c r="B56" s="1254"/>
      <c r="C56" s="1255" t="s">
        <v>1267</v>
      </c>
      <c r="D56" s="1256"/>
      <c r="E56" s="1257"/>
      <c r="F56" s="1257"/>
      <c r="G56" s="1257"/>
      <c r="H56" s="1257"/>
      <c r="I56" s="1257"/>
      <c r="J56" s="1257"/>
      <c r="K56" s="1257"/>
      <c r="L56" s="1257"/>
      <c r="M56" s="1257"/>
      <c r="N56" s="1257"/>
      <c r="O56" s="1257"/>
      <c r="P56" s="1257"/>
      <c r="Q56" s="1257"/>
      <c r="R56" s="1257"/>
      <c r="S56" s="1257"/>
      <c r="T56" s="1257"/>
      <c r="U56" s="1257"/>
      <c r="V56" s="1258"/>
      <c r="W56" s="1258"/>
      <c r="X56" s="1258"/>
      <c r="Y56" s="1259"/>
      <c r="Z56" s="1260"/>
      <c r="AA56" s="1260"/>
      <c r="AB56" s="1260"/>
      <c r="AC56" s="1260"/>
      <c r="AD56" s="1260"/>
      <c r="AE56" s="1260"/>
      <c r="AF56" s="1260"/>
      <c r="AG56" s="1260"/>
      <c r="AH56" s="1260"/>
      <c r="AI56" s="1260"/>
      <c r="AJ56" s="1260"/>
      <c r="AK56" s="1260"/>
      <c r="AL56" s="1260"/>
      <c r="AM56" s="1260"/>
      <c r="AN56" s="1260"/>
      <c r="AO56" s="1260"/>
      <c r="AP56" s="1260"/>
      <c r="AQ56" s="1260"/>
      <c r="AR56" s="1260"/>
      <c r="AS56" s="1260"/>
      <c r="AT56" s="1260"/>
      <c r="AU56" s="1260"/>
      <c r="AV56" s="1260"/>
      <c r="AW56" s="1260"/>
      <c r="AX56" s="1260"/>
      <c r="AY56" s="1260"/>
      <c r="AZ56" s="1260"/>
      <c r="BA56" s="1260"/>
      <c r="BB56" s="1260"/>
      <c r="BC56" s="1260"/>
      <c r="BD56" s="1260"/>
      <c r="BE56" s="1260"/>
      <c r="BF56" s="1260"/>
      <c r="BG56" s="1260"/>
      <c r="BH56" s="1260"/>
      <c r="BI56" s="1260"/>
      <c r="BJ56" s="1260"/>
      <c r="BK56" s="1260"/>
      <c r="BL56" s="1260"/>
      <c r="BM56" s="1260"/>
      <c r="BN56" s="1260"/>
      <c r="BO56" s="1260"/>
      <c r="BP56" s="1260"/>
      <c r="BQ56" s="1260"/>
      <c r="BR56" s="1260"/>
      <c r="BS56" s="1260"/>
      <c r="BT56" s="1260"/>
      <c r="BU56" s="1260"/>
      <c r="BV56" s="1260"/>
      <c r="BW56" s="1260"/>
      <c r="BX56" s="1260"/>
      <c r="BY56" s="1260"/>
      <c r="BZ56" s="1260"/>
      <c r="CA56" s="1260"/>
      <c r="CB56" s="1260"/>
      <c r="CC56" s="1260"/>
      <c r="CD56" s="1260"/>
      <c r="CE56" s="1260"/>
      <c r="CF56" s="1260"/>
      <c r="CG56" s="1260"/>
      <c r="CH56" s="1260"/>
      <c r="CI56" s="1260"/>
      <c r="CJ56" s="1260"/>
      <c r="CK56" s="1260"/>
      <c r="CL56" s="1260"/>
      <c r="CM56" s="1260"/>
      <c r="CN56" s="1260"/>
      <c r="CO56" s="1260"/>
      <c r="CP56" s="1260"/>
      <c r="CQ56" s="1260"/>
      <c r="CR56" s="1260"/>
      <c r="CS56" s="1260"/>
      <c r="CT56" s="1260"/>
      <c r="CU56" s="1260"/>
      <c r="CV56" s="1260"/>
      <c r="CW56" s="1260"/>
      <c r="CX56" s="1260"/>
    </row>
    <row r="57" spans="1:102">
      <c r="A57" s="1261" t="s">
        <v>1227</v>
      </c>
      <c r="B57" s="1262"/>
      <c r="C57" s="1263">
        <v>4511</v>
      </c>
      <c r="D57" s="1264"/>
      <c r="E57" s="1265"/>
      <c r="F57" s="1265"/>
      <c r="G57" s="1265"/>
      <c r="H57" s="1265"/>
      <c r="I57" s="1265"/>
      <c r="J57" s="1265"/>
      <c r="K57" s="1265"/>
      <c r="L57" s="1265"/>
      <c r="M57" s="1265"/>
      <c r="N57" s="1265"/>
      <c r="O57" s="1265"/>
      <c r="P57" s="1265"/>
      <c r="Q57" s="1265"/>
      <c r="R57" s="1265"/>
      <c r="S57" s="1265"/>
      <c r="T57" s="1265"/>
      <c r="U57" s="1265"/>
      <c r="V57" s="1266"/>
      <c r="W57" s="1266"/>
      <c r="X57" s="1266"/>
      <c r="Y57" s="1259"/>
      <c r="Z57" s="1260"/>
      <c r="AA57" s="1260"/>
      <c r="AB57" s="1260"/>
      <c r="AC57" s="1260"/>
      <c r="AD57" s="1260"/>
      <c r="AE57" s="1260"/>
      <c r="AF57" s="1260"/>
      <c r="AG57" s="1260"/>
      <c r="AH57" s="1260"/>
      <c r="AI57" s="1260"/>
      <c r="AJ57" s="1260"/>
      <c r="AK57" s="1260"/>
      <c r="AL57" s="1260"/>
      <c r="AM57" s="1260"/>
      <c r="AN57" s="1260"/>
      <c r="AO57" s="1260"/>
      <c r="AP57" s="1260"/>
      <c r="AQ57" s="1260"/>
      <c r="AR57" s="1260"/>
      <c r="AS57" s="1260"/>
      <c r="AT57" s="1260"/>
      <c r="AU57" s="1260"/>
      <c r="AV57" s="1260"/>
      <c r="AW57" s="1260"/>
      <c r="AX57" s="1260"/>
      <c r="AY57" s="1260"/>
      <c r="AZ57" s="1260"/>
      <c r="BA57" s="1260"/>
      <c r="BB57" s="1260"/>
      <c r="BC57" s="1260"/>
      <c r="BD57" s="1260"/>
      <c r="BE57" s="1260"/>
      <c r="BF57" s="1260"/>
      <c r="BG57" s="1260"/>
      <c r="BH57" s="1260"/>
      <c r="BI57" s="1260"/>
      <c r="BJ57" s="1260"/>
      <c r="BK57" s="1260"/>
      <c r="BL57" s="1260"/>
      <c r="BM57" s="1260"/>
      <c r="BN57" s="1260"/>
      <c r="BO57" s="1260"/>
      <c r="BP57" s="1260"/>
      <c r="BQ57" s="1260"/>
      <c r="BR57" s="1260"/>
      <c r="BS57" s="1260"/>
      <c r="BT57" s="1260"/>
      <c r="BU57" s="1260"/>
      <c r="BV57" s="1260"/>
      <c r="BW57" s="1260"/>
      <c r="BX57" s="1260"/>
      <c r="BY57" s="1260"/>
      <c r="BZ57" s="1260"/>
      <c r="CA57" s="1260"/>
      <c r="CB57" s="1260"/>
      <c r="CC57" s="1260"/>
      <c r="CD57" s="1260"/>
      <c r="CE57" s="1260"/>
      <c r="CF57" s="1260"/>
      <c r="CG57" s="1260"/>
      <c r="CH57" s="1260"/>
      <c r="CI57" s="1260"/>
      <c r="CJ57" s="1260"/>
      <c r="CK57" s="1260"/>
      <c r="CL57" s="1260"/>
      <c r="CM57" s="1260"/>
      <c r="CN57" s="1260"/>
      <c r="CO57" s="1260"/>
      <c r="CP57" s="1260"/>
      <c r="CQ57" s="1260"/>
      <c r="CR57" s="1260"/>
      <c r="CS57" s="1260"/>
      <c r="CT57" s="1260"/>
      <c r="CU57" s="1260"/>
      <c r="CV57" s="1260"/>
      <c r="CW57" s="1260"/>
      <c r="CX57" s="1260"/>
    </row>
    <row r="58" spans="1:102">
      <c r="A58" s="1622" t="s">
        <v>1249</v>
      </c>
      <c r="B58" s="1267" t="s">
        <v>1250</v>
      </c>
      <c r="C58" s="1268">
        <v>16720</v>
      </c>
      <c r="D58" s="1269"/>
      <c r="E58" s="1270"/>
      <c r="F58" s="1270"/>
      <c r="G58" s="1270"/>
      <c r="H58" s="1270"/>
      <c r="I58" s="1270"/>
      <c r="J58" s="1270"/>
      <c r="K58" s="1270"/>
      <c r="L58" s="1270"/>
      <c r="M58" s="1270"/>
      <c r="N58" s="1270"/>
      <c r="O58" s="1270"/>
      <c r="P58" s="1270"/>
      <c r="Q58" s="1270"/>
      <c r="R58" s="1270"/>
      <c r="S58" s="1270"/>
      <c r="T58" s="1270"/>
      <c r="U58" s="1270"/>
      <c r="V58" s="1271"/>
      <c r="W58" s="1271"/>
      <c r="X58" s="1271"/>
      <c r="Y58" s="1259"/>
      <c r="Z58" s="1260"/>
      <c r="AA58" s="1260"/>
      <c r="AB58" s="1260"/>
      <c r="AC58" s="1260"/>
      <c r="AD58" s="1260"/>
      <c r="AE58" s="1260"/>
      <c r="AF58" s="1260"/>
      <c r="AG58" s="1260"/>
      <c r="AH58" s="1260"/>
      <c r="AI58" s="1260"/>
      <c r="AJ58" s="1260"/>
      <c r="AK58" s="1260"/>
      <c r="AL58" s="1260"/>
      <c r="AM58" s="1260"/>
      <c r="AN58" s="1260"/>
      <c r="AO58" s="1260"/>
      <c r="AP58" s="1260"/>
      <c r="AQ58" s="1260"/>
      <c r="AR58" s="1260"/>
      <c r="AS58" s="1260"/>
      <c r="AT58" s="1260"/>
      <c r="AU58" s="1260"/>
      <c r="AV58" s="1260"/>
      <c r="AW58" s="1260"/>
      <c r="AX58" s="1260"/>
      <c r="AY58" s="1260"/>
      <c r="AZ58" s="1260"/>
      <c r="BA58" s="1260"/>
      <c r="BB58" s="1260"/>
      <c r="BC58" s="1260"/>
      <c r="BD58" s="1260"/>
      <c r="BE58" s="1260"/>
      <c r="BF58" s="1260"/>
      <c r="BG58" s="1260"/>
      <c r="BH58" s="1260"/>
      <c r="BI58" s="1260"/>
      <c r="BJ58" s="1260"/>
      <c r="BK58" s="1260"/>
      <c r="BL58" s="1260"/>
      <c r="BM58" s="1260"/>
      <c r="BN58" s="1260"/>
      <c r="BO58" s="1260"/>
      <c r="BP58" s="1260"/>
      <c r="BQ58" s="1260"/>
      <c r="BR58" s="1260"/>
      <c r="BS58" s="1260"/>
      <c r="BT58" s="1260"/>
      <c r="BU58" s="1260"/>
      <c r="BV58" s="1260"/>
      <c r="BW58" s="1260"/>
      <c r="BX58" s="1260"/>
      <c r="BY58" s="1260"/>
      <c r="BZ58" s="1260"/>
      <c r="CA58" s="1260"/>
      <c r="CB58" s="1260"/>
      <c r="CC58" s="1260"/>
      <c r="CD58" s="1260"/>
      <c r="CE58" s="1260"/>
      <c r="CF58" s="1260"/>
      <c r="CG58" s="1260"/>
      <c r="CH58" s="1260"/>
      <c r="CI58" s="1260"/>
      <c r="CJ58" s="1260"/>
      <c r="CK58" s="1260"/>
      <c r="CL58" s="1260"/>
      <c r="CM58" s="1260"/>
      <c r="CN58" s="1260"/>
      <c r="CO58" s="1260"/>
      <c r="CP58" s="1260"/>
      <c r="CQ58" s="1260"/>
      <c r="CR58" s="1260"/>
      <c r="CS58" s="1260"/>
      <c r="CT58" s="1260"/>
      <c r="CU58" s="1260"/>
      <c r="CV58" s="1260"/>
      <c r="CW58" s="1260"/>
      <c r="CX58" s="1260"/>
    </row>
    <row r="59" spans="1:102">
      <c r="A59" s="1622"/>
      <c r="B59" s="1267" t="s">
        <v>1251</v>
      </c>
      <c r="C59" s="1268">
        <v>19000</v>
      </c>
      <c r="D59" s="1269"/>
      <c r="E59" s="1270"/>
      <c r="F59" s="1270"/>
      <c r="G59" s="1270"/>
      <c r="H59" s="1270"/>
      <c r="I59" s="1270"/>
      <c r="J59" s="1270"/>
      <c r="K59" s="1270"/>
      <c r="L59" s="1270"/>
      <c r="M59" s="1270"/>
      <c r="N59" s="1270"/>
      <c r="O59" s="1270"/>
      <c r="P59" s="1270"/>
      <c r="Q59" s="1270"/>
      <c r="R59" s="1270"/>
      <c r="S59" s="1270"/>
      <c r="T59" s="1270"/>
      <c r="U59" s="1270"/>
      <c r="V59" s="1271"/>
      <c r="W59" s="1271"/>
      <c r="X59" s="1271"/>
      <c r="Y59" s="1270"/>
    </row>
    <row r="60" spans="1:102">
      <c r="A60" s="1272" t="s">
        <v>1252</v>
      </c>
      <c r="B60" s="1273"/>
      <c r="C60" s="1268">
        <f>+(C59-C58)/2+C58</f>
        <v>17860</v>
      </c>
      <c r="D60" s="1269"/>
      <c r="E60" s="1270"/>
      <c r="F60" s="1270"/>
      <c r="G60" s="1270"/>
      <c r="H60" s="1270"/>
      <c r="I60" s="1270"/>
      <c r="J60" s="1270"/>
      <c r="K60" s="1270"/>
      <c r="L60" s="1270"/>
      <c r="M60" s="1270"/>
      <c r="N60" s="1270"/>
      <c r="O60" s="1270"/>
      <c r="P60" s="1270"/>
      <c r="Q60" s="1270"/>
      <c r="R60" s="1270"/>
      <c r="S60" s="1270"/>
      <c r="T60" s="1270"/>
      <c r="U60" s="1270"/>
      <c r="V60" s="1271"/>
      <c r="W60" s="1271"/>
      <c r="X60" s="1271"/>
      <c r="Y60" s="1270"/>
    </row>
    <row r="61" spans="1:102">
      <c r="A61" s="1272" t="s">
        <v>1253</v>
      </c>
      <c r="B61" s="1273"/>
      <c r="C61" s="1274"/>
      <c r="D61" s="1295">
        <f>IF(D63&gt;D62,(D63-D62)+D$2*1000+D$3*1000,(D62-D63)+D$2*1000+D$4*1000)/1000</f>
        <v>68.488</v>
      </c>
      <c r="E61" s="1276">
        <f t="shared" ref="E61:X61" si="10">IF(E63&gt;E62,(E63-E62)+E$2*1000+E$3*1000,(E62-E63)+E$2*1000+E$4*1000)/1000</f>
        <v>64.108000000000004</v>
      </c>
      <c r="F61" s="1276">
        <f t="shared" si="10"/>
        <v>62.277999999999999</v>
      </c>
      <c r="G61" s="1276">
        <f t="shared" si="10"/>
        <v>55.787999999999997</v>
      </c>
      <c r="H61" s="1276">
        <f t="shared" si="10"/>
        <v>56.787999999999997</v>
      </c>
      <c r="I61" s="1276">
        <f t="shared" si="10"/>
        <v>46.414000000000016</v>
      </c>
      <c r="J61" s="1276">
        <f t="shared" si="10"/>
        <v>35.688000000000002</v>
      </c>
      <c r="K61" s="1276">
        <f t="shared" si="10"/>
        <v>43.277999999999999</v>
      </c>
      <c r="L61" s="1276">
        <f t="shared" si="10"/>
        <v>16.21</v>
      </c>
      <c r="M61" s="1276">
        <f t="shared" si="10"/>
        <v>3.5499999999999963</v>
      </c>
      <c r="N61" s="1276">
        <f t="shared" si="10"/>
        <v>23.175999999999998</v>
      </c>
      <c r="O61" s="1276">
        <f t="shared" si="10"/>
        <v>14.64</v>
      </c>
      <c r="P61" s="1276">
        <f t="shared" si="10"/>
        <v>18.440000000000001</v>
      </c>
      <c r="Q61" s="1276">
        <f t="shared" si="10"/>
        <v>25.13000000000001</v>
      </c>
      <c r="R61" s="1276">
        <f t="shared" si="10"/>
        <v>25.14</v>
      </c>
      <c r="S61" s="1276">
        <f t="shared" si="10"/>
        <v>31.14</v>
      </c>
      <c r="T61" s="1276">
        <f t="shared" si="10"/>
        <v>32.14</v>
      </c>
      <c r="U61" s="1276">
        <f t="shared" si="10"/>
        <v>37.14</v>
      </c>
      <c r="V61" s="1277">
        <f t="shared" si="10"/>
        <v>16.21</v>
      </c>
      <c r="W61" s="1277">
        <f t="shared" si="10"/>
        <v>25.14</v>
      </c>
      <c r="X61" s="1277">
        <f t="shared" si="10"/>
        <v>53.787999999999997</v>
      </c>
      <c r="Y61" s="1270"/>
    </row>
    <row r="62" spans="1:102" hidden="1">
      <c r="A62" s="1278" t="s">
        <v>1254</v>
      </c>
      <c r="B62" s="1279"/>
      <c r="C62" s="1280"/>
      <c r="D62" s="1200">
        <f>+IF($C57=4510,IF(D$6=4510,$C60,$C60),IF(D$6=4511,$C60+134328,134328+$C60))</f>
        <v>152188</v>
      </c>
      <c r="E62" s="1200">
        <f t="shared" ref="E62:X62" si="11">+IF($C57=4510,IF(E$6=4510,$C60,$C60),IF(E$6=4511,$C60+134328,134328+$C60))</f>
        <v>152188</v>
      </c>
      <c r="F62" s="1200">
        <f t="shared" si="11"/>
        <v>152188</v>
      </c>
      <c r="G62" s="1200">
        <f t="shared" si="11"/>
        <v>152188</v>
      </c>
      <c r="H62" s="1200">
        <f t="shared" si="11"/>
        <v>152188</v>
      </c>
      <c r="I62" s="1200">
        <f t="shared" si="11"/>
        <v>152188</v>
      </c>
      <c r="J62" s="1200">
        <f t="shared" si="11"/>
        <v>152188</v>
      </c>
      <c r="K62" s="1200">
        <f t="shared" si="11"/>
        <v>152188</v>
      </c>
      <c r="L62" s="1200">
        <f t="shared" si="11"/>
        <v>152188</v>
      </c>
      <c r="M62" s="1200">
        <f t="shared" si="11"/>
        <v>152188</v>
      </c>
      <c r="N62" s="1200">
        <f t="shared" si="11"/>
        <v>152188</v>
      </c>
      <c r="O62" s="1200">
        <f t="shared" si="11"/>
        <v>152188</v>
      </c>
      <c r="P62" s="1200">
        <f t="shared" si="11"/>
        <v>152188</v>
      </c>
      <c r="Q62" s="1200">
        <f t="shared" si="11"/>
        <v>152188</v>
      </c>
      <c r="R62" s="1200">
        <f t="shared" si="11"/>
        <v>152188</v>
      </c>
      <c r="S62" s="1200">
        <f t="shared" si="11"/>
        <v>152188</v>
      </c>
      <c r="T62" s="1200">
        <f t="shared" si="11"/>
        <v>152188</v>
      </c>
      <c r="U62" s="1200">
        <f t="shared" si="11"/>
        <v>152188</v>
      </c>
      <c r="V62" s="1281">
        <f t="shared" si="11"/>
        <v>152188</v>
      </c>
      <c r="W62" s="1281">
        <f t="shared" si="11"/>
        <v>152188</v>
      </c>
      <c r="X62" s="1281">
        <f t="shared" si="11"/>
        <v>152188</v>
      </c>
      <c r="Y62" s="1270"/>
    </row>
    <row r="63" spans="1:102" hidden="1">
      <c r="A63" s="1278" t="s">
        <v>1255</v>
      </c>
      <c r="B63" s="1279"/>
      <c r="C63" s="1280"/>
      <c r="D63" s="1200">
        <f>+IF($C57=4510,IF(D$6=4510,D$5,D$5+134328),IF(D$6=4511,D$5+134328,D$5))</f>
        <v>83700</v>
      </c>
      <c r="E63" s="1200">
        <f t="shared" ref="E63:X63" si="12">+IF($C57=4510,IF(E$6=4510,E$5,E$5+134328),IF(E$6=4511,E$5+134328,E$5))</f>
        <v>88080</v>
      </c>
      <c r="F63" s="1200">
        <f t="shared" si="12"/>
        <v>89910</v>
      </c>
      <c r="G63" s="1200">
        <f t="shared" si="12"/>
        <v>98400</v>
      </c>
      <c r="H63" s="1200">
        <f t="shared" si="12"/>
        <v>98400</v>
      </c>
      <c r="I63" s="1200">
        <f t="shared" si="12"/>
        <v>113610</v>
      </c>
      <c r="J63" s="1200">
        <f t="shared" si="12"/>
        <v>116500</v>
      </c>
      <c r="K63" s="1200">
        <f t="shared" si="12"/>
        <v>108910</v>
      </c>
      <c r="L63" s="1200">
        <f t="shared" si="12"/>
        <v>135978</v>
      </c>
      <c r="M63" s="1200">
        <f t="shared" si="12"/>
        <v>154828</v>
      </c>
      <c r="N63" s="1200">
        <f t="shared" si="12"/>
        <v>156528</v>
      </c>
      <c r="O63" s="1200">
        <f t="shared" si="12"/>
        <v>166828</v>
      </c>
      <c r="P63" s="1200">
        <f t="shared" si="12"/>
        <v>170628</v>
      </c>
      <c r="Q63" s="1200">
        <f t="shared" si="12"/>
        <v>173628</v>
      </c>
      <c r="R63" s="1200">
        <f t="shared" si="12"/>
        <v>177328</v>
      </c>
      <c r="S63" s="1200">
        <f t="shared" si="12"/>
        <v>183328</v>
      </c>
      <c r="T63" s="1200">
        <f t="shared" si="12"/>
        <v>184328</v>
      </c>
      <c r="U63" s="1200">
        <f t="shared" si="12"/>
        <v>189328</v>
      </c>
      <c r="V63" s="1281">
        <f t="shared" si="12"/>
        <v>135978</v>
      </c>
      <c r="W63" s="1281">
        <f t="shared" si="12"/>
        <v>177328</v>
      </c>
      <c r="X63" s="1281">
        <f t="shared" si="12"/>
        <v>98400</v>
      </c>
      <c r="Y63" s="1270"/>
    </row>
    <row r="64" spans="1:102">
      <c r="A64" s="1623" t="s">
        <v>1266</v>
      </c>
      <c r="B64" s="1267" t="s">
        <v>1257</v>
      </c>
      <c r="C64" s="1282" t="e">
        <f>+#REF!</f>
        <v>#REF!</v>
      </c>
      <c r="D64" s="1236"/>
      <c r="E64" s="1237"/>
      <c r="F64" s="1237"/>
      <c r="G64" s="1237"/>
      <c r="H64" s="1237"/>
      <c r="I64" s="1237"/>
      <c r="J64" s="1237"/>
      <c r="K64" s="1237"/>
      <c r="L64" s="1237"/>
      <c r="M64" s="1237"/>
      <c r="N64" s="1237" t="e">
        <f>$C64*#REF!*#REF!</f>
        <v>#REF!</v>
      </c>
      <c r="O64" s="1237"/>
      <c r="P64" s="1237"/>
      <c r="Q64" s="1237"/>
      <c r="R64" s="1237"/>
      <c r="S64" s="1237"/>
      <c r="T64" s="1237"/>
      <c r="U64" s="1237"/>
      <c r="V64" s="1283"/>
      <c r="W64" s="1283"/>
      <c r="X64" s="1283"/>
      <c r="Y64" s="1284" t="e">
        <f>+SUMPRODUCT(D64:X64,D61:X61)</f>
        <v>#REF!</v>
      </c>
      <c r="Z64" s="1236" t="e">
        <f>$C64*#REF!*#REF!</f>
        <v>#REF!</v>
      </c>
    </row>
    <row r="65" spans="1:102">
      <c r="A65" s="1623"/>
      <c r="B65" s="1267" t="s">
        <v>1258</v>
      </c>
      <c r="C65" s="1282" t="e">
        <f>+#REF!</f>
        <v>#REF!</v>
      </c>
      <c r="D65" s="1236"/>
      <c r="E65" s="1237"/>
      <c r="F65" s="1237"/>
      <c r="G65" s="1237"/>
      <c r="H65" s="1237"/>
      <c r="I65" s="1237"/>
      <c r="J65" s="1237"/>
      <c r="K65" s="1237"/>
      <c r="L65" s="1237"/>
      <c r="M65" s="1237"/>
      <c r="N65" s="1237" t="e">
        <f>$C65*#REF!*#REF!</f>
        <v>#REF!</v>
      </c>
      <c r="O65" s="1237"/>
      <c r="P65" s="1237"/>
      <c r="Q65" s="1237"/>
      <c r="R65" s="1237"/>
      <c r="S65" s="1237"/>
      <c r="T65" s="1237"/>
      <c r="U65" s="1237"/>
      <c r="V65" s="1283"/>
      <c r="W65" s="1283"/>
      <c r="X65" s="1283"/>
      <c r="Y65" s="1284" t="e">
        <f>+SUMPRODUCT(D65:X65,D61:X61)</f>
        <v>#REF!</v>
      </c>
      <c r="Z65" s="1236" t="e">
        <f>$C65*#REF!*#REF!</f>
        <v>#REF!</v>
      </c>
    </row>
    <row r="66" spans="1:102">
      <c r="A66" s="1623"/>
      <c r="B66" s="1267" t="s">
        <v>1259</v>
      </c>
      <c r="C66" s="1282" t="e">
        <f>+#REF!</f>
        <v>#REF!</v>
      </c>
      <c r="D66" s="1236"/>
      <c r="E66" s="1237"/>
      <c r="F66" s="1237"/>
      <c r="G66" s="1237"/>
      <c r="H66" s="1237"/>
      <c r="I66" s="1237"/>
      <c r="J66" s="1237"/>
      <c r="K66" s="1237"/>
      <c r="L66" s="1237"/>
      <c r="M66" s="1237"/>
      <c r="N66" s="1237"/>
      <c r="O66" s="1237"/>
      <c r="P66" s="1237"/>
      <c r="Q66" s="1237"/>
      <c r="R66" s="1237"/>
      <c r="S66" s="1237"/>
      <c r="T66" s="1237"/>
      <c r="U66" s="1237"/>
      <c r="V66" s="1283"/>
      <c r="W66" s="1283" t="e">
        <f>+$C66*#REF!*#REF!</f>
        <v>#REF!</v>
      </c>
      <c r="X66" s="1283"/>
      <c r="Y66" s="1284" t="e">
        <f>+SUMPRODUCT(D66:X66,D61:X61)</f>
        <v>#REF!</v>
      </c>
      <c r="Z66" s="1236" t="e">
        <f>+$C66*#REF!*#REF!</f>
        <v>#REF!</v>
      </c>
    </row>
    <row r="67" spans="1:102">
      <c r="A67" s="1623"/>
      <c r="B67" s="1267" t="s">
        <v>1260</v>
      </c>
      <c r="C67" s="1282" t="e">
        <f>+#REF!</f>
        <v>#REF!</v>
      </c>
      <c r="D67" s="1236"/>
      <c r="E67" s="1237"/>
      <c r="F67" s="1237"/>
      <c r="G67" s="1237"/>
      <c r="H67" s="1237"/>
      <c r="I67" s="1237"/>
      <c r="J67" s="1237"/>
      <c r="K67" s="1237"/>
      <c r="L67" s="1237"/>
      <c r="M67" s="1237"/>
      <c r="N67" s="1237"/>
      <c r="O67" s="1237"/>
      <c r="P67" s="1237"/>
      <c r="Q67" s="1237"/>
      <c r="R67" s="1237"/>
      <c r="S67" s="1237"/>
      <c r="T67" s="1237"/>
      <c r="U67" s="1237"/>
      <c r="V67" s="1283"/>
      <c r="W67" s="1283" t="e">
        <f>+$C67*#REF!*#REF!</f>
        <v>#REF!</v>
      </c>
      <c r="X67" s="1283"/>
      <c r="Y67" s="1284" t="e">
        <f>+SUMPRODUCT(D67:X67,D61:X61)</f>
        <v>#REF!</v>
      </c>
      <c r="Z67" s="1236" t="e">
        <f>+$C67*#REF!*#REF!</f>
        <v>#REF!</v>
      </c>
    </row>
    <row r="68" spans="1:102">
      <c r="A68" s="1624"/>
      <c r="B68" s="1292" t="s">
        <v>1261</v>
      </c>
      <c r="C68" s="1293" t="e">
        <f>+#REF!</f>
        <v>#REF!</v>
      </c>
      <c r="D68" s="1243"/>
      <c r="E68" s="1244"/>
      <c r="F68" s="1244"/>
      <c r="G68" s="1244"/>
      <c r="H68" s="1244"/>
      <c r="I68" s="1244"/>
      <c r="J68" s="1244"/>
      <c r="K68" s="1244"/>
      <c r="L68" s="1244"/>
      <c r="M68" s="1244"/>
      <c r="N68" s="1244"/>
      <c r="O68" s="1244"/>
      <c r="P68" s="1244"/>
      <c r="Q68" s="1244"/>
      <c r="R68" s="1244"/>
      <c r="S68" s="1244"/>
      <c r="T68" s="1244"/>
      <c r="U68" s="1244"/>
      <c r="V68" s="1294"/>
      <c r="W68" s="1294"/>
      <c r="X68" s="1294" t="e">
        <f>+$C68*#REF!*#REF!</f>
        <v>#REF!</v>
      </c>
      <c r="Y68" s="1284" t="e">
        <f>+SUMPRODUCT(D68:X68,D61:X61)</f>
        <v>#REF!</v>
      </c>
      <c r="Z68" s="1243" t="e">
        <f>+$C68*#REF!*#REF!</f>
        <v>#REF!</v>
      </c>
    </row>
    <row r="69" spans="1:102">
      <c r="A69" s="1253" t="s">
        <v>1247</v>
      </c>
      <c r="B69" s="1254"/>
      <c r="C69" s="1255" t="s">
        <v>1268</v>
      </c>
      <c r="D69" s="1256"/>
      <c r="E69" s="1257"/>
      <c r="F69" s="1257"/>
      <c r="G69" s="1257"/>
      <c r="H69" s="1257"/>
      <c r="I69" s="1257"/>
      <c r="J69" s="1257"/>
      <c r="K69" s="1257"/>
      <c r="L69" s="1257"/>
      <c r="M69" s="1257"/>
      <c r="N69" s="1257"/>
      <c r="O69" s="1257"/>
      <c r="P69" s="1257"/>
      <c r="Q69" s="1257"/>
      <c r="R69" s="1257"/>
      <c r="S69" s="1257"/>
      <c r="T69" s="1257"/>
      <c r="U69" s="1257"/>
      <c r="V69" s="1258"/>
      <c r="W69" s="1258"/>
      <c r="X69" s="1258"/>
      <c r="Y69" s="1259"/>
      <c r="Z69" s="1260"/>
      <c r="AA69" s="1260"/>
      <c r="AB69" s="1260"/>
      <c r="AC69" s="1260"/>
      <c r="AD69" s="1260"/>
      <c r="AE69" s="1260"/>
      <c r="AF69" s="1260"/>
      <c r="AG69" s="1260"/>
      <c r="AH69" s="1260"/>
      <c r="AI69" s="1260"/>
      <c r="AJ69" s="1260"/>
      <c r="AK69" s="1260"/>
      <c r="AL69" s="1260"/>
      <c r="AM69" s="1260"/>
      <c r="AN69" s="1260"/>
      <c r="AO69" s="1260"/>
      <c r="AP69" s="1260"/>
      <c r="AQ69" s="1260"/>
      <c r="AR69" s="1260"/>
      <c r="AS69" s="1260"/>
      <c r="AT69" s="1260"/>
      <c r="AU69" s="1260"/>
      <c r="AV69" s="1260"/>
      <c r="AW69" s="1260"/>
      <c r="AX69" s="1260"/>
      <c r="AY69" s="1260"/>
      <c r="AZ69" s="1260"/>
      <c r="BA69" s="1260"/>
      <c r="BB69" s="1260"/>
      <c r="BC69" s="1260"/>
      <c r="BD69" s="1260"/>
      <c r="BE69" s="1260"/>
      <c r="BF69" s="1260"/>
      <c r="BG69" s="1260"/>
      <c r="BH69" s="1260"/>
      <c r="BI69" s="1260"/>
      <c r="BJ69" s="1260"/>
      <c r="BK69" s="1260"/>
      <c r="BL69" s="1260"/>
      <c r="BM69" s="1260"/>
      <c r="BN69" s="1260"/>
      <c r="BO69" s="1260"/>
      <c r="BP69" s="1260"/>
      <c r="BQ69" s="1260"/>
      <c r="BR69" s="1260"/>
      <c r="BS69" s="1260"/>
      <c r="BT69" s="1260"/>
      <c r="BU69" s="1260"/>
      <c r="BV69" s="1260"/>
      <c r="BW69" s="1260"/>
      <c r="BX69" s="1260"/>
      <c r="BY69" s="1260"/>
      <c r="BZ69" s="1260"/>
      <c r="CA69" s="1260"/>
      <c r="CB69" s="1260"/>
      <c r="CC69" s="1260"/>
      <c r="CD69" s="1260"/>
      <c r="CE69" s="1260"/>
      <c r="CF69" s="1260"/>
      <c r="CG69" s="1260"/>
      <c r="CH69" s="1260"/>
      <c r="CI69" s="1260"/>
      <c r="CJ69" s="1260"/>
      <c r="CK69" s="1260"/>
      <c r="CL69" s="1260"/>
      <c r="CM69" s="1260"/>
      <c r="CN69" s="1260"/>
      <c r="CO69" s="1260"/>
      <c r="CP69" s="1260"/>
      <c r="CQ69" s="1260"/>
      <c r="CR69" s="1260"/>
      <c r="CS69" s="1260"/>
      <c r="CT69" s="1260"/>
      <c r="CU69" s="1260"/>
      <c r="CV69" s="1260"/>
      <c r="CW69" s="1260"/>
      <c r="CX69" s="1260"/>
    </row>
    <row r="70" spans="1:102">
      <c r="A70" s="1261" t="s">
        <v>1227</v>
      </c>
      <c r="B70" s="1262"/>
      <c r="C70" s="1263">
        <v>4511</v>
      </c>
      <c r="D70" s="1264"/>
      <c r="E70" s="1265"/>
      <c r="F70" s="1265"/>
      <c r="G70" s="1265"/>
      <c r="H70" s="1265"/>
      <c r="I70" s="1265"/>
      <c r="J70" s="1265"/>
      <c r="K70" s="1265"/>
      <c r="L70" s="1265"/>
      <c r="M70" s="1265"/>
      <c r="N70" s="1265"/>
      <c r="O70" s="1265"/>
      <c r="P70" s="1265"/>
      <c r="Q70" s="1265"/>
      <c r="R70" s="1265"/>
      <c r="S70" s="1265"/>
      <c r="T70" s="1265"/>
      <c r="U70" s="1265"/>
      <c r="V70" s="1266"/>
      <c r="W70" s="1266"/>
      <c r="X70" s="1266"/>
      <c r="Y70" s="1259"/>
      <c r="Z70" s="1260"/>
      <c r="AA70" s="1260"/>
      <c r="AB70" s="1260"/>
      <c r="AC70" s="1260"/>
      <c r="AD70" s="1260"/>
      <c r="AE70" s="1260"/>
      <c r="AF70" s="1260"/>
      <c r="AG70" s="1260"/>
      <c r="AH70" s="1260"/>
      <c r="AI70" s="1260"/>
      <c r="AJ70" s="1260"/>
      <c r="AK70" s="1260"/>
      <c r="AL70" s="1260"/>
      <c r="AM70" s="1260"/>
      <c r="AN70" s="1260"/>
      <c r="AO70" s="1260"/>
      <c r="AP70" s="1260"/>
      <c r="AQ70" s="1260"/>
      <c r="AR70" s="1260"/>
      <c r="AS70" s="1260"/>
      <c r="AT70" s="1260"/>
      <c r="AU70" s="1260"/>
      <c r="AV70" s="1260"/>
      <c r="AW70" s="1260"/>
      <c r="AX70" s="1260"/>
      <c r="AY70" s="1260"/>
      <c r="AZ70" s="1260"/>
      <c r="BA70" s="1260"/>
      <c r="BB70" s="1260"/>
      <c r="BC70" s="1260"/>
      <c r="BD70" s="1260"/>
      <c r="BE70" s="1260"/>
      <c r="BF70" s="1260"/>
      <c r="BG70" s="1260"/>
      <c r="BH70" s="1260"/>
      <c r="BI70" s="1260"/>
      <c r="BJ70" s="1260"/>
      <c r="BK70" s="1260"/>
      <c r="BL70" s="1260"/>
      <c r="BM70" s="1260"/>
      <c r="BN70" s="1260"/>
      <c r="BO70" s="1260"/>
      <c r="BP70" s="1260"/>
      <c r="BQ70" s="1260"/>
      <c r="BR70" s="1260"/>
      <c r="BS70" s="1260"/>
      <c r="BT70" s="1260"/>
      <c r="BU70" s="1260"/>
      <c r="BV70" s="1260"/>
      <c r="BW70" s="1260"/>
      <c r="BX70" s="1260"/>
      <c r="BY70" s="1260"/>
      <c r="BZ70" s="1260"/>
      <c r="CA70" s="1260"/>
      <c r="CB70" s="1260"/>
      <c r="CC70" s="1260"/>
      <c r="CD70" s="1260"/>
      <c r="CE70" s="1260"/>
      <c r="CF70" s="1260"/>
      <c r="CG70" s="1260"/>
      <c r="CH70" s="1260"/>
      <c r="CI70" s="1260"/>
      <c r="CJ70" s="1260"/>
      <c r="CK70" s="1260"/>
      <c r="CL70" s="1260"/>
      <c r="CM70" s="1260"/>
      <c r="CN70" s="1260"/>
      <c r="CO70" s="1260"/>
      <c r="CP70" s="1260"/>
      <c r="CQ70" s="1260"/>
      <c r="CR70" s="1260"/>
      <c r="CS70" s="1260"/>
      <c r="CT70" s="1260"/>
      <c r="CU70" s="1260"/>
      <c r="CV70" s="1260"/>
      <c r="CW70" s="1260"/>
      <c r="CX70" s="1260"/>
    </row>
    <row r="71" spans="1:102">
      <c r="A71" s="1622" t="s">
        <v>1249</v>
      </c>
      <c r="B71" s="1267" t="s">
        <v>1250</v>
      </c>
      <c r="C71" s="1268">
        <v>40000</v>
      </c>
      <c r="D71" s="1269"/>
      <c r="E71" s="1270"/>
      <c r="F71" s="1270"/>
      <c r="G71" s="1270"/>
      <c r="H71" s="1270"/>
      <c r="I71" s="1270"/>
      <c r="J71" s="1270"/>
      <c r="K71" s="1270"/>
      <c r="L71" s="1270"/>
      <c r="M71" s="1270"/>
      <c r="N71" s="1270"/>
      <c r="O71" s="1270"/>
      <c r="P71" s="1270"/>
      <c r="Q71" s="1270"/>
      <c r="R71" s="1270"/>
      <c r="S71" s="1270"/>
      <c r="T71" s="1270"/>
      <c r="U71" s="1270"/>
      <c r="V71" s="1271"/>
      <c r="W71" s="1271"/>
      <c r="X71" s="1271"/>
      <c r="Y71" s="1259"/>
      <c r="Z71" s="1260"/>
      <c r="AA71" s="1260"/>
      <c r="AB71" s="1260"/>
      <c r="AC71" s="1260"/>
      <c r="AD71" s="1260"/>
      <c r="AE71" s="1260"/>
      <c r="AF71" s="1260"/>
      <c r="AG71" s="1260"/>
      <c r="AH71" s="1260"/>
      <c r="AI71" s="1260"/>
      <c r="AJ71" s="1260"/>
      <c r="AK71" s="1260"/>
      <c r="AL71" s="1260"/>
      <c r="AM71" s="1260"/>
      <c r="AN71" s="1260"/>
      <c r="AO71" s="1260"/>
      <c r="AP71" s="1260"/>
      <c r="AQ71" s="1260"/>
      <c r="AR71" s="1260"/>
      <c r="AS71" s="1260"/>
      <c r="AT71" s="1260"/>
      <c r="AU71" s="1260"/>
      <c r="AV71" s="1260"/>
      <c r="AW71" s="1260"/>
      <c r="AX71" s="1260"/>
      <c r="AY71" s="1260"/>
      <c r="AZ71" s="1260"/>
      <c r="BA71" s="1260"/>
      <c r="BB71" s="1260"/>
      <c r="BC71" s="1260"/>
      <c r="BD71" s="1260"/>
      <c r="BE71" s="1260"/>
      <c r="BF71" s="1260"/>
      <c r="BG71" s="1260"/>
      <c r="BH71" s="1260"/>
      <c r="BI71" s="1260"/>
      <c r="BJ71" s="1260"/>
      <c r="BK71" s="1260"/>
      <c r="BL71" s="1260"/>
      <c r="BM71" s="1260"/>
      <c r="BN71" s="1260"/>
      <c r="BO71" s="1260"/>
      <c r="BP71" s="1260"/>
      <c r="BQ71" s="1260"/>
      <c r="BR71" s="1260"/>
      <c r="BS71" s="1260"/>
      <c r="BT71" s="1260"/>
      <c r="BU71" s="1260"/>
      <c r="BV71" s="1260"/>
      <c r="BW71" s="1260"/>
      <c r="BX71" s="1260"/>
      <c r="BY71" s="1260"/>
      <c r="BZ71" s="1260"/>
      <c r="CA71" s="1260"/>
      <c r="CB71" s="1260"/>
      <c r="CC71" s="1260"/>
      <c r="CD71" s="1260"/>
      <c r="CE71" s="1260"/>
      <c r="CF71" s="1260"/>
      <c r="CG71" s="1260"/>
      <c r="CH71" s="1260"/>
      <c r="CI71" s="1260"/>
      <c r="CJ71" s="1260"/>
      <c r="CK71" s="1260"/>
      <c r="CL71" s="1260"/>
      <c r="CM71" s="1260"/>
      <c r="CN71" s="1260"/>
      <c r="CO71" s="1260"/>
      <c r="CP71" s="1260"/>
      <c r="CQ71" s="1260"/>
      <c r="CR71" s="1260"/>
      <c r="CS71" s="1260"/>
      <c r="CT71" s="1260"/>
      <c r="CU71" s="1260"/>
      <c r="CV71" s="1260"/>
      <c r="CW71" s="1260"/>
      <c r="CX71" s="1260"/>
    </row>
    <row r="72" spans="1:102">
      <c r="A72" s="1622"/>
      <c r="B72" s="1267" t="s">
        <v>1251</v>
      </c>
      <c r="C72" s="1268">
        <v>45000</v>
      </c>
      <c r="D72" s="1269"/>
      <c r="E72" s="1270"/>
      <c r="F72" s="1270"/>
      <c r="G72" s="1270"/>
      <c r="H72" s="1270"/>
      <c r="I72" s="1270"/>
      <c r="J72" s="1270"/>
      <c r="K72" s="1270"/>
      <c r="L72" s="1270"/>
      <c r="M72" s="1270"/>
      <c r="N72" s="1270"/>
      <c r="O72" s="1270"/>
      <c r="P72" s="1270"/>
      <c r="Q72" s="1270"/>
      <c r="R72" s="1270"/>
      <c r="S72" s="1270"/>
      <c r="T72" s="1270"/>
      <c r="U72" s="1270"/>
      <c r="V72" s="1271"/>
      <c r="W72" s="1271"/>
      <c r="X72" s="1271"/>
      <c r="Y72" s="1270"/>
    </row>
    <row r="73" spans="1:102">
      <c r="A73" s="1272" t="s">
        <v>1252</v>
      </c>
      <c r="B73" s="1273"/>
      <c r="C73" s="1268">
        <f>+(C72-C71)/2+C71</f>
        <v>42500</v>
      </c>
      <c r="D73" s="1269"/>
      <c r="E73" s="1270"/>
      <c r="F73" s="1270"/>
      <c r="G73" s="1270"/>
      <c r="H73" s="1270"/>
      <c r="I73" s="1270"/>
      <c r="J73" s="1270"/>
      <c r="K73" s="1270"/>
      <c r="L73" s="1270"/>
      <c r="M73" s="1270"/>
      <c r="N73" s="1270"/>
      <c r="O73" s="1270"/>
      <c r="P73" s="1270"/>
      <c r="Q73" s="1270"/>
      <c r="R73" s="1270"/>
      <c r="S73" s="1270"/>
      <c r="T73" s="1270"/>
      <c r="U73" s="1270"/>
      <c r="V73" s="1271"/>
      <c r="W73" s="1271"/>
      <c r="X73" s="1271"/>
      <c r="Y73" s="1270"/>
    </row>
    <row r="74" spans="1:102">
      <c r="A74" s="1272" t="s">
        <v>1253</v>
      </c>
      <c r="B74" s="1273"/>
      <c r="C74" s="1274"/>
      <c r="D74" s="1275">
        <f>IF(D76&gt;D75,(D76-D75)+D$2*1000+D$3*1000,(D75-D76)+D$2*1000+D$4*1000)/1000</f>
        <v>93.128</v>
      </c>
      <c r="E74" s="1276">
        <f t="shared" ref="E74:X74" si="13">IF(E76&gt;E75,(E76-E75)+E$2*1000+E$3*1000,(E75-E76)+E$2*1000+E$4*1000)/1000</f>
        <v>88.748000000000005</v>
      </c>
      <c r="F74" s="1276">
        <f t="shared" si="13"/>
        <v>86.918000000000006</v>
      </c>
      <c r="G74" s="1276">
        <f t="shared" si="13"/>
        <v>80.427999999999997</v>
      </c>
      <c r="H74" s="1276">
        <f t="shared" si="13"/>
        <v>81.427999999999997</v>
      </c>
      <c r="I74" s="1276">
        <f t="shared" si="13"/>
        <v>71.054000000000016</v>
      </c>
      <c r="J74" s="1276">
        <f t="shared" si="13"/>
        <v>60.328000000000003</v>
      </c>
      <c r="K74" s="1276">
        <f t="shared" si="13"/>
        <v>67.918000000000006</v>
      </c>
      <c r="L74" s="1276">
        <f t="shared" si="13"/>
        <v>40.85</v>
      </c>
      <c r="M74" s="1276">
        <f t="shared" si="13"/>
        <v>22</v>
      </c>
      <c r="N74" s="1276">
        <f t="shared" si="13"/>
        <v>22.3</v>
      </c>
      <c r="O74" s="1276">
        <f t="shared" si="13"/>
        <v>10</v>
      </c>
      <c r="P74" s="1276">
        <f t="shared" si="13"/>
        <v>16.948</v>
      </c>
      <c r="Q74" s="1276">
        <f t="shared" si="13"/>
        <v>3.2</v>
      </c>
      <c r="R74" s="1276">
        <f t="shared" si="13"/>
        <v>0.5</v>
      </c>
      <c r="S74" s="1276">
        <f t="shared" si="13"/>
        <v>6.5</v>
      </c>
      <c r="T74" s="1276">
        <f t="shared" si="13"/>
        <v>7.5</v>
      </c>
      <c r="U74" s="1276">
        <f t="shared" si="13"/>
        <v>12.5</v>
      </c>
      <c r="V74" s="1277">
        <f t="shared" si="13"/>
        <v>40.85</v>
      </c>
      <c r="W74" s="1277">
        <f t="shared" si="13"/>
        <v>0.5</v>
      </c>
      <c r="X74" s="1277">
        <f t="shared" si="13"/>
        <v>78.427999999999997</v>
      </c>
      <c r="Y74" s="1270"/>
    </row>
    <row r="75" spans="1:102" hidden="1">
      <c r="A75" s="1278" t="s">
        <v>1254</v>
      </c>
      <c r="B75" s="1279"/>
      <c r="C75" s="1280"/>
      <c r="D75" s="1200">
        <f>+IF($C70=4510,IF(D$6=4510,$C73,$C73),IF(D$6=4511,$C73+134328,134328+$C73))</f>
        <v>176828</v>
      </c>
      <c r="E75" s="1200">
        <f t="shared" ref="E75:X75" si="14">+IF($C70=4510,IF(E$6=4510,$C73,$C73),IF(E$6=4511,$C73+134328,134328+$C73))</f>
        <v>176828</v>
      </c>
      <c r="F75" s="1200">
        <f t="shared" si="14"/>
        <v>176828</v>
      </c>
      <c r="G75" s="1200">
        <f t="shared" si="14"/>
        <v>176828</v>
      </c>
      <c r="H75" s="1200">
        <f t="shared" si="14"/>
        <v>176828</v>
      </c>
      <c r="I75" s="1200">
        <f t="shared" si="14"/>
        <v>176828</v>
      </c>
      <c r="J75" s="1200">
        <f t="shared" si="14"/>
        <v>176828</v>
      </c>
      <c r="K75" s="1200">
        <f t="shared" si="14"/>
        <v>176828</v>
      </c>
      <c r="L75" s="1200">
        <f t="shared" si="14"/>
        <v>176828</v>
      </c>
      <c r="M75" s="1200">
        <f t="shared" si="14"/>
        <v>176828</v>
      </c>
      <c r="N75" s="1200">
        <f t="shared" si="14"/>
        <v>176828</v>
      </c>
      <c r="O75" s="1200">
        <f t="shared" si="14"/>
        <v>176828</v>
      </c>
      <c r="P75" s="1200">
        <f t="shared" si="14"/>
        <v>176828</v>
      </c>
      <c r="Q75" s="1200">
        <f t="shared" si="14"/>
        <v>176828</v>
      </c>
      <c r="R75" s="1200">
        <f t="shared" si="14"/>
        <v>176828</v>
      </c>
      <c r="S75" s="1200">
        <f t="shared" si="14"/>
        <v>176828</v>
      </c>
      <c r="T75" s="1200">
        <f t="shared" si="14"/>
        <v>176828</v>
      </c>
      <c r="U75" s="1200">
        <f t="shared" si="14"/>
        <v>176828</v>
      </c>
      <c r="V75" s="1281">
        <f t="shared" si="14"/>
        <v>176828</v>
      </c>
      <c r="W75" s="1281">
        <f t="shared" si="14"/>
        <v>176828</v>
      </c>
      <c r="X75" s="1281">
        <f t="shared" si="14"/>
        <v>176828</v>
      </c>
      <c r="Y75" s="1270"/>
    </row>
    <row r="76" spans="1:102" hidden="1">
      <c r="A76" s="1278" t="s">
        <v>1255</v>
      </c>
      <c r="B76" s="1279"/>
      <c r="C76" s="1280"/>
      <c r="D76" s="1200">
        <f>+IF($C70=4510,IF(D$6=4510,D$5,D$5+134328),IF(D$6=4511,D$5+134328,D$5))</f>
        <v>83700</v>
      </c>
      <c r="E76" s="1200">
        <f t="shared" ref="E76:X76" si="15">+IF($C70=4510,IF(E$6=4510,E$5,E$5+134328),IF(E$6=4511,E$5+134328,E$5))</f>
        <v>88080</v>
      </c>
      <c r="F76" s="1200">
        <f t="shared" si="15"/>
        <v>89910</v>
      </c>
      <c r="G76" s="1200">
        <f t="shared" si="15"/>
        <v>98400</v>
      </c>
      <c r="H76" s="1200">
        <f t="shared" si="15"/>
        <v>98400</v>
      </c>
      <c r="I76" s="1200">
        <f t="shared" si="15"/>
        <v>113610</v>
      </c>
      <c r="J76" s="1200">
        <f t="shared" si="15"/>
        <v>116500</v>
      </c>
      <c r="K76" s="1200">
        <f t="shared" si="15"/>
        <v>108910</v>
      </c>
      <c r="L76" s="1200">
        <f t="shared" si="15"/>
        <v>135978</v>
      </c>
      <c r="M76" s="1200">
        <f t="shared" si="15"/>
        <v>154828</v>
      </c>
      <c r="N76" s="1200">
        <f t="shared" si="15"/>
        <v>156528</v>
      </c>
      <c r="O76" s="1200">
        <f t="shared" si="15"/>
        <v>166828</v>
      </c>
      <c r="P76" s="1200">
        <f t="shared" si="15"/>
        <v>170628</v>
      </c>
      <c r="Q76" s="1200">
        <f t="shared" si="15"/>
        <v>173628</v>
      </c>
      <c r="R76" s="1200">
        <f t="shared" si="15"/>
        <v>177328</v>
      </c>
      <c r="S76" s="1200">
        <f t="shared" si="15"/>
        <v>183328</v>
      </c>
      <c r="T76" s="1200">
        <f t="shared" si="15"/>
        <v>184328</v>
      </c>
      <c r="U76" s="1200">
        <f t="shared" si="15"/>
        <v>189328</v>
      </c>
      <c r="V76" s="1281">
        <f t="shared" si="15"/>
        <v>135978</v>
      </c>
      <c r="W76" s="1281">
        <f t="shared" si="15"/>
        <v>177328</v>
      </c>
      <c r="X76" s="1281">
        <f t="shared" si="15"/>
        <v>98400</v>
      </c>
      <c r="Y76" s="1270"/>
    </row>
    <row r="77" spans="1:102">
      <c r="A77" s="1623" t="s">
        <v>1266</v>
      </c>
      <c r="B77" s="1267" t="s">
        <v>1257</v>
      </c>
      <c r="C77" s="1282" t="e">
        <f>+#REF!</f>
        <v>#REF!</v>
      </c>
      <c r="D77" s="1236"/>
      <c r="E77" s="1237"/>
      <c r="F77" s="1237"/>
      <c r="G77" s="1237"/>
      <c r="H77" s="1237"/>
      <c r="I77" s="1237"/>
      <c r="J77" s="1237"/>
      <c r="K77" s="1237"/>
      <c r="L77" s="1237"/>
      <c r="M77" s="1237"/>
      <c r="N77" s="1237"/>
      <c r="O77" s="1237"/>
      <c r="P77" s="1237"/>
      <c r="Q77" s="1237"/>
      <c r="R77" s="1237" t="e">
        <f>$C77*#REF!*#REF!</f>
        <v>#REF!</v>
      </c>
      <c r="S77" s="1237"/>
      <c r="T77" s="1237"/>
      <c r="U77" s="1237"/>
      <c r="V77" s="1283"/>
      <c r="W77" s="1283"/>
      <c r="X77" s="1283"/>
      <c r="Y77" s="1284" t="e">
        <f>+SUMPRODUCT(D77:X77,D74:X74)</f>
        <v>#REF!</v>
      </c>
      <c r="Z77" s="1236" t="e">
        <f>$C77*#REF!*#REF!</f>
        <v>#REF!</v>
      </c>
      <c r="AB77" s="1296"/>
    </row>
    <row r="78" spans="1:102">
      <c r="A78" s="1623"/>
      <c r="B78" s="1267" t="s">
        <v>1258</v>
      </c>
      <c r="C78" s="1282" t="e">
        <f>+#REF!</f>
        <v>#REF!</v>
      </c>
      <c r="D78" s="1236"/>
      <c r="E78" s="1237"/>
      <c r="F78" s="1237"/>
      <c r="G78" s="1237"/>
      <c r="H78" s="1237"/>
      <c r="I78" s="1237"/>
      <c r="J78" s="1237"/>
      <c r="K78" s="1237"/>
      <c r="L78" s="1237"/>
      <c r="M78" s="1237"/>
      <c r="N78" s="1237"/>
      <c r="O78" s="1237"/>
      <c r="P78" s="1237"/>
      <c r="Q78" s="1237"/>
      <c r="R78" s="1237" t="e">
        <f>$C78*#REF!*#REF!</f>
        <v>#REF!</v>
      </c>
      <c r="S78" s="1237"/>
      <c r="T78" s="1237"/>
      <c r="U78" s="1237"/>
      <c r="V78" s="1283"/>
      <c r="W78" s="1283"/>
      <c r="X78" s="1283"/>
      <c r="Y78" s="1284" t="e">
        <f>+SUMPRODUCT(D78:X78,D74:X74)</f>
        <v>#REF!</v>
      </c>
      <c r="Z78" s="1236" t="e">
        <f>$C78*#REF!*#REF!</f>
        <v>#REF!</v>
      </c>
    </row>
    <row r="79" spans="1:102">
      <c r="A79" s="1623"/>
      <c r="B79" s="1267" t="s">
        <v>1259</v>
      </c>
      <c r="C79" s="1282" t="e">
        <f>+#REF!</f>
        <v>#REF!</v>
      </c>
      <c r="D79" s="1236"/>
      <c r="E79" s="1237"/>
      <c r="F79" s="1237"/>
      <c r="G79" s="1237"/>
      <c r="H79" s="1237"/>
      <c r="I79" s="1237"/>
      <c r="J79" s="1237"/>
      <c r="K79" s="1237"/>
      <c r="L79" s="1237"/>
      <c r="M79" s="1237"/>
      <c r="N79" s="1237"/>
      <c r="O79" s="1237"/>
      <c r="P79" s="1237"/>
      <c r="Q79" s="1237"/>
      <c r="R79" s="1237"/>
      <c r="S79" s="1237"/>
      <c r="T79" s="1237"/>
      <c r="U79" s="1237"/>
      <c r="V79" s="1283"/>
      <c r="W79" s="1283" t="e">
        <f>+$C79*#REF!*#REF!</f>
        <v>#REF!</v>
      </c>
      <c r="X79" s="1283"/>
      <c r="Y79" s="1284" t="e">
        <f>+SUMPRODUCT(D79:X79,D74:X74)</f>
        <v>#REF!</v>
      </c>
      <c r="Z79" s="1236" t="e">
        <f>+$C79*#REF!*#REF!</f>
        <v>#REF!</v>
      </c>
    </row>
    <row r="80" spans="1:102">
      <c r="A80" s="1623"/>
      <c r="B80" s="1267" t="s">
        <v>1260</v>
      </c>
      <c r="C80" s="1282" t="e">
        <f>+#REF!</f>
        <v>#REF!</v>
      </c>
      <c r="D80" s="1236"/>
      <c r="E80" s="1237"/>
      <c r="F80" s="1237"/>
      <c r="G80" s="1237"/>
      <c r="H80" s="1237"/>
      <c r="I80" s="1237"/>
      <c r="J80" s="1237"/>
      <c r="K80" s="1237"/>
      <c r="L80" s="1237"/>
      <c r="M80" s="1237"/>
      <c r="N80" s="1237"/>
      <c r="O80" s="1237"/>
      <c r="P80" s="1237"/>
      <c r="Q80" s="1237"/>
      <c r="R80" s="1237"/>
      <c r="S80" s="1237"/>
      <c r="T80" s="1237"/>
      <c r="U80" s="1237"/>
      <c r="V80" s="1283"/>
      <c r="W80" s="1283" t="e">
        <f>+$C80*#REF!*#REF!</f>
        <v>#REF!</v>
      </c>
      <c r="X80" s="1283"/>
      <c r="Y80" s="1284" t="e">
        <f>+SUMPRODUCT(D80:X80,D74:X74)</f>
        <v>#REF!</v>
      </c>
      <c r="Z80" s="1236" t="e">
        <f>+$C80*#REF!*#REF!</f>
        <v>#REF!</v>
      </c>
    </row>
    <row r="81" spans="1:26">
      <c r="A81" s="1624"/>
      <c r="B81" s="1292" t="s">
        <v>1261</v>
      </c>
      <c r="C81" s="1293" t="e">
        <f>+#REF!</f>
        <v>#REF!</v>
      </c>
      <c r="D81" s="1243"/>
      <c r="E81" s="1244"/>
      <c r="F81" s="1244"/>
      <c r="G81" s="1244"/>
      <c r="H81" s="1244"/>
      <c r="I81" s="1244"/>
      <c r="J81" s="1244"/>
      <c r="K81" s="1244"/>
      <c r="L81" s="1244"/>
      <c r="M81" s="1244"/>
      <c r="N81" s="1244"/>
      <c r="O81" s="1244"/>
      <c r="P81" s="1244"/>
      <c r="Q81" s="1244"/>
      <c r="R81" s="1244"/>
      <c r="S81" s="1244"/>
      <c r="T81" s="1244"/>
      <c r="U81" s="1244"/>
      <c r="V81" s="1294"/>
      <c r="W81" s="1294"/>
      <c r="X81" s="1294" t="e">
        <f>+$C81*#REF!*#REF!</f>
        <v>#REF!</v>
      </c>
      <c r="Y81" s="1284" t="e">
        <f>+SUMPRODUCT(D81:X81,D74:X74)</f>
        <v>#REF!</v>
      </c>
      <c r="Z81" s="1243" t="e">
        <f>+$C81*#REF!*#REF!</f>
        <v>#REF!</v>
      </c>
    </row>
    <row r="82" spans="1:26">
      <c r="A82" s="1187"/>
    </row>
    <row r="83" spans="1:26">
      <c r="B83" s="1267" t="s">
        <v>1257</v>
      </c>
      <c r="C83" s="1296" t="e">
        <f>+SUMIFS($C$23:$C$81,$B$23:$B$81,B83)</f>
        <v>#REF!</v>
      </c>
      <c r="D83" s="1298"/>
      <c r="E83" s="1299"/>
      <c r="F83" s="1299"/>
      <c r="G83" s="1299"/>
      <c r="H83" s="1299"/>
      <c r="I83" s="1299"/>
      <c r="J83" s="1299"/>
      <c r="K83" s="1299"/>
      <c r="L83" s="1299"/>
      <c r="M83" s="1299"/>
      <c r="N83" s="1299"/>
      <c r="O83" s="1299"/>
      <c r="P83" s="1299"/>
      <c r="Q83" s="1299"/>
      <c r="R83" s="1299"/>
      <c r="S83" s="1299"/>
      <c r="T83" s="1299"/>
      <c r="U83" s="1299"/>
      <c r="V83" s="1300"/>
      <c r="W83" s="1300"/>
      <c r="X83" s="1300"/>
      <c r="Y83" s="1270"/>
    </row>
    <row r="84" spans="1:26">
      <c r="B84" s="1267" t="s">
        <v>1258</v>
      </c>
      <c r="C84" s="1296" t="e">
        <f t="shared" ref="C84:C88" si="16">+SUMIFS($C$23:$C$81,$B$23:$B$81,B84)</f>
        <v>#REF!</v>
      </c>
    </row>
    <row r="85" spans="1:26">
      <c r="B85" s="1267" t="s">
        <v>1259</v>
      </c>
      <c r="C85" s="1296" t="e">
        <f t="shared" si="16"/>
        <v>#REF!</v>
      </c>
    </row>
    <row r="86" spans="1:26">
      <c r="B86" s="1267" t="s">
        <v>1260</v>
      </c>
      <c r="C86" s="1296" t="e">
        <f t="shared" si="16"/>
        <v>#REF!</v>
      </c>
    </row>
    <row r="87" spans="1:26">
      <c r="B87" s="1267" t="s">
        <v>1261</v>
      </c>
      <c r="C87" s="1296" t="e">
        <f t="shared" si="16"/>
        <v>#REF!</v>
      </c>
    </row>
    <row r="88" spans="1:26">
      <c r="B88" s="1285" t="s">
        <v>1262</v>
      </c>
      <c r="C88" s="1296" t="e">
        <f t="shared" si="16"/>
        <v>#REF!</v>
      </c>
    </row>
  </sheetData>
  <mergeCells count="26">
    <mergeCell ref="A14:C14"/>
    <mergeCell ref="A1:C1"/>
    <mergeCell ref="Y1:Y12"/>
    <mergeCell ref="A2:C2"/>
    <mergeCell ref="A3:B4"/>
    <mergeCell ref="A5:C5"/>
    <mergeCell ref="A6:C6"/>
    <mergeCell ref="A7:C7"/>
    <mergeCell ref="A8:C8"/>
    <mergeCell ref="G8:H8"/>
    <mergeCell ref="M8:N8"/>
    <mergeCell ref="A9:C9"/>
    <mergeCell ref="A10:C10"/>
    <mergeCell ref="A11:C11"/>
    <mergeCell ref="A12:C12"/>
    <mergeCell ref="A13:C13"/>
    <mergeCell ref="A58:A59"/>
    <mergeCell ref="A64:A68"/>
    <mergeCell ref="A71:A72"/>
    <mergeCell ref="A77:A81"/>
    <mergeCell ref="A17:A18"/>
    <mergeCell ref="A23:A28"/>
    <mergeCell ref="A31:A32"/>
    <mergeCell ref="A37:A42"/>
    <mergeCell ref="A45:A46"/>
    <mergeCell ref="A51:A55"/>
  </mergeCells>
  <conditionalFormatting sqref="D20:U20">
    <cfRule type="colorScale" priority="7">
      <colorScale>
        <cfvo type="min"/>
        <cfvo type="percentile" val="50"/>
        <cfvo type="max"/>
        <color rgb="FF63BE7B"/>
        <color rgb="FFFFEB84"/>
        <color rgb="FFF8696B"/>
      </colorScale>
    </cfRule>
  </conditionalFormatting>
  <conditionalFormatting sqref="D34:U34">
    <cfRule type="colorScale" priority="6">
      <colorScale>
        <cfvo type="min"/>
        <cfvo type="percentile" val="50"/>
        <cfvo type="max"/>
        <color rgb="FF63BE7B"/>
        <color rgb="FFFFEB84"/>
        <color rgb="FFF8696B"/>
      </colorScale>
    </cfRule>
  </conditionalFormatting>
  <conditionalFormatting sqref="D48:U48">
    <cfRule type="colorScale" priority="5">
      <colorScale>
        <cfvo type="min"/>
        <cfvo type="percentile" val="50"/>
        <cfvo type="max"/>
        <color rgb="FF63BE7B"/>
        <color rgb="FFFFEB84"/>
        <color rgb="FFF8696B"/>
      </colorScale>
    </cfRule>
  </conditionalFormatting>
  <conditionalFormatting sqref="D61:U61">
    <cfRule type="colorScale" priority="4">
      <colorScale>
        <cfvo type="min"/>
        <cfvo type="percentile" val="50"/>
        <cfvo type="max"/>
        <color rgb="FF63BE7B"/>
        <color rgb="FFFFEB84"/>
        <color rgb="FFF8696B"/>
      </colorScale>
    </cfRule>
  </conditionalFormatting>
  <conditionalFormatting sqref="D74:U74">
    <cfRule type="colorScale" priority="3">
      <colorScale>
        <cfvo type="min"/>
        <cfvo type="percentile" val="50"/>
        <cfvo type="max"/>
        <color rgb="FF63BE7B"/>
        <color rgb="FFFFEB84"/>
        <color rgb="FFF8696B"/>
      </colorScale>
    </cfRule>
  </conditionalFormatting>
  <conditionalFormatting sqref="D13">
    <cfRule type="cellIs" priority="2" operator="greaterThan">
      <formula>D10*0.8</formula>
    </cfRule>
  </conditionalFormatting>
  <conditionalFormatting sqref="E13:U13">
    <cfRule type="cellIs" priority="1" operator="greaterThan">
      <formula>E10*0.8</formula>
    </cfRule>
  </conditionalFormatting>
  <pageMargins left="0.7" right="0.7" top="0.75" bottom="0.75" header="0.3" footer="0.3"/>
  <pageSetup scale="2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DI100"/>
  <sheetViews>
    <sheetView view="pageBreakPreview" zoomScale="85" zoomScaleNormal="85" zoomScaleSheetLayoutView="85" workbookViewId="0">
      <pane xSplit="3" ySplit="14" topLeftCell="D15" activePane="bottomRight" state="frozen"/>
      <selection activeCell="A214" sqref="A1:XFD1048576"/>
      <selection pane="topRight" activeCell="A214" sqref="A1:XFD1048576"/>
      <selection pane="bottomLeft" activeCell="A214" sqref="A1:XFD1048576"/>
      <selection pane="bottomRight" activeCell="A9" sqref="A9:C9"/>
    </sheetView>
  </sheetViews>
  <sheetFormatPr baseColWidth="10" defaultColWidth="11.42578125" defaultRowHeight="15"/>
  <cols>
    <col min="1" max="1" width="11.85546875" style="1185" customWidth="1"/>
    <col min="2" max="2" width="12.85546875" style="1185" customWidth="1"/>
    <col min="3" max="3" width="11.42578125" style="1185"/>
    <col min="4" max="4" width="11.28515625" style="1392" customWidth="1"/>
    <col min="5" max="5" width="11.28515625" style="1392" hidden="1" customWidth="1"/>
    <col min="6" max="9" width="14.42578125" style="1185" hidden="1" customWidth="1"/>
    <col min="10" max="10" width="14.42578125" style="1393" hidden="1" customWidth="1"/>
    <col min="11" max="13" width="14.42578125" style="1185" hidden="1" customWidth="1"/>
    <col min="14" max="14" width="14.42578125" style="1185" customWidth="1"/>
    <col min="15" max="15" width="14.42578125" style="1185" hidden="1" customWidth="1"/>
    <col min="16" max="16" width="14.42578125" style="1185" customWidth="1"/>
    <col min="17" max="17" width="14.42578125" style="1393" hidden="1" customWidth="1"/>
    <col min="18" max="21" width="14.42578125" style="1185" hidden="1" customWidth="1"/>
    <col min="22" max="22" width="14.42578125" style="1185" customWidth="1"/>
    <col min="23" max="29" width="14.42578125" style="1185" hidden="1" customWidth="1"/>
    <col min="30" max="30" width="21.5703125" style="1319" customWidth="1"/>
    <col min="31" max="31" width="22" style="1319" customWidth="1"/>
    <col min="32" max="32" width="17.28515625" style="1319" customWidth="1"/>
    <col min="33" max="33" width="21.28515625" style="1319" customWidth="1"/>
    <col min="34" max="34" width="21.5703125" style="1319" customWidth="1"/>
    <col min="35" max="35" width="9.28515625" style="1185" customWidth="1"/>
    <col min="36" max="16384" width="11.42578125" style="1185"/>
  </cols>
  <sheetData>
    <row r="1" spans="1:113" s="1193" customFormat="1" ht="45">
      <c r="A1" s="1630" t="s">
        <v>1199</v>
      </c>
      <c r="B1" s="1631"/>
      <c r="C1" s="1632"/>
      <c r="D1" s="1320" t="s">
        <v>1270</v>
      </c>
      <c r="E1" s="1321" t="s">
        <v>1271</v>
      </c>
      <c r="F1" s="1190" t="s">
        <v>1272</v>
      </c>
      <c r="G1" s="1190" t="s">
        <v>1273</v>
      </c>
      <c r="H1" s="1190" t="s">
        <v>1274</v>
      </c>
      <c r="I1" s="1190" t="s">
        <v>1275</v>
      </c>
      <c r="J1" s="1322" t="s">
        <v>1276</v>
      </c>
      <c r="K1" s="1190" t="s">
        <v>1277</v>
      </c>
      <c r="L1" s="1190" t="s">
        <v>1278</v>
      </c>
      <c r="M1" s="1190" t="s">
        <v>1279</v>
      </c>
      <c r="N1" s="1190" t="s">
        <v>1280</v>
      </c>
      <c r="O1" s="1190" t="s">
        <v>1281</v>
      </c>
      <c r="P1" s="1190" t="s">
        <v>1282</v>
      </c>
      <c r="Q1" s="1322" t="s">
        <v>1283</v>
      </c>
      <c r="R1" s="1190" t="s">
        <v>1284</v>
      </c>
      <c r="S1" s="1190" t="s">
        <v>1285</v>
      </c>
      <c r="T1" s="1190" t="s">
        <v>1286</v>
      </c>
      <c r="U1" s="1190" t="s">
        <v>1287</v>
      </c>
      <c r="V1" s="1190" t="s">
        <v>1288</v>
      </c>
      <c r="W1" s="1190" t="s">
        <v>1289</v>
      </c>
      <c r="X1" s="1190" t="s">
        <v>1290</v>
      </c>
      <c r="Y1" s="1190" t="s">
        <v>1291</v>
      </c>
      <c r="Z1" s="1190" t="s">
        <v>1292</v>
      </c>
      <c r="AA1" s="1190" t="s">
        <v>1293</v>
      </c>
      <c r="AB1" s="1190" t="s">
        <v>1294</v>
      </c>
      <c r="AC1" s="1190" t="s">
        <v>1295</v>
      </c>
      <c r="AD1" s="1301" t="s">
        <v>1296</v>
      </c>
      <c r="AE1" s="1301" t="s">
        <v>1297</v>
      </c>
      <c r="AF1" s="1301" t="s">
        <v>1298</v>
      </c>
      <c r="AG1" s="1301" t="s">
        <v>1299</v>
      </c>
      <c r="AH1" s="1301" t="s">
        <v>1300</v>
      </c>
      <c r="AI1" s="1633" t="s">
        <v>1221</v>
      </c>
    </row>
    <row r="2" spans="1:113" s="957" customFormat="1">
      <c r="A2" s="1636" t="s">
        <v>1222</v>
      </c>
      <c r="B2" s="1637"/>
      <c r="C2" s="1638"/>
      <c r="D2" s="1323"/>
      <c r="E2" s="1324"/>
      <c r="F2" s="1195"/>
      <c r="G2" s="1195">
        <v>1</v>
      </c>
      <c r="H2" s="1195"/>
      <c r="I2" s="1195">
        <v>1</v>
      </c>
      <c r="J2" s="1325"/>
      <c r="K2" s="1195"/>
      <c r="L2" s="1195"/>
      <c r="M2" s="1195">
        <v>4.5</v>
      </c>
      <c r="N2" s="1195"/>
      <c r="O2" s="1195"/>
      <c r="P2" s="1195">
        <v>0.5</v>
      </c>
      <c r="Q2" s="1325"/>
      <c r="R2" s="1195">
        <v>1.3</v>
      </c>
      <c r="S2" s="1195">
        <v>3</v>
      </c>
      <c r="T2" s="1195">
        <v>1.8</v>
      </c>
      <c r="U2" s="1195">
        <v>1.4</v>
      </c>
      <c r="V2" s="1195">
        <v>2.2999999999999998</v>
      </c>
      <c r="W2" s="1195"/>
      <c r="X2" s="1195"/>
      <c r="Y2" s="1195">
        <v>1</v>
      </c>
      <c r="Z2" s="1195">
        <v>3.8</v>
      </c>
      <c r="AA2" s="1195">
        <v>1.2</v>
      </c>
      <c r="AB2" s="1195"/>
      <c r="AC2" s="1195">
        <v>6.5</v>
      </c>
      <c r="AD2" s="1302"/>
      <c r="AE2" s="1302"/>
      <c r="AF2" s="1302"/>
      <c r="AG2" s="1302"/>
      <c r="AH2" s="1302">
        <v>6</v>
      </c>
      <c r="AI2" s="1634"/>
    </row>
    <row r="3" spans="1:113" s="957" customFormat="1" ht="15" customHeight="1">
      <c r="A3" s="1639" t="s">
        <v>1223</v>
      </c>
      <c r="B3" s="1640"/>
      <c r="C3" s="1198" t="s">
        <v>1224</v>
      </c>
      <c r="D3" s="1323"/>
      <c r="E3" s="1324"/>
      <c r="F3" s="1195"/>
      <c r="G3" s="1195"/>
      <c r="H3" s="1195"/>
      <c r="I3" s="1195"/>
      <c r="J3" s="1325"/>
      <c r="K3" s="1195"/>
      <c r="L3" s="1195"/>
      <c r="M3" s="1195"/>
      <c r="N3" s="1199"/>
      <c r="O3" s="1195"/>
      <c r="P3" s="1195"/>
      <c r="Q3" s="1325"/>
      <c r="R3" s="1195"/>
      <c r="S3" s="1195"/>
      <c r="T3" s="1195"/>
      <c r="U3" s="1199"/>
      <c r="V3" s="1195"/>
      <c r="W3" s="1195"/>
      <c r="X3" s="1195"/>
      <c r="Y3" s="1195"/>
      <c r="Z3" s="1195"/>
      <c r="AA3" s="1195"/>
      <c r="AB3" s="1195"/>
      <c r="AC3" s="1195"/>
      <c r="AD3" s="1302"/>
      <c r="AE3" s="1302"/>
      <c r="AF3" s="1302"/>
      <c r="AG3" s="1302"/>
      <c r="AH3" s="1302"/>
      <c r="AI3" s="1634"/>
    </row>
    <row r="4" spans="1:113" s="957" customFormat="1">
      <c r="A4" s="1639"/>
      <c r="B4" s="1640"/>
      <c r="C4" s="1198" t="s">
        <v>1225</v>
      </c>
      <c r="D4" s="1323"/>
      <c r="E4" s="1324"/>
      <c r="F4" s="1195"/>
      <c r="G4" s="1195"/>
      <c r="H4" s="1195"/>
      <c r="I4" s="1195"/>
      <c r="J4" s="1325"/>
      <c r="K4" s="1195"/>
      <c r="L4" s="1195"/>
      <c r="M4" s="1195"/>
      <c r="N4" s="1195"/>
      <c r="O4" s="1195"/>
      <c r="P4" s="1195"/>
      <c r="Q4" s="1325"/>
      <c r="R4" s="1195"/>
      <c r="S4" s="1195"/>
      <c r="T4" s="1195"/>
      <c r="U4" s="1195"/>
      <c r="V4" s="1195"/>
      <c r="W4" s="1195"/>
      <c r="X4" s="1195"/>
      <c r="Y4" s="1195"/>
      <c r="Z4" s="1195"/>
      <c r="AA4" s="1195"/>
      <c r="AB4" s="1195"/>
      <c r="AC4" s="1195"/>
      <c r="AD4" s="1302"/>
      <c r="AE4" s="1302"/>
      <c r="AF4" s="1302"/>
      <c r="AG4" s="1302"/>
      <c r="AH4" s="1302"/>
      <c r="AI4" s="1634"/>
    </row>
    <row r="5" spans="1:113" s="957" customFormat="1">
      <c r="A5" s="1636" t="s">
        <v>1226</v>
      </c>
      <c r="B5" s="1637"/>
      <c r="C5" s="1638"/>
      <c r="D5" s="1326">
        <v>85950</v>
      </c>
      <c r="E5" s="1327">
        <v>85500</v>
      </c>
      <c r="F5" s="1201">
        <v>5200</v>
      </c>
      <c r="G5" s="1201">
        <v>9930</v>
      </c>
      <c r="H5" s="1201">
        <v>8900</v>
      </c>
      <c r="I5" s="1201">
        <v>9000</v>
      </c>
      <c r="J5" s="1328">
        <v>15500</v>
      </c>
      <c r="K5" s="1201">
        <v>16000</v>
      </c>
      <c r="L5" s="1201">
        <v>23200</v>
      </c>
      <c r="M5" s="1201">
        <v>25800</v>
      </c>
      <c r="N5" s="1201">
        <v>43400</v>
      </c>
      <c r="O5" s="1201">
        <v>45000</v>
      </c>
      <c r="P5" s="1201">
        <v>47500</v>
      </c>
      <c r="Q5" s="1328">
        <v>51000</v>
      </c>
      <c r="R5" s="1201">
        <v>40000</v>
      </c>
      <c r="S5" s="1201">
        <v>48800</v>
      </c>
      <c r="T5" s="1201">
        <v>53650</v>
      </c>
      <c r="U5" s="1201">
        <v>52350</v>
      </c>
      <c r="V5" s="1201">
        <v>53730</v>
      </c>
      <c r="W5" s="1201">
        <v>30000</v>
      </c>
      <c r="X5" s="1201">
        <v>63700</v>
      </c>
      <c r="Y5" s="1201">
        <v>72000</v>
      </c>
      <c r="Z5" s="1201">
        <v>75000</v>
      </c>
      <c r="AA5" s="1201">
        <v>84150</v>
      </c>
      <c r="AB5" s="1201">
        <v>89920</v>
      </c>
      <c r="AC5" s="1204">
        <v>89920</v>
      </c>
      <c r="AD5" s="1303">
        <v>89950</v>
      </c>
      <c r="AE5" s="1303">
        <v>28000</v>
      </c>
      <c r="AF5" s="1303">
        <v>38000</v>
      </c>
      <c r="AG5" s="1303">
        <v>71000</v>
      </c>
      <c r="AH5" s="1303">
        <v>76800</v>
      </c>
      <c r="AI5" s="1634"/>
    </row>
    <row r="6" spans="1:113" s="957" customFormat="1">
      <c r="A6" s="1641" t="s">
        <v>1227</v>
      </c>
      <c r="B6" s="1642"/>
      <c r="C6" s="1643"/>
      <c r="D6" s="1329">
        <v>4514</v>
      </c>
      <c r="E6" s="1330">
        <v>4514</v>
      </c>
      <c r="F6" s="1208">
        <v>4515</v>
      </c>
      <c r="G6" s="1208">
        <v>4515</v>
      </c>
      <c r="H6" s="1208">
        <v>4515</v>
      </c>
      <c r="I6" s="1208">
        <v>4515</v>
      </c>
      <c r="J6" s="1331">
        <v>4515</v>
      </c>
      <c r="K6" s="1208">
        <v>4515</v>
      </c>
      <c r="L6" s="1208">
        <v>4515</v>
      </c>
      <c r="M6" s="1208">
        <v>4515</v>
      </c>
      <c r="N6" s="1208">
        <v>4515</v>
      </c>
      <c r="O6" s="1208">
        <v>4515</v>
      </c>
      <c r="P6" s="1208">
        <v>4514</v>
      </c>
      <c r="Q6" s="1331">
        <v>4514</v>
      </c>
      <c r="R6" s="1208">
        <v>4514</v>
      </c>
      <c r="S6" s="1208">
        <v>4515</v>
      </c>
      <c r="T6" s="1208">
        <v>4515</v>
      </c>
      <c r="U6" s="1208">
        <v>4515</v>
      </c>
      <c r="V6" s="1208">
        <v>4515</v>
      </c>
      <c r="W6" s="1208">
        <v>4515</v>
      </c>
      <c r="X6" s="1208">
        <v>4515</v>
      </c>
      <c r="Y6" s="1208">
        <v>4515</v>
      </c>
      <c r="Z6" s="1208">
        <v>4515</v>
      </c>
      <c r="AA6" s="1208">
        <v>4515</v>
      </c>
      <c r="AB6" s="1208">
        <v>4515</v>
      </c>
      <c r="AC6" s="1208">
        <v>4515</v>
      </c>
      <c r="AD6" s="1210">
        <v>4514</v>
      </c>
      <c r="AE6" s="1210">
        <v>4515</v>
      </c>
      <c r="AF6" s="1210">
        <v>4515</v>
      </c>
      <c r="AG6" s="1210">
        <v>4515</v>
      </c>
      <c r="AH6" s="1210">
        <v>4515</v>
      </c>
      <c r="AI6" s="1634"/>
    </row>
    <row r="7" spans="1:113" s="1193" customFormat="1" ht="45">
      <c r="A7" s="1644" t="s">
        <v>1228</v>
      </c>
      <c r="B7" s="1645"/>
      <c r="C7" s="1646"/>
      <c r="D7" s="1332" t="s">
        <v>1301</v>
      </c>
      <c r="E7" s="1333" t="s">
        <v>1301</v>
      </c>
      <c r="F7" s="1304" t="s">
        <v>759</v>
      </c>
      <c r="G7" s="1304" t="s">
        <v>1302</v>
      </c>
      <c r="H7" s="1304" t="s">
        <v>759</v>
      </c>
      <c r="I7" s="1304" t="s">
        <v>759</v>
      </c>
      <c r="J7" s="1334" t="s">
        <v>1302</v>
      </c>
      <c r="K7" s="1304" t="s">
        <v>1302</v>
      </c>
      <c r="L7" s="1335" t="s">
        <v>1302</v>
      </c>
      <c r="M7" s="1335" t="s">
        <v>1302</v>
      </c>
      <c r="N7" s="1304" t="s">
        <v>1302</v>
      </c>
      <c r="O7" s="1304" t="s">
        <v>1302</v>
      </c>
      <c r="P7" s="1304" t="s">
        <v>1302</v>
      </c>
      <c r="Q7" s="1334" t="s">
        <v>1302</v>
      </c>
      <c r="R7" s="1304" t="s">
        <v>1302</v>
      </c>
      <c r="S7" s="1335" t="s">
        <v>1302</v>
      </c>
      <c r="T7" s="1335" t="s">
        <v>1302</v>
      </c>
      <c r="U7" s="1304" t="s">
        <v>1302</v>
      </c>
      <c r="V7" s="1304" t="s">
        <v>1302</v>
      </c>
      <c r="W7" s="1304" t="s">
        <v>1302</v>
      </c>
      <c r="X7" s="1335" t="s">
        <v>1302</v>
      </c>
      <c r="Y7" s="1335" t="s">
        <v>1302</v>
      </c>
      <c r="Z7" s="1304" t="s">
        <v>1302</v>
      </c>
      <c r="AA7" s="1304" t="s">
        <v>1302</v>
      </c>
      <c r="AB7" s="1304" t="s">
        <v>1302</v>
      </c>
      <c r="AC7" s="1304" t="s">
        <v>1302</v>
      </c>
      <c r="AD7" s="1305" t="s">
        <v>758</v>
      </c>
      <c r="AE7" s="1305" t="s">
        <v>758</v>
      </c>
      <c r="AF7" s="1305" t="s">
        <v>1303</v>
      </c>
      <c r="AG7" s="1305" t="s">
        <v>758</v>
      </c>
      <c r="AH7" s="1305" t="s">
        <v>758</v>
      </c>
      <c r="AI7" s="1634"/>
    </row>
    <row r="8" spans="1:113" s="1343" customFormat="1">
      <c r="A8" s="1656" t="s">
        <v>1233</v>
      </c>
      <c r="B8" s="1657"/>
      <c r="C8" s="1658"/>
      <c r="D8" s="1336">
        <v>42866</v>
      </c>
      <c r="E8" s="1337">
        <v>44123</v>
      </c>
      <c r="F8" s="1338">
        <v>42987</v>
      </c>
      <c r="G8" s="1338">
        <v>42452</v>
      </c>
      <c r="H8" s="1338">
        <v>43049</v>
      </c>
      <c r="I8" s="1338">
        <v>43242</v>
      </c>
      <c r="J8" s="1339">
        <v>43172</v>
      </c>
      <c r="K8" s="1338">
        <v>43336</v>
      </c>
      <c r="L8" s="1338">
        <v>43172</v>
      </c>
      <c r="M8" s="1338">
        <v>43326</v>
      </c>
      <c r="N8" s="1338">
        <v>43325</v>
      </c>
      <c r="O8" s="1338">
        <v>43082</v>
      </c>
      <c r="P8" s="1338">
        <v>43543</v>
      </c>
      <c r="Q8" s="1339">
        <v>43608</v>
      </c>
      <c r="R8" s="1338">
        <v>43326</v>
      </c>
      <c r="S8" s="1340">
        <v>43081</v>
      </c>
      <c r="T8" s="1340">
        <v>43578</v>
      </c>
      <c r="U8" s="1338" t="s">
        <v>1304</v>
      </c>
      <c r="V8" s="1338">
        <v>43594</v>
      </c>
      <c r="W8" s="1338">
        <v>43172</v>
      </c>
      <c r="X8" s="1340">
        <v>43543</v>
      </c>
      <c r="Y8" s="1340">
        <v>42937</v>
      </c>
      <c r="Z8" s="1338">
        <v>43543</v>
      </c>
      <c r="AA8" s="1338">
        <v>43543</v>
      </c>
      <c r="AB8" s="1338">
        <v>43543</v>
      </c>
      <c r="AC8" s="1341">
        <v>43543</v>
      </c>
      <c r="AD8" s="1342"/>
      <c r="AE8" s="1342"/>
      <c r="AF8" s="1342"/>
      <c r="AG8" s="1342"/>
      <c r="AH8" s="1342"/>
      <c r="AI8" s="1634"/>
    </row>
    <row r="9" spans="1:113" s="1352" customFormat="1" ht="30">
      <c r="A9" s="1659" t="s">
        <v>1235</v>
      </c>
      <c r="B9" s="1660"/>
      <c r="C9" s="1661"/>
      <c r="D9" s="1344">
        <v>42705</v>
      </c>
      <c r="E9" s="1345" t="s">
        <v>1236</v>
      </c>
      <c r="F9" s="1346" t="s">
        <v>1238</v>
      </c>
      <c r="G9" s="1346">
        <v>42675</v>
      </c>
      <c r="H9" s="1346">
        <v>42522</v>
      </c>
      <c r="I9" s="1346">
        <v>42675</v>
      </c>
      <c r="J9" s="1347" t="s">
        <v>1238</v>
      </c>
      <c r="K9" s="1346" t="s">
        <v>1238</v>
      </c>
      <c r="L9" s="1348">
        <v>42339</v>
      </c>
      <c r="M9" s="1348" t="s">
        <v>1238</v>
      </c>
      <c r="N9" s="1349">
        <v>42583</v>
      </c>
      <c r="O9" s="1346" t="s">
        <v>1238</v>
      </c>
      <c r="P9" s="1349">
        <v>42675</v>
      </c>
      <c r="Q9" s="1347" t="s">
        <v>1238</v>
      </c>
      <c r="R9" s="1346" t="s">
        <v>1238</v>
      </c>
      <c r="S9" s="1348" t="s">
        <v>1238</v>
      </c>
      <c r="T9" s="1348" t="s">
        <v>1238</v>
      </c>
      <c r="U9" s="1346" t="s">
        <v>1238</v>
      </c>
      <c r="V9" s="1349">
        <v>42736</v>
      </c>
      <c r="W9" s="1346" t="s">
        <v>1238</v>
      </c>
      <c r="X9" s="1348" t="s">
        <v>1238</v>
      </c>
      <c r="Y9" s="1348" t="s">
        <v>1238</v>
      </c>
      <c r="Z9" s="1346" t="s">
        <v>1238</v>
      </c>
      <c r="AA9" s="1346" t="s">
        <v>1238</v>
      </c>
      <c r="AB9" s="1346" t="s">
        <v>1238</v>
      </c>
      <c r="AC9" s="1346" t="s">
        <v>1238</v>
      </c>
      <c r="AD9" s="1350" t="s">
        <v>1240</v>
      </c>
      <c r="AE9" s="1350" t="s">
        <v>1239</v>
      </c>
      <c r="AF9" s="1350" t="s">
        <v>1239</v>
      </c>
      <c r="AG9" s="1351" t="s">
        <v>1305</v>
      </c>
      <c r="AH9" s="1350" t="s">
        <v>1239</v>
      </c>
      <c r="AI9" s="1634"/>
    </row>
    <row r="10" spans="1:113" s="957" customFormat="1">
      <c r="A10" s="1650" t="s">
        <v>1241</v>
      </c>
      <c r="B10" s="1651"/>
      <c r="C10" s="1652"/>
      <c r="D10" s="1353">
        <v>635000</v>
      </c>
      <c r="E10" s="1354">
        <v>500000</v>
      </c>
      <c r="F10" s="1237">
        <v>97989</v>
      </c>
      <c r="G10" s="1237">
        <v>813529</v>
      </c>
      <c r="H10" s="1237">
        <v>205501</v>
      </c>
      <c r="I10" s="1237">
        <v>1137397</v>
      </c>
      <c r="J10" s="1237">
        <v>168256</v>
      </c>
      <c r="K10" s="1237">
        <v>1120376</v>
      </c>
      <c r="L10" s="1237">
        <v>1317583</v>
      </c>
      <c r="M10" s="1237">
        <v>350000</v>
      </c>
      <c r="N10" s="1237">
        <v>532000</v>
      </c>
      <c r="O10" s="1355">
        <v>562085</v>
      </c>
      <c r="P10" s="1237">
        <v>392340</v>
      </c>
      <c r="Q10" s="1356">
        <v>562085</v>
      </c>
      <c r="R10" s="1237">
        <v>167000</v>
      </c>
      <c r="S10" s="1237">
        <v>28618</v>
      </c>
      <c r="T10" s="1237">
        <v>354109</v>
      </c>
      <c r="U10" s="1237">
        <v>429161.02</v>
      </c>
      <c r="V10" s="1355">
        <v>185718.07</v>
      </c>
      <c r="W10" s="1306">
        <v>17648</v>
      </c>
      <c r="X10" s="1306">
        <v>359342</v>
      </c>
      <c r="Y10" s="1306">
        <v>239000</v>
      </c>
      <c r="Z10" s="1237">
        <v>1091221</v>
      </c>
      <c r="AA10" s="1237">
        <v>999377</v>
      </c>
      <c r="AB10" s="1237">
        <v>684432</v>
      </c>
      <c r="AC10" s="1241">
        <v>9980477</v>
      </c>
      <c r="AD10" s="1303"/>
      <c r="AE10" s="1303"/>
      <c r="AF10" s="1303"/>
      <c r="AG10" s="1303"/>
      <c r="AH10" s="1303"/>
      <c r="AI10" s="1634"/>
    </row>
    <row r="11" spans="1:113" s="957" customFormat="1">
      <c r="A11" s="1650" t="s">
        <v>1243</v>
      </c>
      <c r="B11" s="1651"/>
      <c r="C11" s="1652"/>
      <c r="D11" s="1357">
        <v>118798</v>
      </c>
      <c r="E11" s="1354">
        <v>0</v>
      </c>
      <c r="F11" s="1238">
        <v>0</v>
      </c>
      <c r="G11" s="1238">
        <v>245323</v>
      </c>
      <c r="H11" s="1238">
        <v>26523</v>
      </c>
      <c r="I11" s="1238">
        <v>6782</v>
      </c>
      <c r="J11" s="1238">
        <v>19345</v>
      </c>
      <c r="K11" s="1238">
        <v>0</v>
      </c>
      <c r="L11" s="1238">
        <v>20872</v>
      </c>
      <c r="M11" s="1238">
        <v>0</v>
      </c>
      <c r="N11" s="1238">
        <v>0</v>
      </c>
      <c r="O11" s="1238">
        <v>0</v>
      </c>
      <c r="P11" s="1237">
        <v>238573</v>
      </c>
      <c r="Q11" s="1356">
        <v>0</v>
      </c>
      <c r="R11" s="1237">
        <v>0</v>
      </c>
      <c r="S11" s="1237">
        <v>0</v>
      </c>
      <c r="T11" s="1237">
        <v>0</v>
      </c>
      <c r="U11" s="1237">
        <v>0</v>
      </c>
      <c r="V11" s="1238">
        <v>20836</v>
      </c>
      <c r="W11" s="1237">
        <v>0</v>
      </c>
      <c r="X11" s="1237">
        <v>0</v>
      </c>
      <c r="Y11" s="1237">
        <v>0</v>
      </c>
      <c r="Z11" s="1237">
        <v>0</v>
      </c>
      <c r="AA11" s="1238">
        <v>0</v>
      </c>
      <c r="AB11" s="1238">
        <v>0</v>
      </c>
      <c r="AC11" s="1241">
        <v>0</v>
      </c>
      <c r="AD11" s="1303"/>
      <c r="AE11" s="1303"/>
      <c r="AF11" s="1303"/>
      <c r="AG11" s="1303"/>
      <c r="AH11" s="1303"/>
      <c r="AI11" s="1634"/>
    </row>
    <row r="12" spans="1:113" s="957" customFormat="1">
      <c r="A12" s="1628" t="s">
        <v>1244</v>
      </c>
      <c r="B12" s="1629"/>
      <c r="C12" s="1653"/>
      <c r="D12" s="1358">
        <v>516202</v>
      </c>
      <c r="E12" s="1359">
        <v>500000</v>
      </c>
      <c r="F12" s="1244">
        <v>97989</v>
      </c>
      <c r="G12" s="1244">
        <v>578206</v>
      </c>
      <c r="H12" s="1244">
        <v>178978</v>
      </c>
      <c r="I12" s="1244">
        <v>1130615</v>
      </c>
      <c r="J12" s="1244">
        <v>148911</v>
      </c>
      <c r="K12" s="1244">
        <v>1120376</v>
      </c>
      <c r="L12" s="1244">
        <v>1296711</v>
      </c>
      <c r="M12" s="1244">
        <v>350000</v>
      </c>
      <c r="N12" s="1244">
        <v>532000</v>
      </c>
      <c r="O12" s="1244">
        <v>562085</v>
      </c>
      <c r="P12" s="1244">
        <v>153767</v>
      </c>
      <c r="Q12" s="1360">
        <v>562085</v>
      </c>
      <c r="R12" s="1244">
        <v>167000</v>
      </c>
      <c r="S12" s="1244">
        <v>28618</v>
      </c>
      <c r="T12" s="1244">
        <v>354000</v>
      </c>
      <c r="U12" s="1244">
        <v>429161</v>
      </c>
      <c r="V12" s="1244">
        <v>206554</v>
      </c>
      <c r="W12" s="1244">
        <v>17648</v>
      </c>
      <c r="X12" s="1244">
        <v>359342</v>
      </c>
      <c r="Y12" s="1244">
        <v>239000</v>
      </c>
      <c r="Z12" s="1244">
        <v>1091221</v>
      </c>
      <c r="AA12" s="1244">
        <v>999377</v>
      </c>
      <c r="AB12" s="1244">
        <v>684432</v>
      </c>
      <c r="AC12" s="1246">
        <v>9980477</v>
      </c>
      <c r="AD12" s="1307"/>
      <c r="AE12" s="1307"/>
      <c r="AF12" s="1307"/>
      <c r="AG12" s="1307"/>
      <c r="AH12" s="1307"/>
      <c r="AI12" s="1635"/>
    </row>
    <row r="13" spans="1:113" s="957" customFormat="1">
      <c r="A13" s="1662" t="s">
        <v>1245</v>
      </c>
      <c r="B13" s="1663"/>
      <c r="C13" s="1664"/>
      <c r="D13" s="1361" t="e">
        <f>+D14+D11</f>
        <v>#REF!</v>
      </c>
      <c r="E13" s="1362" t="e">
        <f t="shared" ref="E13:AC13" si="0">+E14+E11</f>
        <v>#REF!</v>
      </c>
      <c r="F13" s="1249" t="e">
        <f t="shared" si="0"/>
        <v>#REF!</v>
      </c>
      <c r="G13" s="1249" t="e">
        <f t="shared" si="0"/>
        <v>#REF!</v>
      </c>
      <c r="H13" s="1249" t="e">
        <f t="shared" si="0"/>
        <v>#REF!</v>
      </c>
      <c r="I13" s="1249" t="e">
        <f t="shared" si="0"/>
        <v>#REF!</v>
      </c>
      <c r="J13" s="1249" t="e">
        <f t="shared" si="0"/>
        <v>#REF!</v>
      </c>
      <c r="K13" s="1249" t="e">
        <f t="shared" si="0"/>
        <v>#REF!</v>
      </c>
      <c r="L13" s="1249" t="e">
        <f t="shared" si="0"/>
        <v>#REF!</v>
      </c>
      <c r="M13" s="1249" t="e">
        <f t="shared" si="0"/>
        <v>#REF!</v>
      </c>
      <c r="N13" s="1249" t="e">
        <f t="shared" si="0"/>
        <v>#REF!</v>
      </c>
      <c r="O13" s="1249" t="e">
        <f t="shared" si="0"/>
        <v>#REF!</v>
      </c>
      <c r="P13" s="1249" t="e">
        <f t="shared" si="0"/>
        <v>#REF!</v>
      </c>
      <c r="Q13" s="1363" t="e">
        <f t="shared" si="0"/>
        <v>#REF!</v>
      </c>
      <c r="R13" s="1249" t="e">
        <f t="shared" si="0"/>
        <v>#REF!</v>
      </c>
      <c r="S13" s="1249" t="e">
        <f t="shared" si="0"/>
        <v>#REF!</v>
      </c>
      <c r="T13" s="1249" t="e">
        <f t="shared" si="0"/>
        <v>#REF!</v>
      </c>
      <c r="U13" s="1249" t="e">
        <f t="shared" si="0"/>
        <v>#REF!</v>
      </c>
      <c r="V13" s="1249" t="e">
        <f t="shared" si="0"/>
        <v>#REF!</v>
      </c>
      <c r="W13" s="1364" t="e">
        <f t="shared" si="0"/>
        <v>#REF!</v>
      </c>
      <c r="X13" s="1364" t="e">
        <f t="shared" si="0"/>
        <v>#REF!</v>
      </c>
      <c r="Y13" s="1364" t="e">
        <f t="shared" si="0"/>
        <v>#REF!</v>
      </c>
      <c r="Z13" s="1364" t="e">
        <f t="shared" si="0"/>
        <v>#REF!</v>
      </c>
      <c r="AA13" s="1364" t="e">
        <f t="shared" si="0"/>
        <v>#REF!</v>
      </c>
      <c r="AB13" s="1364" t="e">
        <f t="shared" si="0"/>
        <v>#REF!</v>
      </c>
      <c r="AC13" s="1365" t="e">
        <f t="shared" si="0"/>
        <v>#REF!</v>
      </c>
      <c r="AD13" s="1250"/>
      <c r="AE13" s="1250"/>
      <c r="AF13" s="1250"/>
      <c r="AG13" s="1250"/>
      <c r="AH13" s="1250"/>
      <c r="AI13" s="1308"/>
    </row>
    <row r="14" spans="1:113" s="957" customFormat="1">
      <c r="A14" s="1665" t="s">
        <v>1246</v>
      </c>
      <c r="B14" s="1666"/>
      <c r="C14" s="1667"/>
      <c r="D14" s="1244" t="e">
        <f>SUMIFS(D$23:D$97,$B$23:$B$97,"Terraplen")*#REF!+SUMIFS(D$23:D$97,$B$23:$B$97,"Coronas")*#REF!+SUMIFS(D$23:D$97,$B$23:$B$97,"Subbase/Base")*#REF!+SUMIFS(D$23:D$97,$B$23:$B$97,"Pavimento")*#REF!</f>
        <v>#REF!</v>
      </c>
      <c r="E14" s="1359" t="e">
        <f>SUMIFS(E$23:E$97,$B$23:$B$97,"Terraplen")*#REF!+SUMIFS(E$23:E$97,$B$23:$B$97,"Coronas")*#REF!+SUMIFS(E$23:E$97,$B$23:$B$97,"Subbase/Base")*#REF!+SUMIFS(E$23:E$97,$B$23:$B$97,"Pavimento")*#REF!</f>
        <v>#REF!</v>
      </c>
      <c r="F14" s="1244" t="e">
        <f>SUMIFS(F$23:F$97,$B$23:$B$97,"Terraplen")*#REF!+SUMIFS(F$23:F$97,$B$23:$B$97,"Coronas")*#REF!+SUMIFS(F$23:F$97,$B$23:$B$97,"Subbase/Base")*#REF!+SUMIFS(F$23:F$97,$B$23:$B$97,"Pavimento")*#REF!</f>
        <v>#REF!</v>
      </c>
      <c r="G14" s="1244" t="e">
        <f>SUMIFS(G$23:G$97,$B$23:$B$97,"Terraplen")*#REF!+SUMIFS(G$23:G$97,$B$23:$B$97,"Coronas")*#REF!+SUMIFS(G$23:G$97,$B$23:$B$97,"Subbase/Base")*#REF!+SUMIFS(G$23:G$97,$B$23:$B$97,"Pavimento")*#REF!</f>
        <v>#REF!</v>
      </c>
      <c r="H14" s="1244" t="e">
        <f>SUMIFS(H$23:H$97,$B$23:$B$97,"Terraplen")*#REF!+SUMIFS(H$23:H$97,$B$23:$B$97,"Coronas")*#REF!+SUMIFS(H$23:H$97,$B$23:$B$97,"Subbase/Base")*#REF!+SUMIFS(H$23:H$97,$B$23:$B$97,"Pavimento")*#REF!</f>
        <v>#REF!</v>
      </c>
      <c r="I14" s="1244" t="e">
        <f>SUMIFS(I$23:I$97,$B$23:$B$97,"Terraplen")*#REF!+SUMIFS(I$23:I$97,$B$23:$B$97,"Coronas")*#REF!+SUMIFS(I$23:I$97,$B$23:$B$97,"Subbase/Base")*#REF!+SUMIFS(I$23:I$97,$B$23:$B$97,"Pavimento")*#REF!</f>
        <v>#REF!</v>
      </c>
      <c r="J14" s="1244" t="e">
        <f>SUMIFS(J$23:J$97,$B$23:$B$97,"Terraplen")*#REF!+SUMIFS(J$23:J$97,$B$23:$B$97,"Coronas")*#REF!+SUMIFS(J$23:J$97,$B$23:$B$97,"Subbase/Base")*#REF!+SUMIFS(J$23:J$97,$B$23:$B$97,"Pavimento")*#REF!</f>
        <v>#REF!</v>
      </c>
      <c r="K14" s="1244" t="e">
        <f>SUMIFS(K$23:K$97,$B$23:$B$97,"Terraplen")*#REF!+SUMIFS(K$23:K$97,$B$23:$B$97,"Coronas")*#REF!+SUMIFS(K$23:K$97,$B$23:$B$97,"Subbase/Base")*#REF!+SUMIFS(K$23:K$97,$B$23:$B$97,"Pavimento")*#REF!</f>
        <v>#REF!</v>
      </c>
      <c r="L14" s="1244" t="e">
        <f>SUMIFS(L$23:L$97,$B$23:$B$97,"Terraplen")*#REF!+SUMIFS(L$23:L$97,$B$23:$B$97,"Coronas")*#REF!+SUMIFS(L$23:L$97,$B$23:$B$97,"Subbase/Base")*#REF!+SUMIFS(L$23:L$97,$B$23:$B$97,"Pavimento")*#REF!</f>
        <v>#REF!</v>
      </c>
      <c r="M14" s="1244" t="e">
        <f>SUMIFS(M$23:M$97,$B$23:$B$97,"Terraplen")*#REF!+SUMIFS(M$23:M$97,$B$23:$B$97,"Coronas")*#REF!+SUMIFS(M$23:M$97,$B$23:$B$97,"Subbase/Base")*#REF!+SUMIFS(M$23:M$97,$B$23:$B$97,"Pavimento")*#REF!</f>
        <v>#REF!</v>
      </c>
      <c r="N14" s="1244" t="e">
        <f>SUMIFS(N$23:N$97,$B$23:$B$97,"Terraplen")*#REF!+SUMIFS(N$23:N$97,$B$23:$B$97,"Coronas")*#REF!+SUMIFS(N$23:N$97,$B$23:$B$97,"Subbase/Base")*#REF!+SUMIFS(N$23:N$97,$B$23:$B$97,"Pavimento")*#REF!</f>
        <v>#REF!</v>
      </c>
      <c r="O14" s="1244" t="e">
        <f>SUMIFS(O$23:O$97,$B$23:$B$97,"Terraplen")*#REF!+SUMIFS(O$23:O$97,$B$23:$B$97,"Coronas")*#REF!+SUMIFS(O$23:O$97,$B$23:$B$97,"Subbase/Base")*#REF!+SUMIFS(O$23:O$97,$B$23:$B$97,"Pavimento")*#REF!</f>
        <v>#REF!</v>
      </c>
      <c r="P14" s="1244" t="e">
        <f>SUMIFS(P$23:P$97,$B$23:$B$97,"Terraplen")*#REF!+SUMIFS(P$23:P$97,$B$23:$B$97,"Coronas")*#REF!+SUMIFS(P$23:P$97,$B$23:$B$97,"Subbase/Base")*#REF!+SUMIFS(P$23:P$97,$B$23:$B$97,"Pavimento")*#REF!</f>
        <v>#REF!</v>
      </c>
      <c r="Q14" s="1360" t="e">
        <f>SUMIFS(Q$23:Q$97,$B$23:$B$97,"Terraplen")*#REF!+SUMIFS(Q$23:Q$97,$B$23:$B$97,"Coronas")*#REF!+SUMIFS(Q$23:Q$97,$B$23:$B$97,"Subbase/Base")*#REF!+SUMIFS(Q$23:Q$97,$B$23:$B$97,"Pavimento")*#REF!</f>
        <v>#REF!</v>
      </c>
      <c r="R14" s="1244" t="e">
        <f>SUMIFS(R$23:R$97,$B$23:$B$97,"Terraplen")*#REF!+SUMIFS(R$23:R$97,$B$23:$B$97,"Coronas")*#REF!+SUMIFS(R$23:R$97,$B$23:$B$97,"Subbase/Base")*#REF!+SUMIFS(R$23:R$97,$B$23:$B$97,"Pavimento")*#REF!</f>
        <v>#REF!</v>
      </c>
      <c r="S14" s="1244" t="e">
        <f>SUMIFS(S$23:S$97,$B$23:$B$97,"Terraplen")*#REF!+SUMIFS(S$23:S$97,$B$23:$B$97,"Coronas")*#REF!+SUMIFS(S$23:S$97,$B$23:$B$97,"Subbase/Base")*#REF!+SUMIFS(S$23:S$97,$B$23:$B$97,"Pavimento")*#REF!</f>
        <v>#REF!</v>
      </c>
      <c r="T14" s="1244" t="e">
        <f>SUMIFS(T$23:T$97,$B$23:$B$97,"Terraplen")*#REF!+SUMIFS(T$23:T$97,$B$23:$B$97,"Coronas")*#REF!+SUMIFS(T$23:T$97,$B$23:$B$97,"Subbase/Base")*#REF!+SUMIFS(T$23:T$97,$B$23:$B$97,"Pavimento")*#REF!</f>
        <v>#REF!</v>
      </c>
      <c r="U14" s="1244" t="e">
        <f>SUMIFS(U$23:U$97,$B$23:$B$97,"Terraplen")*#REF!+SUMIFS(U$23:U$97,$B$23:$B$97,"Coronas")*#REF!+SUMIFS(U$23:U$97,$B$23:$B$97,"Subbase/Base")*#REF!+SUMIFS(U$23:U$97,$B$23:$B$97,"Pavimento")*#REF!</f>
        <v>#REF!</v>
      </c>
      <c r="V14" s="1244" t="e">
        <f>SUMIFS(V$23:V$97,$B$23:$B$97,"Terraplen")*#REF!+SUMIFS(V$23:V$97,$B$23:$B$97,"Coronas")*#REF!+SUMIFS(V$23:V$97,$B$23:$B$97,"Subbase/Base")*#REF!+SUMIFS(V$23:V$97,$B$23:$B$97,"Pavimento")*#REF!</f>
        <v>#REF!</v>
      </c>
      <c r="W14" s="1244" t="e">
        <f>SUMIFS(W$23:W$97,$B$23:$B$97,"Terraplen")*#REF!+SUMIFS(W$23:W$97,$B$23:$B$97,"Coronas")*#REF!+SUMIFS(W$23:W$97,$B$23:$B$97,"Subbase/Base")*#REF!+SUMIFS(W$23:W$97,$B$23:$B$97,"Pavimento")*#REF!</f>
        <v>#REF!</v>
      </c>
      <c r="X14" s="1244" t="e">
        <f>SUMIFS(X$23:X$97,$B$23:$B$97,"Terraplen")*#REF!+SUMIFS(X$23:X$97,$B$23:$B$97,"Coronas")*#REF!+SUMIFS(X$23:X$97,$B$23:$B$97,"Subbase/Base")*#REF!+SUMIFS(X$23:X$97,$B$23:$B$97,"Pavimento")*#REF!</f>
        <v>#REF!</v>
      </c>
      <c r="Y14" s="1244" t="e">
        <f>SUMIFS(Y$23:Y$97,$B$23:$B$97,"Terraplen")*#REF!+SUMIFS(Y$23:Y$97,$B$23:$B$97,"Coronas")*#REF!+SUMIFS(Y$23:Y$97,$B$23:$B$97,"Subbase/Base")*#REF!+SUMIFS(Y$23:Y$97,$B$23:$B$97,"Pavimento")*#REF!</f>
        <v>#REF!</v>
      </c>
      <c r="Z14" s="1244" t="e">
        <f>SUMIFS(Z$23:Z$97,$B$23:$B$97,"Terraplen")*#REF!+SUMIFS(Z$23:Z$97,$B$23:$B$97,"Coronas")*#REF!+SUMIFS(Z$23:Z$97,$B$23:$B$97,"Subbase/Base")*#REF!+SUMIFS(Z$23:Z$97,$B$23:$B$97,"Pavimento")*#REF!</f>
        <v>#REF!</v>
      </c>
      <c r="AA14" s="1244" t="e">
        <f>SUMIFS(AA$23:AA$97,$B$23:$B$97,"Terraplen")*#REF!+SUMIFS(AA$23:AA$97,$B$23:$B$97,"Coronas")*#REF!+SUMIFS(AA$23:AA$97,$B$23:$B$97,"Subbase/Base")*#REF!+SUMIFS(AA$23:AA$97,$B$23:$B$97,"Pavimento")*#REF!</f>
        <v>#REF!</v>
      </c>
      <c r="AB14" s="1244" t="e">
        <f>SUMIFS(AB$23:AB$97,$B$23:$B$97,"Terraplen")*#REF!+SUMIFS(AB$23:AB$97,$B$23:$B$97,"Coronas")*#REF!+SUMIFS(AB$23:AB$97,$B$23:$B$97,"Subbase/Base")*#REF!+SUMIFS(AB$23:AB$97,$B$23:$B$97,"Pavimento")*#REF!</f>
        <v>#REF!</v>
      </c>
      <c r="AC14" s="1246" t="e">
        <f>SUMIFS(AC$23:AC$97,$B$23:$B$97,"Terraplen")*#REF!+SUMIFS(AC$23:AC$97,$B$23:$B$97,"Coronas")*#REF!+SUMIFS(AC$23:AC$97,$B$23:$B$97,"Subbase/Base")*#REF!+SUMIFS(AC$23:AC$97,$B$23:$B$97,"Pavimento")*#REF!</f>
        <v>#REF!</v>
      </c>
      <c r="AD14" s="1247"/>
      <c r="AE14" s="1247"/>
      <c r="AF14" s="1247"/>
      <c r="AG14" s="1247"/>
      <c r="AH14" s="1247"/>
      <c r="AI14" s="1309"/>
    </row>
    <row r="15" spans="1:113">
      <c r="A15" s="1253" t="s">
        <v>1247</v>
      </c>
      <c r="B15" s="1310"/>
      <c r="C15" s="1255" t="s">
        <v>1306</v>
      </c>
      <c r="D15" s="1366"/>
      <c r="E15" s="1367"/>
      <c r="F15" s="1257"/>
      <c r="G15" s="1257"/>
      <c r="H15" s="1257"/>
      <c r="I15" s="1257"/>
      <c r="J15" s="1368"/>
      <c r="K15" s="1257"/>
      <c r="L15" s="1257"/>
      <c r="M15" s="1257"/>
      <c r="N15" s="1257"/>
      <c r="O15" s="1257"/>
      <c r="P15" s="1257"/>
      <c r="Q15" s="1368"/>
      <c r="R15" s="1257"/>
      <c r="S15" s="1257"/>
      <c r="T15" s="1257"/>
      <c r="U15" s="1257"/>
      <c r="V15" s="1257"/>
      <c r="W15" s="1257"/>
      <c r="X15" s="1257"/>
      <c r="Y15" s="1257"/>
      <c r="Z15" s="1257"/>
      <c r="AA15" s="1257"/>
      <c r="AB15" s="1257"/>
      <c r="AC15" s="1257"/>
      <c r="AD15" s="1312"/>
      <c r="AE15" s="1312"/>
      <c r="AF15" s="1312"/>
      <c r="AG15" s="1312"/>
      <c r="AH15" s="1312"/>
      <c r="AI15" s="1313"/>
      <c r="AJ15" s="1260"/>
      <c r="AK15" s="1260"/>
      <c r="AL15" s="1260"/>
      <c r="AM15" s="1260"/>
      <c r="AN15" s="1260"/>
      <c r="AO15" s="1260"/>
      <c r="AP15" s="1260"/>
      <c r="AQ15" s="1260"/>
      <c r="AR15" s="1260"/>
      <c r="AS15" s="1260"/>
      <c r="AT15" s="1260"/>
      <c r="AU15" s="1260"/>
      <c r="AV15" s="1260"/>
      <c r="AW15" s="1260"/>
      <c r="AX15" s="1260"/>
      <c r="AY15" s="1260"/>
      <c r="AZ15" s="1260"/>
      <c r="BA15" s="1260"/>
      <c r="BB15" s="1260"/>
      <c r="BC15" s="1260"/>
      <c r="BD15" s="1260"/>
      <c r="BE15" s="1260"/>
      <c r="BF15" s="1260"/>
      <c r="BG15" s="1260"/>
      <c r="BH15" s="1260"/>
      <c r="BI15" s="1260"/>
      <c r="BJ15" s="1260"/>
      <c r="BK15" s="1260"/>
      <c r="BL15" s="1260"/>
      <c r="BM15" s="1260"/>
      <c r="BN15" s="1260"/>
      <c r="BO15" s="1260"/>
      <c r="BP15" s="1260"/>
      <c r="BQ15" s="1260"/>
      <c r="BR15" s="1260"/>
      <c r="BS15" s="1260"/>
      <c r="BT15" s="1260"/>
      <c r="BU15" s="1260"/>
      <c r="BV15" s="1260"/>
      <c r="BW15" s="1260"/>
      <c r="BX15" s="1260"/>
      <c r="BY15" s="1260"/>
      <c r="BZ15" s="1260"/>
      <c r="CA15" s="1260"/>
      <c r="CB15" s="1260"/>
      <c r="CC15" s="1260"/>
      <c r="CD15" s="1260"/>
      <c r="CE15" s="1260"/>
      <c r="CF15" s="1260"/>
      <c r="CG15" s="1260"/>
      <c r="CH15" s="1260"/>
      <c r="CI15" s="1260"/>
      <c r="CJ15" s="1260"/>
      <c r="CK15" s="1260"/>
      <c r="CL15" s="1260"/>
      <c r="CM15" s="1260"/>
      <c r="CN15" s="1260"/>
      <c r="CO15" s="1260"/>
      <c r="CP15" s="1260"/>
      <c r="CQ15" s="1260"/>
      <c r="CR15" s="1260"/>
      <c r="CS15" s="1260"/>
      <c r="CT15" s="1260"/>
      <c r="CU15" s="1260"/>
      <c r="CV15" s="1260"/>
      <c r="CW15" s="1260"/>
      <c r="CX15" s="1260"/>
      <c r="CY15" s="1260"/>
      <c r="CZ15" s="1260"/>
      <c r="DA15" s="1260"/>
      <c r="DB15" s="1260"/>
      <c r="DC15" s="1260"/>
      <c r="DD15" s="1260"/>
      <c r="DE15" s="1260"/>
      <c r="DF15" s="1260"/>
      <c r="DG15" s="1260"/>
      <c r="DH15" s="1260"/>
      <c r="DI15" s="1260"/>
    </row>
    <row r="16" spans="1:113">
      <c r="A16" s="1261" t="s">
        <v>1227</v>
      </c>
      <c r="B16" s="1262"/>
      <c r="C16" s="1263">
        <v>4515</v>
      </c>
      <c r="D16" s="1369"/>
      <c r="E16" s="1370"/>
      <c r="F16" s="1265"/>
      <c r="G16" s="1265"/>
      <c r="H16" s="1265"/>
      <c r="I16" s="1265"/>
      <c r="J16" s="1371"/>
      <c r="K16" s="1265"/>
      <c r="L16" s="1265"/>
      <c r="M16" s="1265"/>
      <c r="N16" s="1265"/>
      <c r="O16" s="1265"/>
      <c r="P16" s="1265"/>
      <c r="Q16" s="1371"/>
      <c r="R16" s="1265"/>
      <c r="S16" s="1265"/>
      <c r="T16" s="1265"/>
      <c r="U16" s="1265"/>
      <c r="V16" s="1265"/>
      <c r="W16" s="1265"/>
      <c r="X16" s="1265"/>
      <c r="Y16" s="1265"/>
      <c r="Z16" s="1265"/>
      <c r="AA16" s="1265"/>
      <c r="AB16" s="1265"/>
      <c r="AC16" s="1265"/>
      <c r="AD16" s="1314"/>
      <c r="AE16" s="1314"/>
      <c r="AF16" s="1314"/>
      <c r="AG16" s="1314"/>
      <c r="AH16" s="1314"/>
      <c r="AI16" s="1313"/>
      <c r="AJ16" s="1260"/>
      <c r="AK16" s="1260"/>
      <c r="AL16" s="1260"/>
      <c r="AM16" s="1260"/>
      <c r="AN16" s="1260"/>
      <c r="AO16" s="1260"/>
      <c r="AP16" s="1260"/>
      <c r="AQ16" s="1260"/>
      <c r="AR16" s="1260"/>
      <c r="AS16" s="1260"/>
      <c r="AT16" s="1260"/>
      <c r="AU16" s="1260"/>
      <c r="AV16" s="1260"/>
      <c r="AW16" s="1260"/>
      <c r="AX16" s="1260"/>
      <c r="AY16" s="1260"/>
      <c r="AZ16" s="1260"/>
      <c r="BA16" s="1260"/>
      <c r="BB16" s="1260"/>
      <c r="BC16" s="1260"/>
      <c r="BD16" s="1260"/>
      <c r="BE16" s="1260"/>
      <c r="BF16" s="1260"/>
      <c r="BG16" s="1260"/>
      <c r="BH16" s="1260"/>
      <c r="BI16" s="1260"/>
      <c r="BJ16" s="1260"/>
      <c r="BK16" s="1260"/>
      <c r="BL16" s="1260"/>
      <c r="BM16" s="1260"/>
      <c r="BN16" s="1260"/>
      <c r="BO16" s="1260"/>
      <c r="BP16" s="1260"/>
      <c r="BQ16" s="1260"/>
      <c r="BR16" s="1260"/>
      <c r="BS16" s="1260"/>
      <c r="BT16" s="1260"/>
      <c r="BU16" s="1260"/>
      <c r="BV16" s="1260"/>
      <c r="BW16" s="1260"/>
      <c r="BX16" s="1260"/>
      <c r="BY16" s="1260"/>
      <c r="BZ16" s="1260"/>
      <c r="CA16" s="1260"/>
      <c r="CB16" s="1260"/>
      <c r="CC16" s="1260"/>
      <c r="CD16" s="1260"/>
      <c r="CE16" s="1260"/>
      <c r="CF16" s="1260"/>
      <c r="CG16" s="1260"/>
      <c r="CH16" s="1260"/>
      <c r="CI16" s="1260"/>
      <c r="CJ16" s="1260"/>
      <c r="CK16" s="1260"/>
      <c r="CL16" s="1260"/>
      <c r="CM16" s="1260"/>
      <c r="CN16" s="1260"/>
      <c r="CO16" s="1260"/>
      <c r="CP16" s="1260"/>
      <c r="CQ16" s="1260"/>
      <c r="CR16" s="1260"/>
      <c r="CS16" s="1260"/>
      <c r="CT16" s="1260"/>
      <c r="CU16" s="1260"/>
      <c r="CV16" s="1260"/>
      <c r="CW16" s="1260"/>
      <c r="CX16" s="1260"/>
      <c r="CY16" s="1260"/>
      <c r="CZ16" s="1260"/>
      <c r="DA16" s="1260"/>
      <c r="DB16" s="1260"/>
      <c r="DC16" s="1260"/>
      <c r="DD16" s="1260"/>
      <c r="DE16" s="1260"/>
      <c r="DF16" s="1260"/>
      <c r="DG16" s="1260"/>
      <c r="DH16" s="1260"/>
      <c r="DI16" s="1260"/>
    </row>
    <row r="17" spans="1:113" ht="15" customHeight="1">
      <c r="A17" s="1622" t="s">
        <v>1249</v>
      </c>
      <c r="B17" s="1267" t="s">
        <v>1250</v>
      </c>
      <c r="C17" s="1268">
        <v>410</v>
      </c>
      <c r="D17" s="1372"/>
      <c r="E17" s="1373"/>
      <c r="F17" s="1270"/>
      <c r="G17" s="1270"/>
      <c r="H17" s="1270"/>
      <c r="I17" s="1270"/>
      <c r="J17" s="1374"/>
      <c r="K17" s="1270"/>
      <c r="L17" s="1270"/>
      <c r="M17" s="1270"/>
      <c r="N17" s="1270"/>
      <c r="O17" s="1270"/>
      <c r="P17" s="1270"/>
      <c r="Q17" s="1374"/>
      <c r="R17" s="1270"/>
      <c r="S17" s="1270"/>
      <c r="T17" s="1270"/>
      <c r="U17" s="1270"/>
      <c r="V17" s="1270"/>
      <c r="W17" s="1270"/>
      <c r="X17" s="1270"/>
      <c r="Y17" s="1270"/>
      <c r="Z17" s="1270"/>
      <c r="AA17" s="1270"/>
      <c r="AB17" s="1270"/>
      <c r="AC17" s="1270"/>
      <c r="AD17" s="1303"/>
      <c r="AE17" s="1303"/>
      <c r="AF17" s="1303"/>
      <c r="AG17" s="1303"/>
      <c r="AH17" s="1303"/>
      <c r="AI17" s="1313"/>
      <c r="AJ17" s="1260"/>
      <c r="AK17" s="1260"/>
      <c r="AL17" s="1260"/>
      <c r="AM17" s="1260"/>
      <c r="AN17" s="1260"/>
      <c r="AO17" s="1260"/>
      <c r="AP17" s="1260"/>
      <c r="AQ17" s="1260"/>
      <c r="AR17" s="1260"/>
      <c r="AS17" s="1260"/>
      <c r="AT17" s="1260"/>
      <c r="AU17" s="1260"/>
      <c r="AV17" s="1260"/>
      <c r="AW17" s="1260"/>
      <c r="AX17" s="1260"/>
      <c r="AY17" s="1260"/>
      <c r="AZ17" s="1260"/>
      <c r="BA17" s="1260"/>
      <c r="BB17" s="1260"/>
      <c r="BC17" s="1260"/>
      <c r="BD17" s="1260"/>
      <c r="BE17" s="1260"/>
      <c r="BF17" s="1260"/>
      <c r="BG17" s="1260"/>
      <c r="BH17" s="1260"/>
      <c r="BI17" s="1260"/>
      <c r="BJ17" s="1260"/>
      <c r="BK17" s="1260"/>
      <c r="BL17" s="1260"/>
      <c r="BM17" s="1260"/>
      <c r="BN17" s="1260"/>
      <c r="BO17" s="1260"/>
      <c r="BP17" s="1260"/>
      <c r="BQ17" s="1260"/>
      <c r="BR17" s="1260"/>
      <c r="BS17" s="1260"/>
      <c r="BT17" s="1260"/>
      <c r="BU17" s="1260"/>
      <c r="BV17" s="1260"/>
      <c r="BW17" s="1260"/>
      <c r="BX17" s="1260"/>
      <c r="BY17" s="1260"/>
      <c r="BZ17" s="1260"/>
      <c r="CA17" s="1260"/>
      <c r="CB17" s="1260"/>
      <c r="CC17" s="1260"/>
      <c r="CD17" s="1260"/>
      <c r="CE17" s="1260"/>
      <c r="CF17" s="1260"/>
      <c r="CG17" s="1260"/>
      <c r="CH17" s="1260"/>
      <c r="CI17" s="1260"/>
      <c r="CJ17" s="1260"/>
      <c r="CK17" s="1260"/>
      <c r="CL17" s="1260"/>
      <c r="CM17" s="1260"/>
      <c r="CN17" s="1260"/>
      <c r="CO17" s="1260"/>
      <c r="CP17" s="1260"/>
      <c r="CQ17" s="1260"/>
      <c r="CR17" s="1260"/>
      <c r="CS17" s="1260"/>
      <c r="CT17" s="1260"/>
      <c r="CU17" s="1260"/>
      <c r="CV17" s="1260"/>
      <c r="CW17" s="1260"/>
      <c r="CX17" s="1260"/>
      <c r="CY17" s="1260"/>
      <c r="CZ17" s="1260"/>
      <c r="DA17" s="1260"/>
      <c r="DB17" s="1260"/>
      <c r="DC17" s="1260"/>
      <c r="DD17" s="1260"/>
      <c r="DE17" s="1260"/>
      <c r="DF17" s="1260"/>
      <c r="DG17" s="1260"/>
      <c r="DH17" s="1260"/>
      <c r="DI17" s="1260"/>
    </row>
    <row r="18" spans="1:113">
      <c r="A18" s="1622"/>
      <c r="B18" s="1267" t="s">
        <v>1251</v>
      </c>
      <c r="C18" s="1268">
        <v>11000</v>
      </c>
      <c r="D18" s="1372"/>
      <c r="E18" s="1373"/>
      <c r="F18" s="1270"/>
      <c r="G18" s="1270"/>
      <c r="H18" s="1270"/>
      <c r="I18" s="1270"/>
      <c r="J18" s="1374"/>
      <c r="K18" s="1270"/>
      <c r="L18" s="1270"/>
      <c r="M18" s="1270"/>
      <c r="N18" s="1270"/>
      <c r="O18" s="1270"/>
      <c r="P18" s="1270"/>
      <c r="Q18" s="1374"/>
      <c r="R18" s="1270"/>
      <c r="S18" s="1270"/>
      <c r="T18" s="1270"/>
      <c r="U18" s="1270"/>
      <c r="V18" s="1270"/>
      <c r="W18" s="1270"/>
      <c r="X18" s="1270"/>
      <c r="Y18" s="1270"/>
      <c r="Z18" s="1270"/>
      <c r="AA18" s="1270"/>
      <c r="AB18" s="1270"/>
      <c r="AC18" s="1270"/>
      <c r="AD18" s="1315"/>
      <c r="AE18" s="1315"/>
      <c r="AF18" s="1315"/>
      <c r="AG18" s="1315"/>
      <c r="AH18" s="1315"/>
      <c r="AI18" s="1316"/>
    </row>
    <row r="19" spans="1:113">
      <c r="A19" s="1272" t="s">
        <v>1252</v>
      </c>
      <c r="B19" s="1273"/>
      <c r="C19" s="1268">
        <f>+(C18-C17)/2+C17</f>
        <v>5705</v>
      </c>
      <c r="D19" s="1372"/>
      <c r="E19" s="1373"/>
      <c r="F19" s="1270"/>
      <c r="G19" s="1270"/>
      <c r="H19" s="1270"/>
      <c r="I19" s="1270"/>
      <c r="J19" s="1374"/>
      <c r="K19" s="1270"/>
      <c r="L19" s="1270"/>
      <c r="M19" s="1270"/>
      <c r="N19" s="1270"/>
      <c r="O19" s="1270"/>
      <c r="P19" s="1270"/>
      <c r="Q19" s="1374"/>
      <c r="R19" s="1270"/>
      <c r="S19" s="1270"/>
      <c r="T19" s="1270"/>
      <c r="U19" s="1270"/>
      <c r="V19" s="1270"/>
      <c r="W19" s="1270"/>
      <c r="X19" s="1270"/>
      <c r="Y19" s="1270"/>
      <c r="Z19" s="1270"/>
      <c r="AA19" s="1270"/>
      <c r="AB19" s="1270"/>
      <c r="AC19" s="1270"/>
      <c r="AD19" s="1315"/>
      <c r="AE19" s="1315"/>
      <c r="AF19" s="1315"/>
      <c r="AG19" s="1315"/>
      <c r="AH19" s="1315"/>
      <c r="AI19" s="1316"/>
    </row>
    <row r="20" spans="1:113">
      <c r="A20" s="1272" t="s">
        <v>1253</v>
      </c>
      <c r="B20" s="1273"/>
      <c r="C20" s="1274"/>
      <c r="D20" s="1375">
        <f>IF(D22&gt;D21,(D22-D21)+D$2*1000+D$3*1000,(D21-D22)+D$2*1000+D$4*1000)/1000</f>
        <v>20.754999999999999</v>
      </c>
      <c r="E20" s="1376">
        <f t="shared" ref="E20:AH20" si="1">IF(E22&gt;E21,(E22-E21)+E$2*1000+E$3*1000,(E21-E22)+E$2*1000+E$4*1000)/1000</f>
        <v>21.204999999999998</v>
      </c>
      <c r="F20" s="1276">
        <f t="shared" si="1"/>
        <v>0.505</v>
      </c>
      <c r="G20" s="1276">
        <f t="shared" si="1"/>
        <v>5.2249999999999996</v>
      </c>
      <c r="H20" s="1276">
        <f t="shared" si="1"/>
        <v>3.1949999999999998</v>
      </c>
      <c r="I20" s="1276">
        <f t="shared" si="1"/>
        <v>4.2949999999999999</v>
      </c>
      <c r="J20" s="1377">
        <f t="shared" si="1"/>
        <v>9.7949999999999999</v>
      </c>
      <c r="K20" s="1276">
        <f t="shared" si="1"/>
        <v>10.295</v>
      </c>
      <c r="L20" s="1276">
        <f t="shared" si="1"/>
        <v>17.495000000000001</v>
      </c>
      <c r="M20" s="1276">
        <f t="shared" si="1"/>
        <v>24.594999999999999</v>
      </c>
      <c r="N20" s="1276">
        <f t="shared" si="1"/>
        <v>37.695</v>
      </c>
      <c r="O20" s="1276">
        <f t="shared" si="1"/>
        <v>39.295000000000002</v>
      </c>
      <c r="P20" s="1276">
        <f t="shared" si="1"/>
        <v>59.704999999999998</v>
      </c>
      <c r="Q20" s="1377">
        <f t="shared" si="1"/>
        <v>55.704999999999998</v>
      </c>
      <c r="R20" s="1276">
        <f t="shared" si="1"/>
        <v>68.004999999999995</v>
      </c>
      <c r="S20" s="1276">
        <f t="shared" si="1"/>
        <v>46.094999999999999</v>
      </c>
      <c r="T20" s="1276">
        <f t="shared" si="1"/>
        <v>49.744999999999997</v>
      </c>
      <c r="U20" s="1276">
        <f t="shared" si="1"/>
        <v>48.045000000000002</v>
      </c>
      <c r="V20" s="1276">
        <f t="shared" si="1"/>
        <v>50.325000000000003</v>
      </c>
      <c r="W20" s="1276">
        <f t="shared" si="1"/>
        <v>24.295000000000002</v>
      </c>
      <c r="X20" s="1276">
        <f t="shared" si="1"/>
        <v>57.994999999999997</v>
      </c>
      <c r="Y20" s="1276">
        <f t="shared" si="1"/>
        <v>67.295000000000002</v>
      </c>
      <c r="Z20" s="1276">
        <f t="shared" si="1"/>
        <v>73.094999999999999</v>
      </c>
      <c r="AA20" s="1276">
        <f t="shared" si="1"/>
        <v>79.644999999999996</v>
      </c>
      <c r="AB20" s="1276">
        <f t="shared" si="1"/>
        <v>84.215000000000003</v>
      </c>
      <c r="AC20" s="1276">
        <f t="shared" si="1"/>
        <v>90.715000000000003</v>
      </c>
      <c r="AD20" s="1277">
        <f t="shared" si="1"/>
        <v>16.754999999999999</v>
      </c>
      <c r="AE20" s="1277">
        <f t="shared" si="1"/>
        <v>22.295000000000002</v>
      </c>
      <c r="AF20" s="1277">
        <f t="shared" si="1"/>
        <v>32.295000000000002</v>
      </c>
      <c r="AG20" s="1277">
        <f t="shared" si="1"/>
        <v>65.295000000000002</v>
      </c>
      <c r="AH20" s="1277">
        <f t="shared" si="1"/>
        <v>77.094999999999999</v>
      </c>
      <c r="AI20" s="1316"/>
    </row>
    <row r="21" spans="1:113" hidden="1">
      <c r="A21" s="1278" t="s">
        <v>1254</v>
      </c>
      <c r="B21" s="1279"/>
      <c r="C21" s="1280"/>
      <c r="D21" s="1326">
        <f>+IF($C16=4514,IF(D$6=4514,$C19,$C19),IF(D$6=4515,$C19+101000,101000+$C19))</f>
        <v>106705</v>
      </c>
      <c r="E21" s="1326">
        <f t="shared" ref="E21:AH21" si="2">+IF($C16=4514,IF(E$6=4514,$C19,$C19),IF(E$6=4515,$C19+101000,101000+$C19))</f>
        <v>106705</v>
      </c>
      <c r="F21" s="1200">
        <f t="shared" si="2"/>
        <v>106705</v>
      </c>
      <c r="G21" s="1200">
        <f t="shared" si="2"/>
        <v>106705</v>
      </c>
      <c r="H21" s="1200">
        <f t="shared" si="2"/>
        <v>106705</v>
      </c>
      <c r="I21" s="1200">
        <f t="shared" si="2"/>
        <v>106705</v>
      </c>
      <c r="J21" s="1378">
        <f t="shared" si="2"/>
        <v>106705</v>
      </c>
      <c r="K21" s="1200">
        <f t="shared" si="2"/>
        <v>106705</v>
      </c>
      <c r="L21" s="1200">
        <f t="shared" si="2"/>
        <v>106705</v>
      </c>
      <c r="M21" s="1200">
        <f t="shared" si="2"/>
        <v>106705</v>
      </c>
      <c r="N21" s="1200">
        <f t="shared" si="2"/>
        <v>106705</v>
      </c>
      <c r="O21" s="1200">
        <f t="shared" si="2"/>
        <v>106705</v>
      </c>
      <c r="P21" s="1200">
        <f t="shared" si="2"/>
        <v>106705</v>
      </c>
      <c r="Q21" s="1378">
        <f t="shared" si="2"/>
        <v>106705</v>
      </c>
      <c r="R21" s="1200">
        <f t="shared" si="2"/>
        <v>106705</v>
      </c>
      <c r="S21" s="1200">
        <f t="shared" si="2"/>
        <v>106705</v>
      </c>
      <c r="T21" s="1200">
        <f t="shared" si="2"/>
        <v>106705</v>
      </c>
      <c r="U21" s="1200">
        <f t="shared" si="2"/>
        <v>106705</v>
      </c>
      <c r="V21" s="1200">
        <f t="shared" si="2"/>
        <v>106705</v>
      </c>
      <c r="W21" s="1200">
        <f t="shared" si="2"/>
        <v>106705</v>
      </c>
      <c r="X21" s="1200">
        <f t="shared" si="2"/>
        <v>106705</v>
      </c>
      <c r="Y21" s="1200">
        <f t="shared" si="2"/>
        <v>106705</v>
      </c>
      <c r="Z21" s="1200">
        <f t="shared" si="2"/>
        <v>106705</v>
      </c>
      <c r="AA21" s="1200">
        <f t="shared" si="2"/>
        <v>106705</v>
      </c>
      <c r="AB21" s="1200">
        <f t="shared" si="2"/>
        <v>106705</v>
      </c>
      <c r="AC21" s="1200">
        <f t="shared" si="2"/>
        <v>106705</v>
      </c>
      <c r="AD21" s="1281">
        <f t="shared" si="2"/>
        <v>106705</v>
      </c>
      <c r="AE21" s="1281">
        <f t="shared" si="2"/>
        <v>106705</v>
      </c>
      <c r="AF21" s="1281">
        <f t="shared" si="2"/>
        <v>106705</v>
      </c>
      <c r="AG21" s="1281">
        <f t="shared" si="2"/>
        <v>106705</v>
      </c>
      <c r="AH21" s="1281">
        <f t="shared" si="2"/>
        <v>106705</v>
      </c>
      <c r="AI21" s="1316"/>
    </row>
    <row r="22" spans="1:113" hidden="1">
      <c r="A22" s="1278" t="s">
        <v>1255</v>
      </c>
      <c r="B22" s="1379"/>
      <c r="C22" s="1380"/>
      <c r="D22" s="1381">
        <f>+IF($C16=4514,IF(D$6=4514,D$5,D$5+101000),IF(D$6=4515,D$5+101000,D$5))</f>
        <v>85950</v>
      </c>
      <c r="E22" s="1381">
        <f t="shared" ref="E22:AH22" si="3">+IF($C16=4514,IF(E$6=4514,E$5,E$5+101000),IF(E$6=4515,E$5+101000,E$5))</f>
        <v>85500</v>
      </c>
      <c r="F22" s="1382">
        <f t="shared" si="3"/>
        <v>106200</v>
      </c>
      <c r="G22" s="1382">
        <f t="shared" si="3"/>
        <v>110930</v>
      </c>
      <c r="H22" s="1382">
        <f t="shared" si="3"/>
        <v>109900</v>
      </c>
      <c r="I22" s="1382">
        <f t="shared" si="3"/>
        <v>110000</v>
      </c>
      <c r="J22" s="1383">
        <f t="shared" si="3"/>
        <v>116500</v>
      </c>
      <c r="K22" s="1382">
        <f t="shared" si="3"/>
        <v>117000</v>
      </c>
      <c r="L22" s="1382">
        <f t="shared" si="3"/>
        <v>124200</v>
      </c>
      <c r="M22" s="1382">
        <f t="shared" si="3"/>
        <v>126800</v>
      </c>
      <c r="N22" s="1382">
        <f t="shared" si="3"/>
        <v>144400</v>
      </c>
      <c r="O22" s="1382">
        <f t="shared" si="3"/>
        <v>146000</v>
      </c>
      <c r="P22" s="1382">
        <f t="shared" si="3"/>
        <v>47500</v>
      </c>
      <c r="Q22" s="1383">
        <f t="shared" si="3"/>
        <v>51000</v>
      </c>
      <c r="R22" s="1382">
        <f t="shared" si="3"/>
        <v>40000</v>
      </c>
      <c r="S22" s="1382">
        <f t="shared" si="3"/>
        <v>149800</v>
      </c>
      <c r="T22" s="1382">
        <f t="shared" si="3"/>
        <v>154650</v>
      </c>
      <c r="U22" s="1382">
        <f t="shared" si="3"/>
        <v>153350</v>
      </c>
      <c r="V22" s="1382">
        <f t="shared" si="3"/>
        <v>154730</v>
      </c>
      <c r="W22" s="1382">
        <f t="shared" si="3"/>
        <v>131000</v>
      </c>
      <c r="X22" s="1382">
        <f t="shared" si="3"/>
        <v>164700</v>
      </c>
      <c r="Y22" s="1382">
        <f t="shared" si="3"/>
        <v>173000</v>
      </c>
      <c r="Z22" s="1382">
        <f t="shared" si="3"/>
        <v>176000</v>
      </c>
      <c r="AA22" s="1382">
        <f t="shared" si="3"/>
        <v>185150</v>
      </c>
      <c r="AB22" s="1382">
        <f t="shared" si="3"/>
        <v>190920</v>
      </c>
      <c r="AC22" s="1382">
        <f t="shared" si="3"/>
        <v>190920</v>
      </c>
      <c r="AD22" s="1384">
        <f t="shared" si="3"/>
        <v>89950</v>
      </c>
      <c r="AE22" s="1384">
        <f t="shared" si="3"/>
        <v>129000</v>
      </c>
      <c r="AF22" s="1384">
        <f t="shared" si="3"/>
        <v>139000</v>
      </c>
      <c r="AG22" s="1384">
        <f t="shared" si="3"/>
        <v>172000</v>
      </c>
      <c r="AH22" s="1384">
        <f t="shared" si="3"/>
        <v>177800</v>
      </c>
      <c r="AI22" s="1385"/>
    </row>
    <row r="23" spans="1:113" ht="15" customHeight="1">
      <c r="A23" s="1625" t="s">
        <v>1266</v>
      </c>
      <c r="B23" s="1267" t="s">
        <v>1257</v>
      </c>
      <c r="C23" s="1282" t="e">
        <f>+#REF!</f>
        <v>#REF!</v>
      </c>
      <c r="D23" s="1236" t="e">
        <f>$C23*#REF!*#REF!</f>
        <v>#REF!</v>
      </c>
      <c r="E23" s="1354"/>
      <c r="F23" s="1237"/>
      <c r="G23" s="1237"/>
      <c r="H23" s="1237"/>
      <c r="I23" s="1237"/>
      <c r="J23" s="1386"/>
      <c r="K23" s="1237"/>
      <c r="L23" s="1237"/>
      <c r="M23" s="1237"/>
      <c r="N23" s="1237"/>
      <c r="O23" s="1237"/>
      <c r="P23" s="1237"/>
      <c r="Q23" s="1386"/>
      <c r="R23" s="1237"/>
      <c r="S23" s="1237"/>
      <c r="T23" s="1237"/>
      <c r="U23" s="1237"/>
      <c r="V23" s="1237"/>
      <c r="W23" s="1237"/>
      <c r="X23" s="1237"/>
      <c r="Y23" s="1237"/>
      <c r="Z23" s="1237"/>
      <c r="AA23" s="1237"/>
      <c r="AB23" s="1237"/>
      <c r="AC23" s="1237"/>
      <c r="AD23" s="1283"/>
      <c r="AE23" s="1283"/>
      <c r="AF23" s="1283"/>
      <c r="AG23" s="1283"/>
      <c r="AH23" s="1283"/>
      <c r="AI23" s="1317" t="e">
        <f>+SUMPRODUCT(D23:AH23,D20:AH20)</f>
        <v>#REF!</v>
      </c>
      <c r="AJ23" s="1387" t="e">
        <f>$C23*#REF!*#REF!</f>
        <v>#REF!</v>
      </c>
    </row>
    <row r="24" spans="1:113">
      <c r="A24" s="1626"/>
      <c r="B24" s="1267" t="s">
        <v>1258</v>
      </c>
      <c r="C24" s="1282" t="e">
        <f>+#REF!</f>
        <v>#REF!</v>
      </c>
      <c r="D24" s="1236" t="e">
        <f>$C24*#REF!*#REF!</f>
        <v>#REF!</v>
      </c>
      <c r="E24" s="1354"/>
      <c r="F24" s="1237"/>
      <c r="G24" s="1237"/>
      <c r="H24" s="1237"/>
      <c r="I24" s="1237"/>
      <c r="J24" s="1386"/>
      <c r="K24" s="1237"/>
      <c r="L24" s="1237"/>
      <c r="M24" s="1237"/>
      <c r="N24" s="1237"/>
      <c r="O24" s="1237"/>
      <c r="P24" s="1237"/>
      <c r="Q24" s="1386"/>
      <c r="R24" s="1237"/>
      <c r="S24" s="1237"/>
      <c r="T24" s="1237"/>
      <c r="U24" s="1237"/>
      <c r="V24" s="1237"/>
      <c r="W24" s="1237"/>
      <c r="X24" s="1237"/>
      <c r="Y24" s="1237"/>
      <c r="Z24" s="1237"/>
      <c r="AA24" s="1237"/>
      <c r="AB24" s="1237"/>
      <c r="AC24" s="1237"/>
      <c r="AD24" s="1283"/>
      <c r="AE24" s="1283"/>
      <c r="AF24" s="1283"/>
      <c r="AG24" s="1283"/>
      <c r="AH24" s="1283"/>
      <c r="AI24" s="1317" t="e">
        <f>+SUMPRODUCT(D24:AH24,D20:AH20)</f>
        <v>#REF!</v>
      </c>
      <c r="AJ24" s="1387" t="e">
        <f>$C24*#REF!*#REF!</f>
        <v>#REF!</v>
      </c>
    </row>
    <row r="25" spans="1:113">
      <c r="A25" s="1626"/>
      <c r="B25" s="1267" t="s">
        <v>1259</v>
      </c>
      <c r="C25" s="1282" t="e">
        <f>+#REF!</f>
        <v>#REF!</v>
      </c>
      <c r="D25" s="1236"/>
      <c r="E25" s="1354"/>
      <c r="F25" s="1237"/>
      <c r="G25" s="1237"/>
      <c r="H25" s="1237"/>
      <c r="I25" s="1237"/>
      <c r="J25" s="1386"/>
      <c r="K25" s="1237"/>
      <c r="L25" s="1237"/>
      <c r="M25" s="1237"/>
      <c r="N25" s="1237"/>
      <c r="O25" s="1237"/>
      <c r="P25" s="1237"/>
      <c r="Q25" s="1386"/>
      <c r="R25" s="1237"/>
      <c r="S25" s="1237"/>
      <c r="T25" s="1237"/>
      <c r="U25" s="1237"/>
      <c r="V25" s="1237"/>
      <c r="W25" s="1237"/>
      <c r="X25" s="1237"/>
      <c r="Y25" s="1237"/>
      <c r="Z25" s="1237"/>
      <c r="AA25" s="1237"/>
      <c r="AB25" s="1237"/>
      <c r="AC25" s="1237"/>
      <c r="AD25" s="1283" t="e">
        <f>+$C25*#REF!*#REF!</f>
        <v>#REF!</v>
      </c>
      <c r="AE25" s="1283"/>
      <c r="AF25" s="1283"/>
      <c r="AG25" s="1283"/>
      <c r="AH25" s="1283"/>
      <c r="AI25" s="1317" t="e">
        <f>+SUMPRODUCT(D25:AH25,D20:AH20)</f>
        <v>#REF!</v>
      </c>
      <c r="AJ25" s="1236" t="e">
        <f>+$C25*#REF!*#REF!</f>
        <v>#REF!</v>
      </c>
    </row>
    <row r="26" spans="1:113">
      <c r="A26" s="1626"/>
      <c r="B26" s="1267" t="s">
        <v>1260</v>
      </c>
      <c r="C26" s="1282" t="e">
        <f>+#REF!</f>
        <v>#REF!</v>
      </c>
      <c r="D26" s="1236"/>
      <c r="E26" s="1354"/>
      <c r="F26" s="1237"/>
      <c r="G26" s="1237"/>
      <c r="H26" s="1237"/>
      <c r="I26" s="1237"/>
      <c r="J26" s="1386"/>
      <c r="K26" s="1237"/>
      <c r="L26" s="1237"/>
      <c r="M26" s="1237"/>
      <c r="N26" s="1237"/>
      <c r="O26" s="1237"/>
      <c r="P26" s="1237"/>
      <c r="Q26" s="1386"/>
      <c r="R26" s="1237"/>
      <c r="S26" s="1237"/>
      <c r="T26" s="1237"/>
      <c r="U26" s="1237"/>
      <c r="V26" s="1237"/>
      <c r="W26" s="1237"/>
      <c r="X26" s="1237"/>
      <c r="Y26" s="1237"/>
      <c r="Z26" s="1237"/>
      <c r="AA26" s="1237"/>
      <c r="AB26" s="1237"/>
      <c r="AC26" s="1237"/>
      <c r="AD26" s="1283" t="e">
        <f>+$C26*#REF!*#REF!</f>
        <v>#REF!</v>
      </c>
      <c r="AE26" s="1283"/>
      <c r="AF26" s="1283"/>
      <c r="AG26" s="1283"/>
      <c r="AH26" s="1283"/>
      <c r="AI26" s="1317" t="e">
        <f>+SUMPRODUCT(D26:AH26,D20:AH20)</f>
        <v>#REF!</v>
      </c>
      <c r="AJ26" s="1387" t="e">
        <f>+$C26*#REF!*#REF!</f>
        <v>#REF!</v>
      </c>
    </row>
    <row r="27" spans="1:113">
      <c r="A27" s="1626"/>
      <c r="B27" s="1267" t="s">
        <v>1261</v>
      </c>
      <c r="C27" s="1282" t="e">
        <f>+#REF!</f>
        <v>#REF!</v>
      </c>
      <c r="D27" s="1236"/>
      <c r="E27" s="1354"/>
      <c r="F27" s="1237"/>
      <c r="G27" s="1237"/>
      <c r="H27" s="1237"/>
      <c r="I27" s="1237"/>
      <c r="J27" s="1386"/>
      <c r="K27" s="1237"/>
      <c r="L27" s="1237"/>
      <c r="M27" s="1237"/>
      <c r="N27" s="1237"/>
      <c r="O27" s="1237"/>
      <c r="P27" s="1237"/>
      <c r="Q27" s="1386"/>
      <c r="R27" s="1237"/>
      <c r="S27" s="1237"/>
      <c r="T27" s="1237"/>
      <c r="U27" s="1237"/>
      <c r="V27" s="1237"/>
      <c r="W27" s="1237"/>
      <c r="X27" s="1237"/>
      <c r="Y27" s="1237"/>
      <c r="Z27" s="1237"/>
      <c r="AA27" s="1237"/>
      <c r="AB27" s="1237"/>
      <c r="AC27" s="1237"/>
      <c r="AD27" s="1283" t="e">
        <f>+$C27*#REF!*#REF!</f>
        <v>#REF!</v>
      </c>
      <c r="AE27" s="1283"/>
      <c r="AF27" s="1283"/>
      <c r="AG27" s="1283"/>
      <c r="AH27" s="1283"/>
      <c r="AI27" s="1317" t="e">
        <f>+SUMPRODUCT(D27:AH27,D20:AH20)</f>
        <v>#REF!</v>
      </c>
      <c r="AJ27" s="1387" t="e">
        <f>+$C27*#REF!*#REF!</f>
        <v>#REF!</v>
      </c>
    </row>
    <row r="28" spans="1:113" s="1186" customFormat="1" ht="30">
      <c r="A28" s="1627"/>
      <c r="B28" s="1285" t="s">
        <v>1262</v>
      </c>
      <c r="C28" s="1286" t="e">
        <f>+#REF!</f>
        <v>#REF!</v>
      </c>
      <c r="D28" s="1287"/>
      <c r="E28" s="1246"/>
      <c r="F28" s="1246"/>
      <c r="G28" s="1246"/>
      <c r="H28" s="1246"/>
      <c r="I28" s="1246"/>
      <c r="J28" s="1246"/>
      <c r="K28" s="1246"/>
      <c r="L28" s="1246"/>
      <c r="M28" s="1246"/>
      <c r="N28" s="1246"/>
      <c r="O28" s="1246"/>
      <c r="P28" s="1246"/>
      <c r="Q28" s="1246"/>
      <c r="R28" s="1246"/>
      <c r="S28" s="1246"/>
      <c r="T28" s="1246"/>
      <c r="U28" s="1246"/>
      <c r="V28" s="1246"/>
      <c r="W28" s="1246"/>
      <c r="X28" s="1246"/>
      <c r="Y28" s="1246"/>
      <c r="Z28" s="1246"/>
      <c r="AA28" s="1246"/>
      <c r="AB28" s="1246"/>
      <c r="AC28" s="1246"/>
      <c r="AD28" s="1247" t="e">
        <f>+$C28*#REF!</f>
        <v>#REF!</v>
      </c>
      <c r="AE28" s="1247"/>
      <c r="AF28" s="1247"/>
      <c r="AG28" s="1247"/>
      <c r="AH28" s="1247"/>
      <c r="AI28" s="1388" t="e">
        <f>+SUMPRODUCT(D28:AH28,D20:AH20)</f>
        <v>#REF!</v>
      </c>
      <c r="AJ28" s="1287" t="e">
        <f>+$C28*#REF!</f>
        <v>#REF!</v>
      </c>
    </row>
    <row r="29" spans="1:113">
      <c r="A29" s="1253" t="s">
        <v>1247</v>
      </c>
      <c r="B29" s="1289"/>
      <c r="C29" s="1290" t="s">
        <v>1307</v>
      </c>
      <c r="D29" s="1369"/>
      <c r="E29" s="1370"/>
      <c r="F29" s="1265"/>
      <c r="G29" s="1265"/>
      <c r="H29" s="1265"/>
      <c r="I29" s="1265"/>
      <c r="J29" s="1371"/>
      <c r="K29" s="1265"/>
      <c r="L29" s="1265"/>
      <c r="M29" s="1265"/>
      <c r="N29" s="1265"/>
      <c r="O29" s="1265"/>
      <c r="P29" s="1265"/>
      <c r="Q29" s="1371"/>
      <c r="R29" s="1265"/>
      <c r="S29" s="1265"/>
      <c r="T29" s="1265"/>
      <c r="U29" s="1265"/>
      <c r="V29" s="1265"/>
      <c r="W29" s="1265"/>
      <c r="X29" s="1265"/>
      <c r="Y29" s="1265"/>
      <c r="Z29" s="1265"/>
      <c r="AA29" s="1265"/>
      <c r="AB29" s="1265"/>
      <c r="AC29" s="1265"/>
      <c r="AD29" s="1314"/>
      <c r="AE29" s="1314"/>
      <c r="AF29" s="1314"/>
      <c r="AG29" s="1314"/>
      <c r="AH29" s="1314"/>
      <c r="AI29" s="1389"/>
      <c r="AJ29" s="1260"/>
      <c r="AK29" s="1260"/>
      <c r="AL29" s="1260"/>
      <c r="AM29" s="1260"/>
      <c r="AN29" s="1260"/>
      <c r="AO29" s="1260"/>
      <c r="AP29" s="1260"/>
      <c r="AQ29" s="1260"/>
      <c r="AR29" s="1260"/>
      <c r="AS29" s="1260"/>
      <c r="AT29" s="1260"/>
      <c r="AU29" s="1260"/>
      <c r="AV29" s="1260"/>
      <c r="AW29" s="1260"/>
      <c r="AX29" s="1260"/>
      <c r="AY29" s="1260"/>
      <c r="AZ29" s="1260"/>
      <c r="BA29" s="1260"/>
      <c r="BB29" s="1260"/>
      <c r="BC29" s="1260"/>
      <c r="BD29" s="1260"/>
      <c r="BE29" s="1260"/>
      <c r="BF29" s="1260"/>
      <c r="BG29" s="1260"/>
      <c r="BH29" s="1260"/>
      <c r="BI29" s="1260"/>
      <c r="BJ29" s="1260"/>
      <c r="BK29" s="1260"/>
      <c r="BL29" s="1260"/>
      <c r="BM29" s="1260"/>
      <c r="BN29" s="1260"/>
      <c r="BO29" s="1260"/>
      <c r="BP29" s="1260"/>
      <c r="BQ29" s="1260"/>
      <c r="BR29" s="1260"/>
      <c r="BS29" s="1260"/>
      <c r="BT29" s="1260"/>
      <c r="BU29" s="1260"/>
      <c r="BV29" s="1260"/>
      <c r="BW29" s="1260"/>
      <c r="BX29" s="1260"/>
      <c r="BY29" s="1260"/>
      <c r="BZ29" s="1260"/>
      <c r="CA29" s="1260"/>
      <c r="CB29" s="1260"/>
      <c r="CC29" s="1260"/>
      <c r="CD29" s="1260"/>
      <c r="CE29" s="1260"/>
      <c r="CF29" s="1260"/>
      <c r="CG29" s="1260"/>
      <c r="CH29" s="1260"/>
      <c r="CI29" s="1260"/>
      <c r="CJ29" s="1260"/>
      <c r="CK29" s="1260"/>
      <c r="CL29" s="1260"/>
      <c r="CM29" s="1260"/>
      <c r="CN29" s="1260"/>
      <c r="CO29" s="1260"/>
      <c r="CP29" s="1260"/>
      <c r="CQ29" s="1260"/>
      <c r="CR29" s="1260"/>
      <c r="CS29" s="1260"/>
      <c r="CT29" s="1260"/>
      <c r="CU29" s="1260"/>
      <c r="CV29" s="1260"/>
      <c r="CW29" s="1260"/>
      <c r="CX29" s="1260"/>
      <c r="CY29" s="1260"/>
      <c r="CZ29" s="1260"/>
      <c r="DA29" s="1260"/>
      <c r="DB29" s="1260"/>
      <c r="DC29" s="1260"/>
      <c r="DD29" s="1260"/>
      <c r="DE29" s="1260"/>
      <c r="DF29" s="1260"/>
      <c r="DG29" s="1260"/>
      <c r="DH29" s="1260"/>
      <c r="DI29" s="1260"/>
    </row>
    <row r="30" spans="1:113">
      <c r="A30" s="1261" t="s">
        <v>1227</v>
      </c>
      <c r="B30" s="1262"/>
      <c r="C30" s="1263">
        <v>4515</v>
      </c>
      <c r="D30" s="1369"/>
      <c r="E30" s="1370"/>
      <c r="F30" s="1265"/>
      <c r="G30" s="1265"/>
      <c r="H30" s="1265"/>
      <c r="I30" s="1265"/>
      <c r="J30" s="1371"/>
      <c r="K30" s="1265"/>
      <c r="L30" s="1265"/>
      <c r="M30" s="1265"/>
      <c r="N30" s="1265"/>
      <c r="O30" s="1265"/>
      <c r="P30" s="1265"/>
      <c r="Q30" s="1371"/>
      <c r="R30" s="1265"/>
      <c r="S30" s="1265"/>
      <c r="T30" s="1265"/>
      <c r="U30" s="1265"/>
      <c r="V30" s="1265"/>
      <c r="W30" s="1265"/>
      <c r="X30" s="1265"/>
      <c r="Y30" s="1265"/>
      <c r="Z30" s="1265"/>
      <c r="AA30" s="1265"/>
      <c r="AB30" s="1265"/>
      <c r="AC30" s="1265"/>
      <c r="AD30" s="1314"/>
      <c r="AE30" s="1314"/>
      <c r="AF30" s="1314"/>
      <c r="AG30" s="1314"/>
      <c r="AH30" s="1314"/>
      <c r="AI30" s="1313"/>
      <c r="AJ30" s="1260"/>
      <c r="AK30" s="1260"/>
      <c r="AL30" s="1260"/>
      <c r="AM30" s="1260"/>
      <c r="AN30" s="1260"/>
      <c r="AO30" s="1260"/>
      <c r="AP30" s="1260"/>
      <c r="AQ30" s="1260"/>
      <c r="AR30" s="1260"/>
      <c r="AS30" s="1260"/>
      <c r="AT30" s="1260"/>
      <c r="AU30" s="1260"/>
      <c r="AV30" s="1260"/>
      <c r="AW30" s="1260"/>
      <c r="AX30" s="1260"/>
      <c r="AY30" s="1260"/>
      <c r="AZ30" s="1260"/>
      <c r="BA30" s="1260"/>
      <c r="BB30" s="1260"/>
      <c r="BC30" s="1260"/>
      <c r="BD30" s="1260"/>
      <c r="BE30" s="1260"/>
      <c r="BF30" s="1260"/>
      <c r="BG30" s="1260"/>
      <c r="BH30" s="1260"/>
      <c r="BI30" s="1260"/>
      <c r="BJ30" s="1260"/>
      <c r="BK30" s="1260"/>
      <c r="BL30" s="1260"/>
      <c r="BM30" s="1260"/>
      <c r="BN30" s="1260"/>
      <c r="BO30" s="1260"/>
      <c r="BP30" s="1260"/>
      <c r="BQ30" s="1260"/>
      <c r="BR30" s="1260"/>
      <c r="BS30" s="1260"/>
      <c r="BT30" s="1260"/>
      <c r="BU30" s="1260"/>
      <c r="BV30" s="1260"/>
      <c r="BW30" s="1260"/>
      <c r="BX30" s="1260"/>
      <c r="BY30" s="1260"/>
      <c r="BZ30" s="1260"/>
      <c r="CA30" s="1260"/>
      <c r="CB30" s="1260"/>
      <c r="CC30" s="1260"/>
      <c r="CD30" s="1260"/>
      <c r="CE30" s="1260"/>
      <c r="CF30" s="1260"/>
      <c r="CG30" s="1260"/>
      <c r="CH30" s="1260"/>
      <c r="CI30" s="1260"/>
      <c r="CJ30" s="1260"/>
      <c r="CK30" s="1260"/>
      <c r="CL30" s="1260"/>
      <c r="CM30" s="1260"/>
      <c r="CN30" s="1260"/>
      <c r="CO30" s="1260"/>
      <c r="CP30" s="1260"/>
      <c r="CQ30" s="1260"/>
      <c r="CR30" s="1260"/>
      <c r="CS30" s="1260"/>
      <c r="CT30" s="1260"/>
      <c r="CU30" s="1260"/>
      <c r="CV30" s="1260"/>
      <c r="CW30" s="1260"/>
      <c r="CX30" s="1260"/>
      <c r="CY30" s="1260"/>
      <c r="CZ30" s="1260"/>
      <c r="DA30" s="1260"/>
      <c r="DB30" s="1260"/>
      <c r="DC30" s="1260"/>
      <c r="DD30" s="1260"/>
      <c r="DE30" s="1260"/>
      <c r="DF30" s="1260"/>
      <c r="DG30" s="1260"/>
      <c r="DH30" s="1260"/>
      <c r="DI30" s="1260"/>
    </row>
    <row r="31" spans="1:113" ht="15" customHeight="1">
      <c r="A31" s="1622" t="s">
        <v>1249</v>
      </c>
      <c r="B31" s="1267" t="s">
        <v>1250</v>
      </c>
      <c r="C31" s="1268">
        <v>9400</v>
      </c>
      <c r="D31" s="1372"/>
      <c r="E31" s="1373"/>
      <c r="F31" s="1270"/>
      <c r="G31" s="1270"/>
      <c r="H31" s="1270"/>
      <c r="I31" s="1270"/>
      <c r="J31" s="1374"/>
      <c r="K31" s="1270"/>
      <c r="L31" s="1270"/>
      <c r="M31" s="1270"/>
      <c r="N31" s="1270"/>
      <c r="O31" s="1270"/>
      <c r="P31" s="1270"/>
      <c r="Q31" s="1374"/>
      <c r="R31" s="1270"/>
      <c r="S31" s="1270"/>
      <c r="T31" s="1270"/>
      <c r="U31" s="1270"/>
      <c r="V31" s="1270"/>
      <c r="W31" s="1270"/>
      <c r="X31" s="1270"/>
      <c r="Y31" s="1270"/>
      <c r="Z31" s="1270"/>
      <c r="AA31" s="1270"/>
      <c r="AB31" s="1270"/>
      <c r="AC31" s="1270"/>
      <c r="AD31" s="1303"/>
      <c r="AE31" s="1303"/>
      <c r="AF31" s="1303"/>
      <c r="AG31" s="1303"/>
      <c r="AH31" s="1303"/>
      <c r="AI31" s="1313"/>
      <c r="AJ31" s="1260"/>
      <c r="AK31" s="1260"/>
      <c r="AL31" s="1260"/>
      <c r="AM31" s="1260"/>
      <c r="AN31" s="1260"/>
      <c r="AO31" s="1260"/>
      <c r="AP31" s="1260"/>
      <c r="AQ31" s="1260"/>
      <c r="AR31" s="1260"/>
      <c r="AS31" s="1260"/>
      <c r="AT31" s="1260"/>
      <c r="AU31" s="1260"/>
      <c r="AV31" s="1260"/>
      <c r="AW31" s="1260"/>
      <c r="AX31" s="1260"/>
      <c r="AY31" s="1260"/>
      <c r="AZ31" s="1260"/>
      <c r="BA31" s="1260"/>
      <c r="BB31" s="1260"/>
      <c r="BC31" s="1260"/>
      <c r="BD31" s="1260"/>
      <c r="BE31" s="1260"/>
      <c r="BF31" s="1260"/>
      <c r="BG31" s="1260"/>
      <c r="BH31" s="1260"/>
      <c r="BI31" s="1260"/>
      <c r="BJ31" s="1260"/>
      <c r="BK31" s="1260"/>
      <c r="BL31" s="1260"/>
      <c r="BM31" s="1260"/>
      <c r="BN31" s="1260"/>
      <c r="BO31" s="1260"/>
      <c r="BP31" s="1260"/>
      <c r="BQ31" s="1260"/>
      <c r="BR31" s="1260"/>
      <c r="BS31" s="1260"/>
      <c r="BT31" s="1260"/>
      <c r="BU31" s="1260"/>
      <c r="BV31" s="1260"/>
      <c r="BW31" s="1260"/>
      <c r="BX31" s="1260"/>
      <c r="BY31" s="1260"/>
      <c r="BZ31" s="1260"/>
      <c r="CA31" s="1260"/>
      <c r="CB31" s="1260"/>
      <c r="CC31" s="1260"/>
      <c r="CD31" s="1260"/>
      <c r="CE31" s="1260"/>
      <c r="CF31" s="1260"/>
      <c r="CG31" s="1260"/>
      <c r="CH31" s="1260"/>
      <c r="CI31" s="1260"/>
      <c r="CJ31" s="1260"/>
      <c r="CK31" s="1260"/>
      <c r="CL31" s="1260"/>
      <c r="CM31" s="1260"/>
      <c r="CN31" s="1260"/>
      <c r="CO31" s="1260"/>
      <c r="CP31" s="1260"/>
      <c r="CQ31" s="1260"/>
      <c r="CR31" s="1260"/>
      <c r="CS31" s="1260"/>
      <c r="CT31" s="1260"/>
      <c r="CU31" s="1260"/>
      <c r="CV31" s="1260"/>
      <c r="CW31" s="1260"/>
      <c r="CX31" s="1260"/>
      <c r="CY31" s="1260"/>
      <c r="CZ31" s="1260"/>
      <c r="DA31" s="1260"/>
      <c r="DB31" s="1260"/>
      <c r="DC31" s="1260"/>
      <c r="DD31" s="1260"/>
      <c r="DE31" s="1260"/>
      <c r="DF31" s="1260"/>
      <c r="DG31" s="1260"/>
      <c r="DH31" s="1260"/>
      <c r="DI31" s="1260"/>
    </row>
    <row r="32" spans="1:113">
      <c r="A32" s="1622"/>
      <c r="B32" s="1267" t="s">
        <v>1251</v>
      </c>
      <c r="C32" s="1268">
        <v>9930</v>
      </c>
      <c r="D32" s="1372"/>
      <c r="E32" s="1373"/>
      <c r="F32" s="1270"/>
      <c r="G32" s="1270"/>
      <c r="H32" s="1270"/>
      <c r="I32" s="1270"/>
      <c r="J32" s="1374"/>
      <c r="K32" s="1270"/>
      <c r="L32" s="1270"/>
      <c r="M32" s="1270"/>
      <c r="N32" s="1270"/>
      <c r="O32" s="1270"/>
      <c r="P32" s="1270"/>
      <c r="Q32" s="1374"/>
      <c r="R32" s="1270"/>
      <c r="S32" s="1270"/>
      <c r="T32" s="1270"/>
      <c r="U32" s="1270"/>
      <c r="V32" s="1270"/>
      <c r="W32" s="1270"/>
      <c r="X32" s="1270"/>
      <c r="Y32" s="1270"/>
      <c r="Z32" s="1270"/>
      <c r="AA32" s="1270"/>
      <c r="AB32" s="1270"/>
      <c r="AC32" s="1270"/>
      <c r="AD32" s="1315"/>
      <c r="AE32" s="1315"/>
      <c r="AF32" s="1315"/>
      <c r="AG32" s="1315"/>
      <c r="AH32" s="1315"/>
      <c r="AI32" s="1316"/>
    </row>
    <row r="33" spans="1:113">
      <c r="A33" s="1272" t="s">
        <v>1252</v>
      </c>
      <c r="B33" s="1273"/>
      <c r="C33" s="1268">
        <f>+(C32-C31)/2+C31</f>
        <v>9665</v>
      </c>
      <c r="D33" s="1372"/>
      <c r="E33" s="1373"/>
      <c r="F33" s="1270"/>
      <c r="G33" s="1270"/>
      <c r="H33" s="1270"/>
      <c r="I33" s="1270"/>
      <c r="J33" s="1374"/>
      <c r="K33" s="1270"/>
      <c r="L33" s="1270"/>
      <c r="M33" s="1270"/>
      <c r="N33" s="1270"/>
      <c r="O33" s="1270"/>
      <c r="P33" s="1270"/>
      <c r="Q33" s="1374"/>
      <c r="R33" s="1270"/>
      <c r="S33" s="1270"/>
      <c r="T33" s="1270"/>
      <c r="U33" s="1270"/>
      <c r="V33" s="1270"/>
      <c r="W33" s="1270"/>
      <c r="X33" s="1270"/>
      <c r="Y33" s="1270"/>
      <c r="Z33" s="1270"/>
      <c r="AA33" s="1270"/>
      <c r="AB33" s="1270"/>
      <c r="AC33" s="1270"/>
      <c r="AD33" s="1315"/>
      <c r="AE33" s="1315"/>
      <c r="AF33" s="1315"/>
      <c r="AG33" s="1315"/>
      <c r="AH33" s="1315"/>
      <c r="AI33" s="1316"/>
    </row>
    <row r="34" spans="1:113">
      <c r="A34" s="1272" t="s">
        <v>1253</v>
      </c>
      <c r="B34" s="1273"/>
      <c r="C34" s="1274"/>
      <c r="D34" s="1390">
        <f>IF(D36&gt;D35,(D36-D35)+D$2*1000+D$3*1000,(D35-D36)+D$2*1000+D$4*1000)/1000</f>
        <v>24.715</v>
      </c>
      <c r="E34" s="1376">
        <f t="shared" ref="E34:AH34" si="4">IF(E36&gt;E35,(E36-E35)+E$2*1000+E$3*1000,(E35-E36)+E$2*1000+E$4*1000)/1000</f>
        <v>25.164999999999999</v>
      </c>
      <c r="F34" s="1276">
        <f t="shared" si="4"/>
        <v>4.4649999999999999</v>
      </c>
      <c r="G34" s="1276">
        <f t="shared" si="4"/>
        <v>1.2649999999999999</v>
      </c>
      <c r="H34" s="1276">
        <f t="shared" si="4"/>
        <v>0.76500000000000001</v>
      </c>
      <c r="I34" s="1276">
        <f t="shared" si="4"/>
        <v>1.665</v>
      </c>
      <c r="J34" s="1377">
        <f t="shared" si="4"/>
        <v>5.835</v>
      </c>
      <c r="K34" s="1276">
        <f t="shared" si="4"/>
        <v>6.335</v>
      </c>
      <c r="L34" s="1276">
        <f t="shared" si="4"/>
        <v>13.535</v>
      </c>
      <c r="M34" s="1276">
        <f t="shared" si="4"/>
        <v>20.635000000000002</v>
      </c>
      <c r="N34" s="1276">
        <f t="shared" si="4"/>
        <v>33.734999999999999</v>
      </c>
      <c r="O34" s="1276">
        <f t="shared" si="4"/>
        <v>35.335000000000001</v>
      </c>
      <c r="P34" s="1276">
        <f t="shared" si="4"/>
        <v>63.664999999999999</v>
      </c>
      <c r="Q34" s="1377">
        <f t="shared" si="4"/>
        <v>59.664999999999999</v>
      </c>
      <c r="R34" s="1276">
        <f t="shared" si="4"/>
        <v>71.965000000000003</v>
      </c>
      <c r="S34" s="1276">
        <f t="shared" si="4"/>
        <v>42.134999999999998</v>
      </c>
      <c r="T34" s="1276">
        <f t="shared" si="4"/>
        <v>45.784999999999997</v>
      </c>
      <c r="U34" s="1276">
        <f t="shared" si="4"/>
        <v>44.085000000000001</v>
      </c>
      <c r="V34" s="1276">
        <f t="shared" si="4"/>
        <v>46.365000000000002</v>
      </c>
      <c r="W34" s="1276">
        <f t="shared" si="4"/>
        <v>20.335000000000001</v>
      </c>
      <c r="X34" s="1276">
        <f t="shared" si="4"/>
        <v>54.034999999999997</v>
      </c>
      <c r="Y34" s="1276">
        <f t="shared" si="4"/>
        <v>63.335000000000001</v>
      </c>
      <c r="Z34" s="1276">
        <f t="shared" si="4"/>
        <v>69.135000000000005</v>
      </c>
      <c r="AA34" s="1276">
        <f t="shared" si="4"/>
        <v>75.685000000000002</v>
      </c>
      <c r="AB34" s="1276">
        <f t="shared" si="4"/>
        <v>80.254999999999995</v>
      </c>
      <c r="AC34" s="1276">
        <f t="shared" si="4"/>
        <v>86.754999999999995</v>
      </c>
      <c r="AD34" s="1277">
        <f t="shared" si="4"/>
        <v>20.715</v>
      </c>
      <c r="AE34" s="1277">
        <f t="shared" si="4"/>
        <v>18.335000000000001</v>
      </c>
      <c r="AF34" s="1277">
        <f t="shared" si="4"/>
        <v>28.335000000000001</v>
      </c>
      <c r="AG34" s="1277">
        <f t="shared" si="4"/>
        <v>61.335000000000001</v>
      </c>
      <c r="AH34" s="1277">
        <f t="shared" si="4"/>
        <v>73.135000000000005</v>
      </c>
      <c r="AI34" s="1316"/>
    </row>
    <row r="35" spans="1:113" hidden="1">
      <c r="A35" s="1278" t="s">
        <v>1254</v>
      </c>
      <c r="B35" s="1279"/>
      <c r="C35" s="1280"/>
      <c r="D35" s="1326">
        <f>+IF($C30=4514,IF(D$6=4514,$C33,$C33),IF(D$6=4515,$C33+101000,101000+$C33))</f>
        <v>110665</v>
      </c>
      <c r="E35" s="1326">
        <f t="shared" ref="E35:AH35" si="5">+IF($C30=4514,IF(E$6=4514,$C33,$C33),IF(E$6=4515,$C33+101000,101000+$C33))</f>
        <v>110665</v>
      </c>
      <c r="F35" s="1200">
        <f t="shared" si="5"/>
        <v>110665</v>
      </c>
      <c r="G35" s="1200">
        <f t="shared" si="5"/>
        <v>110665</v>
      </c>
      <c r="H35" s="1200">
        <f t="shared" si="5"/>
        <v>110665</v>
      </c>
      <c r="I35" s="1200">
        <f t="shared" si="5"/>
        <v>110665</v>
      </c>
      <c r="J35" s="1378">
        <f t="shared" si="5"/>
        <v>110665</v>
      </c>
      <c r="K35" s="1200">
        <f t="shared" si="5"/>
        <v>110665</v>
      </c>
      <c r="L35" s="1200">
        <f t="shared" si="5"/>
        <v>110665</v>
      </c>
      <c r="M35" s="1200">
        <f t="shared" si="5"/>
        <v>110665</v>
      </c>
      <c r="N35" s="1200">
        <f t="shared" si="5"/>
        <v>110665</v>
      </c>
      <c r="O35" s="1200">
        <f t="shared" si="5"/>
        <v>110665</v>
      </c>
      <c r="P35" s="1200">
        <f t="shared" si="5"/>
        <v>110665</v>
      </c>
      <c r="Q35" s="1378">
        <f t="shared" si="5"/>
        <v>110665</v>
      </c>
      <c r="R35" s="1200">
        <f t="shared" si="5"/>
        <v>110665</v>
      </c>
      <c r="S35" s="1200">
        <f t="shared" si="5"/>
        <v>110665</v>
      </c>
      <c r="T35" s="1200">
        <f t="shared" si="5"/>
        <v>110665</v>
      </c>
      <c r="U35" s="1200">
        <f t="shared" si="5"/>
        <v>110665</v>
      </c>
      <c r="V35" s="1200">
        <f t="shared" si="5"/>
        <v>110665</v>
      </c>
      <c r="W35" s="1200">
        <f t="shared" si="5"/>
        <v>110665</v>
      </c>
      <c r="X35" s="1200">
        <f t="shared" si="5"/>
        <v>110665</v>
      </c>
      <c r="Y35" s="1200">
        <f t="shared" si="5"/>
        <v>110665</v>
      </c>
      <c r="Z35" s="1200">
        <f t="shared" si="5"/>
        <v>110665</v>
      </c>
      <c r="AA35" s="1200">
        <f t="shared" si="5"/>
        <v>110665</v>
      </c>
      <c r="AB35" s="1200">
        <f t="shared" si="5"/>
        <v>110665</v>
      </c>
      <c r="AC35" s="1200">
        <f t="shared" si="5"/>
        <v>110665</v>
      </c>
      <c r="AD35" s="1281">
        <f t="shared" si="5"/>
        <v>110665</v>
      </c>
      <c r="AE35" s="1281">
        <f t="shared" si="5"/>
        <v>110665</v>
      </c>
      <c r="AF35" s="1281">
        <f t="shared" si="5"/>
        <v>110665</v>
      </c>
      <c r="AG35" s="1281">
        <f t="shared" si="5"/>
        <v>110665</v>
      </c>
      <c r="AH35" s="1281">
        <f t="shared" si="5"/>
        <v>110665</v>
      </c>
      <c r="AI35" s="1316"/>
    </row>
    <row r="36" spans="1:113" hidden="1">
      <c r="A36" s="1278" t="s">
        <v>1255</v>
      </c>
      <c r="B36" s="1279"/>
      <c r="C36" s="1280"/>
      <c r="D36" s="1326">
        <f>+IF($C30=4514,IF(D$6=4514,D$5,D$5+101000),IF(D$6=4515,D$5+101000,D$5))</f>
        <v>85950</v>
      </c>
      <c r="E36" s="1326">
        <f t="shared" ref="E36:AH36" si="6">+IF($C30=4514,IF(E$6=4514,E$5,E$5+101000),IF(E$6=4515,E$5+101000,E$5))</f>
        <v>85500</v>
      </c>
      <c r="F36" s="1200">
        <f t="shared" si="6"/>
        <v>106200</v>
      </c>
      <c r="G36" s="1200">
        <f t="shared" si="6"/>
        <v>110930</v>
      </c>
      <c r="H36" s="1200">
        <f t="shared" si="6"/>
        <v>109900</v>
      </c>
      <c r="I36" s="1200">
        <f t="shared" si="6"/>
        <v>110000</v>
      </c>
      <c r="J36" s="1378">
        <f t="shared" si="6"/>
        <v>116500</v>
      </c>
      <c r="K36" s="1200">
        <f t="shared" si="6"/>
        <v>117000</v>
      </c>
      <c r="L36" s="1200">
        <f t="shared" si="6"/>
        <v>124200</v>
      </c>
      <c r="M36" s="1200">
        <f t="shared" si="6"/>
        <v>126800</v>
      </c>
      <c r="N36" s="1200">
        <f t="shared" si="6"/>
        <v>144400</v>
      </c>
      <c r="O36" s="1200">
        <f t="shared" si="6"/>
        <v>146000</v>
      </c>
      <c r="P36" s="1200">
        <f t="shared" si="6"/>
        <v>47500</v>
      </c>
      <c r="Q36" s="1378">
        <f t="shared" si="6"/>
        <v>51000</v>
      </c>
      <c r="R36" s="1200">
        <f t="shared" si="6"/>
        <v>40000</v>
      </c>
      <c r="S36" s="1200">
        <f t="shared" si="6"/>
        <v>149800</v>
      </c>
      <c r="T36" s="1200">
        <f t="shared" si="6"/>
        <v>154650</v>
      </c>
      <c r="U36" s="1200">
        <f t="shared" si="6"/>
        <v>153350</v>
      </c>
      <c r="V36" s="1200">
        <f t="shared" si="6"/>
        <v>154730</v>
      </c>
      <c r="W36" s="1200">
        <f t="shared" si="6"/>
        <v>131000</v>
      </c>
      <c r="X36" s="1200">
        <f t="shared" si="6"/>
        <v>164700</v>
      </c>
      <c r="Y36" s="1200">
        <f t="shared" si="6"/>
        <v>173000</v>
      </c>
      <c r="Z36" s="1200">
        <f t="shared" si="6"/>
        <v>176000</v>
      </c>
      <c r="AA36" s="1200">
        <f t="shared" si="6"/>
        <v>185150</v>
      </c>
      <c r="AB36" s="1200">
        <f t="shared" si="6"/>
        <v>190920</v>
      </c>
      <c r="AC36" s="1200">
        <f t="shared" si="6"/>
        <v>190920</v>
      </c>
      <c r="AD36" s="1281">
        <f t="shared" si="6"/>
        <v>89950</v>
      </c>
      <c r="AE36" s="1281">
        <f t="shared" si="6"/>
        <v>129000</v>
      </c>
      <c r="AF36" s="1281">
        <f t="shared" si="6"/>
        <v>139000</v>
      </c>
      <c r="AG36" s="1281">
        <f t="shared" si="6"/>
        <v>172000</v>
      </c>
      <c r="AH36" s="1281">
        <f t="shared" si="6"/>
        <v>177800</v>
      </c>
      <c r="AI36" s="1316"/>
    </row>
    <row r="37" spans="1:113" ht="15" customHeight="1">
      <c r="A37" s="1623" t="s">
        <v>1266</v>
      </c>
      <c r="B37" s="1267" t="s">
        <v>1257</v>
      </c>
      <c r="C37" s="1282" t="e">
        <f>+#REF!</f>
        <v>#REF!</v>
      </c>
      <c r="D37" s="1236" t="e">
        <f>$C37*#REF!*#REF!</f>
        <v>#REF!</v>
      </c>
      <c r="E37" s="1354"/>
      <c r="F37" s="1237"/>
      <c r="G37" s="1237"/>
      <c r="H37" s="1237"/>
      <c r="I37" s="1237"/>
      <c r="J37" s="1386"/>
      <c r="K37" s="1237"/>
      <c r="L37" s="1237"/>
      <c r="M37" s="1237"/>
      <c r="N37" s="1237"/>
      <c r="O37" s="1237"/>
      <c r="P37" s="1237"/>
      <c r="Q37" s="1386"/>
      <c r="R37" s="1237"/>
      <c r="S37" s="1237"/>
      <c r="T37" s="1237"/>
      <c r="U37" s="1237"/>
      <c r="V37" s="1237"/>
      <c r="W37" s="1237"/>
      <c r="X37" s="1237"/>
      <c r="Y37" s="1237"/>
      <c r="Z37" s="1237"/>
      <c r="AA37" s="1237"/>
      <c r="AB37" s="1237"/>
      <c r="AC37" s="1237"/>
      <c r="AD37" s="1283"/>
      <c r="AE37" s="1283"/>
      <c r="AF37" s="1283"/>
      <c r="AG37" s="1283"/>
      <c r="AH37" s="1283"/>
      <c r="AI37" s="1317" t="e">
        <f>+SUMPRODUCT(D37:AH37,D34:AH34)</f>
        <v>#REF!</v>
      </c>
      <c r="AJ37" s="1185" t="e">
        <f>$C37*#REF!*#REF!</f>
        <v>#REF!</v>
      </c>
    </row>
    <row r="38" spans="1:113">
      <c r="A38" s="1623"/>
      <c r="B38" s="1267" t="s">
        <v>1258</v>
      </c>
      <c r="C38" s="1282" t="e">
        <f>+#REF!</f>
        <v>#REF!</v>
      </c>
      <c r="D38" s="1236" t="e">
        <f>$C38*#REF!*#REF!</f>
        <v>#REF!</v>
      </c>
      <c r="E38" s="1354"/>
      <c r="F38" s="1237"/>
      <c r="G38" s="1237"/>
      <c r="H38" s="1237"/>
      <c r="I38" s="1237"/>
      <c r="J38" s="1386"/>
      <c r="K38" s="1237"/>
      <c r="L38" s="1237"/>
      <c r="M38" s="1237"/>
      <c r="N38" s="1237"/>
      <c r="O38" s="1237"/>
      <c r="P38" s="1237"/>
      <c r="Q38" s="1386"/>
      <c r="R38" s="1237"/>
      <c r="S38" s="1237"/>
      <c r="T38" s="1237"/>
      <c r="U38" s="1237"/>
      <c r="V38" s="1237"/>
      <c r="W38" s="1237"/>
      <c r="X38" s="1237"/>
      <c r="Y38" s="1237"/>
      <c r="Z38" s="1237"/>
      <c r="AA38" s="1237"/>
      <c r="AB38" s="1237"/>
      <c r="AC38" s="1237"/>
      <c r="AD38" s="1283"/>
      <c r="AE38" s="1283"/>
      <c r="AF38" s="1283"/>
      <c r="AG38" s="1283"/>
      <c r="AH38" s="1283"/>
      <c r="AI38" s="1317" t="e">
        <f>+SUMPRODUCT(D38:AH38,D34:AH34)</f>
        <v>#REF!</v>
      </c>
      <c r="AJ38" s="1185" t="e">
        <f>$C38*#REF!*#REF!</f>
        <v>#REF!</v>
      </c>
    </row>
    <row r="39" spans="1:113">
      <c r="A39" s="1623"/>
      <c r="B39" s="1267" t="s">
        <v>1259</v>
      </c>
      <c r="C39" s="1282" t="e">
        <f>+#REF!</f>
        <v>#REF!</v>
      </c>
      <c r="D39" s="1236"/>
      <c r="E39" s="1354"/>
      <c r="F39" s="1237"/>
      <c r="G39" s="1237"/>
      <c r="H39" s="1237"/>
      <c r="I39" s="1237"/>
      <c r="J39" s="1386"/>
      <c r="K39" s="1237"/>
      <c r="L39" s="1237"/>
      <c r="M39" s="1237"/>
      <c r="N39" s="1237"/>
      <c r="O39" s="1237"/>
      <c r="P39" s="1237"/>
      <c r="Q39" s="1386"/>
      <c r="R39" s="1237"/>
      <c r="S39" s="1237"/>
      <c r="T39" s="1237"/>
      <c r="U39" s="1237"/>
      <c r="V39" s="1237"/>
      <c r="W39" s="1237"/>
      <c r="X39" s="1237"/>
      <c r="Y39" s="1237"/>
      <c r="Z39" s="1237"/>
      <c r="AA39" s="1237"/>
      <c r="AB39" s="1237"/>
      <c r="AC39" s="1237"/>
      <c r="AD39" s="1283" t="e">
        <f>+$C39*#REF!*#REF!</f>
        <v>#REF!</v>
      </c>
      <c r="AE39" s="1283"/>
      <c r="AF39" s="1283"/>
      <c r="AG39" s="1283"/>
      <c r="AH39" s="1283"/>
      <c r="AI39" s="1317" t="e">
        <f>+SUMPRODUCT(D39:AH39,D34:AH34)</f>
        <v>#REF!</v>
      </c>
      <c r="AJ39" s="1236" t="e">
        <f>+$C39*#REF!*#REF!</f>
        <v>#REF!</v>
      </c>
    </row>
    <row r="40" spans="1:113">
      <c r="A40" s="1623"/>
      <c r="B40" s="1267" t="s">
        <v>1260</v>
      </c>
      <c r="C40" s="1282" t="e">
        <f>+#REF!</f>
        <v>#REF!</v>
      </c>
      <c r="D40" s="1236"/>
      <c r="E40" s="1354"/>
      <c r="F40" s="1237"/>
      <c r="G40" s="1237"/>
      <c r="H40" s="1237"/>
      <c r="I40" s="1237"/>
      <c r="J40" s="1386"/>
      <c r="K40" s="1237"/>
      <c r="L40" s="1237"/>
      <c r="M40" s="1237"/>
      <c r="N40" s="1237"/>
      <c r="O40" s="1237"/>
      <c r="P40" s="1237"/>
      <c r="Q40" s="1386"/>
      <c r="R40" s="1237"/>
      <c r="S40" s="1237"/>
      <c r="T40" s="1237"/>
      <c r="U40" s="1237"/>
      <c r="V40" s="1237"/>
      <c r="W40" s="1237"/>
      <c r="X40" s="1237"/>
      <c r="Y40" s="1237"/>
      <c r="Z40" s="1237"/>
      <c r="AA40" s="1237"/>
      <c r="AB40" s="1237"/>
      <c r="AC40" s="1237"/>
      <c r="AD40" s="1283" t="e">
        <f>+$C40*#REF!*#REF!</f>
        <v>#REF!</v>
      </c>
      <c r="AE40" s="1283"/>
      <c r="AF40" s="1283"/>
      <c r="AG40" s="1283"/>
      <c r="AH40" s="1283"/>
      <c r="AI40" s="1317" t="e">
        <f>+SUMPRODUCT(D40:AH40,D34:AH34)</f>
        <v>#REF!</v>
      </c>
      <c r="AJ40" s="1185" t="e">
        <f>+$C40*#REF!*#REF!</f>
        <v>#REF!</v>
      </c>
    </row>
    <row r="41" spans="1:113">
      <c r="A41" s="1624"/>
      <c r="B41" s="1292" t="s">
        <v>1261</v>
      </c>
      <c r="C41" s="1293" t="e">
        <f>+#REF!</f>
        <v>#REF!</v>
      </c>
      <c r="D41" s="1243"/>
      <c r="E41" s="1359"/>
      <c r="F41" s="1244"/>
      <c r="G41" s="1244"/>
      <c r="H41" s="1244"/>
      <c r="I41" s="1244"/>
      <c r="J41" s="1391"/>
      <c r="K41" s="1244"/>
      <c r="L41" s="1244"/>
      <c r="M41" s="1244"/>
      <c r="N41" s="1244"/>
      <c r="O41" s="1244"/>
      <c r="P41" s="1244"/>
      <c r="Q41" s="1391"/>
      <c r="R41" s="1244"/>
      <c r="S41" s="1244"/>
      <c r="T41" s="1244"/>
      <c r="U41" s="1244"/>
      <c r="V41" s="1244"/>
      <c r="W41" s="1244"/>
      <c r="X41" s="1244"/>
      <c r="Y41" s="1244"/>
      <c r="Z41" s="1244"/>
      <c r="AA41" s="1244"/>
      <c r="AB41" s="1244"/>
      <c r="AC41" s="1244"/>
      <c r="AD41" s="1294" t="e">
        <f>+$C41*#REF!*#REF!</f>
        <v>#REF!</v>
      </c>
      <c r="AE41" s="1294"/>
      <c r="AF41" s="1294"/>
      <c r="AG41" s="1294"/>
      <c r="AH41" s="1294"/>
      <c r="AI41" s="1318" t="e">
        <f>+SUMPRODUCT(D41:AH41,D34:AH34)</f>
        <v>#REF!</v>
      </c>
      <c r="AJ41" s="1185" t="e">
        <f>+$C41*#REF!*#REF!</f>
        <v>#REF!</v>
      </c>
    </row>
    <row r="42" spans="1:113">
      <c r="A42" s="1253" t="s">
        <v>1247</v>
      </c>
      <c r="B42" s="1310"/>
      <c r="C42" s="1255" t="s">
        <v>798</v>
      </c>
      <c r="D42" s="1366"/>
      <c r="E42" s="1367"/>
      <c r="F42" s="1257"/>
      <c r="G42" s="1257"/>
      <c r="H42" s="1257"/>
      <c r="I42" s="1257"/>
      <c r="J42" s="1368"/>
      <c r="K42" s="1257"/>
      <c r="L42" s="1257"/>
      <c r="M42" s="1257"/>
      <c r="N42" s="1257"/>
      <c r="O42" s="1257"/>
      <c r="P42" s="1257"/>
      <c r="Q42" s="1368"/>
      <c r="R42" s="1257"/>
      <c r="S42" s="1257"/>
      <c r="T42" s="1257"/>
      <c r="U42" s="1257"/>
      <c r="V42" s="1257"/>
      <c r="W42" s="1257"/>
      <c r="X42" s="1257"/>
      <c r="Y42" s="1257"/>
      <c r="Z42" s="1257"/>
      <c r="AA42" s="1257"/>
      <c r="AB42" s="1257"/>
      <c r="AC42" s="1257"/>
      <c r="AD42" s="1312"/>
      <c r="AE42" s="1312"/>
      <c r="AF42" s="1312"/>
      <c r="AG42" s="1312"/>
      <c r="AH42" s="1312"/>
      <c r="AI42" s="1313"/>
      <c r="AJ42" s="1260"/>
      <c r="AK42" s="1260"/>
      <c r="AL42" s="1260"/>
      <c r="AM42" s="1260"/>
      <c r="AN42" s="1260"/>
      <c r="AO42" s="1260"/>
      <c r="AP42" s="1260"/>
      <c r="AQ42" s="1260"/>
      <c r="AR42" s="1260"/>
      <c r="AS42" s="1260"/>
      <c r="AT42" s="1260"/>
      <c r="AU42" s="1260"/>
      <c r="AV42" s="1260"/>
      <c r="AW42" s="1260"/>
      <c r="AX42" s="1260"/>
      <c r="AY42" s="1260"/>
      <c r="AZ42" s="1260"/>
      <c r="BA42" s="1260"/>
      <c r="BB42" s="1260"/>
      <c r="BC42" s="1260"/>
      <c r="BD42" s="1260"/>
      <c r="BE42" s="1260"/>
      <c r="BF42" s="1260"/>
      <c r="BG42" s="1260"/>
      <c r="BH42" s="1260"/>
      <c r="BI42" s="1260"/>
      <c r="BJ42" s="1260"/>
      <c r="BK42" s="1260"/>
      <c r="BL42" s="1260"/>
      <c r="BM42" s="1260"/>
      <c r="BN42" s="1260"/>
      <c r="BO42" s="1260"/>
      <c r="BP42" s="1260"/>
      <c r="BQ42" s="1260"/>
      <c r="BR42" s="1260"/>
      <c r="BS42" s="1260"/>
      <c r="BT42" s="1260"/>
      <c r="BU42" s="1260"/>
      <c r="BV42" s="1260"/>
      <c r="BW42" s="1260"/>
      <c r="BX42" s="1260"/>
      <c r="BY42" s="1260"/>
      <c r="BZ42" s="1260"/>
      <c r="CA42" s="1260"/>
      <c r="CB42" s="1260"/>
      <c r="CC42" s="1260"/>
      <c r="CD42" s="1260"/>
      <c r="CE42" s="1260"/>
      <c r="CF42" s="1260"/>
      <c r="CG42" s="1260"/>
      <c r="CH42" s="1260"/>
      <c r="CI42" s="1260"/>
      <c r="CJ42" s="1260"/>
      <c r="CK42" s="1260"/>
      <c r="CL42" s="1260"/>
      <c r="CM42" s="1260"/>
      <c r="CN42" s="1260"/>
      <c r="CO42" s="1260"/>
      <c r="CP42" s="1260"/>
      <c r="CQ42" s="1260"/>
      <c r="CR42" s="1260"/>
      <c r="CS42" s="1260"/>
      <c r="CT42" s="1260"/>
      <c r="CU42" s="1260"/>
      <c r="CV42" s="1260"/>
      <c r="CW42" s="1260"/>
      <c r="CX42" s="1260"/>
      <c r="CY42" s="1260"/>
      <c r="CZ42" s="1260"/>
      <c r="DA42" s="1260"/>
      <c r="DB42" s="1260"/>
      <c r="DC42" s="1260"/>
      <c r="DD42" s="1260"/>
      <c r="DE42" s="1260"/>
      <c r="DF42" s="1260"/>
      <c r="DG42" s="1260"/>
      <c r="DH42" s="1260"/>
      <c r="DI42" s="1260"/>
    </row>
    <row r="43" spans="1:113">
      <c r="A43" s="1261" t="s">
        <v>1227</v>
      </c>
      <c r="B43" s="1262"/>
      <c r="C43" s="1263">
        <v>4515</v>
      </c>
      <c r="D43" s="1369"/>
      <c r="E43" s="1370"/>
      <c r="F43" s="1265"/>
      <c r="G43" s="1265"/>
      <c r="H43" s="1265"/>
      <c r="I43" s="1265"/>
      <c r="J43" s="1371"/>
      <c r="K43" s="1265"/>
      <c r="L43" s="1265"/>
      <c r="M43" s="1265"/>
      <c r="N43" s="1265"/>
      <c r="O43" s="1265"/>
      <c r="P43" s="1265"/>
      <c r="Q43" s="1371"/>
      <c r="R43" s="1265"/>
      <c r="S43" s="1265"/>
      <c r="T43" s="1265"/>
      <c r="U43" s="1265"/>
      <c r="V43" s="1265"/>
      <c r="W43" s="1265"/>
      <c r="X43" s="1265"/>
      <c r="Y43" s="1265"/>
      <c r="Z43" s="1265"/>
      <c r="AA43" s="1265"/>
      <c r="AB43" s="1265"/>
      <c r="AC43" s="1265"/>
      <c r="AD43" s="1314"/>
      <c r="AE43" s="1314"/>
      <c r="AF43" s="1314"/>
      <c r="AG43" s="1314"/>
      <c r="AH43" s="1314"/>
      <c r="AI43" s="1313"/>
      <c r="AJ43" s="1260"/>
      <c r="AK43" s="1260"/>
      <c r="AL43" s="1260"/>
      <c r="AM43" s="1260"/>
      <c r="AN43" s="1260"/>
      <c r="AO43" s="1260"/>
      <c r="AP43" s="1260"/>
      <c r="AQ43" s="1260"/>
      <c r="AR43" s="1260"/>
      <c r="AS43" s="1260"/>
      <c r="AT43" s="1260"/>
      <c r="AU43" s="1260"/>
      <c r="AV43" s="1260"/>
      <c r="AW43" s="1260"/>
      <c r="AX43" s="1260"/>
      <c r="AY43" s="1260"/>
      <c r="AZ43" s="1260"/>
      <c r="BA43" s="1260"/>
      <c r="BB43" s="1260"/>
      <c r="BC43" s="1260"/>
      <c r="BD43" s="1260"/>
      <c r="BE43" s="1260"/>
      <c r="BF43" s="1260"/>
      <c r="BG43" s="1260"/>
      <c r="BH43" s="1260"/>
      <c r="BI43" s="1260"/>
      <c r="BJ43" s="1260"/>
      <c r="BK43" s="1260"/>
      <c r="BL43" s="1260"/>
      <c r="BM43" s="1260"/>
      <c r="BN43" s="1260"/>
      <c r="BO43" s="1260"/>
      <c r="BP43" s="1260"/>
      <c r="BQ43" s="1260"/>
      <c r="BR43" s="1260"/>
      <c r="BS43" s="1260"/>
      <c r="BT43" s="1260"/>
      <c r="BU43" s="1260"/>
      <c r="BV43" s="1260"/>
      <c r="BW43" s="1260"/>
      <c r="BX43" s="1260"/>
      <c r="BY43" s="1260"/>
      <c r="BZ43" s="1260"/>
      <c r="CA43" s="1260"/>
      <c r="CB43" s="1260"/>
      <c r="CC43" s="1260"/>
      <c r="CD43" s="1260"/>
      <c r="CE43" s="1260"/>
      <c r="CF43" s="1260"/>
      <c r="CG43" s="1260"/>
      <c r="CH43" s="1260"/>
      <c r="CI43" s="1260"/>
      <c r="CJ43" s="1260"/>
      <c r="CK43" s="1260"/>
      <c r="CL43" s="1260"/>
      <c r="CM43" s="1260"/>
      <c r="CN43" s="1260"/>
      <c r="CO43" s="1260"/>
      <c r="CP43" s="1260"/>
      <c r="CQ43" s="1260"/>
      <c r="CR43" s="1260"/>
      <c r="CS43" s="1260"/>
      <c r="CT43" s="1260"/>
      <c r="CU43" s="1260"/>
      <c r="CV43" s="1260"/>
      <c r="CW43" s="1260"/>
      <c r="CX43" s="1260"/>
      <c r="CY43" s="1260"/>
      <c r="CZ43" s="1260"/>
      <c r="DA43" s="1260"/>
      <c r="DB43" s="1260"/>
      <c r="DC43" s="1260"/>
      <c r="DD43" s="1260"/>
      <c r="DE43" s="1260"/>
      <c r="DF43" s="1260"/>
      <c r="DG43" s="1260"/>
      <c r="DH43" s="1260"/>
      <c r="DI43" s="1260"/>
    </row>
    <row r="44" spans="1:113" ht="15" customHeight="1">
      <c r="A44" s="1622" t="s">
        <v>1249</v>
      </c>
      <c r="B44" s="1267" t="s">
        <v>1250</v>
      </c>
      <c r="C44" s="1268">
        <v>31300</v>
      </c>
      <c r="D44" s="1372"/>
      <c r="E44" s="1373"/>
      <c r="F44" s="1270"/>
      <c r="G44" s="1270"/>
      <c r="H44" s="1270"/>
      <c r="I44" s="1270"/>
      <c r="J44" s="1374"/>
      <c r="K44" s="1270"/>
      <c r="L44" s="1270"/>
      <c r="M44" s="1270"/>
      <c r="N44" s="1270"/>
      <c r="O44" s="1270"/>
      <c r="P44" s="1270"/>
      <c r="Q44" s="1374"/>
      <c r="R44" s="1270"/>
      <c r="S44" s="1270"/>
      <c r="T44" s="1270"/>
      <c r="U44" s="1270"/>
      <c r="V44" s="1270"/>
      <c r="W44" s="1270"/>
      <c r="X44" s="1270"/>
      <c r="Y44" s="1270"/>
      <c r="Z44" s="1270"/>
      <c r="AA44" s="1270"/>
      <c r="AB44" s="1270"/>
      <c r="AC44" s="1270"/>
      <c r="AD44" s="1303"/>
      <c r="AE44" s="1303"/>
      <c r="AF44" s="1303"/>
      <c r="AG44" s="1303"/>
      <c r="AH44" s="1303"/>
      <c r="AI44" s="1313"/>
      <c r="AJ44" s="1260"/>
      <c r="AK44" s="1260"/>
      <c r="AL44" s="1260"/>
      <c r="AM44" s="1260"/>
      <c r="AN44" s="1260"/>
      <c r="AO44" s="1260"/>
      <c r="AP44" s="1260"/>
      <c r="AQ44" s="1260"/>
      <c r="AR44" s="1260"/>
      <c r="AS44" s="1260"/>
      <c r="AT44" s="1260"/>
      <c r="AU44" s="1260"/>
      <c r="AV44" s="1260"/>
      <c r="AW44" s="1260"/>
      <c r="AX44" s="1260"/>
      <c r="AY44" s="1260"/>
      <c r="AZ44" s="1260"/>
      <c r="BA44" s="1260"/>
      <c r="BB44" s="1260"/>
      <c r="BC44" s="1260"/>
      <c r="BD44" s="1260"/>
      <c r="BE44" s="1260"/>
      <c r="BF44" s="1260"/>
      <c r="BG44" s="1260"/>
      <c r="BH44" s="1260"/>
      <c r="BI44" s="1260"/>
      <c r="BJ44" s="1260"/>
      <c r="BK44" s="1260"/>
      <c r="BL44" s="1260"/>
      <c r="BM44" s="1260"/>
      <c r="BN44" s="1260"/>
      <c r="BO44" s="1260"/>
      <c r="BP44" s="1260"/>
      <c r="BQ44" s="1260"/>
      <c r="BR44" s="1260"/>
      <c r="BS44" s="1260"/>
      <c r="BT44" s="1260"/>
      <c r="BU44" s="1260"/>
      <c r="BV44" s="1260"/>
      <c r="BW44" s="1260"/>
      <c r="BX44" s="1260"/>
      <c r="BY44" s="1260"/>
      <c r="BZ44" s="1260"/>
      <c r="CA44" s="1260"/>
      <c r="CB44" s="1260"/>
      <c r="CC44" s="1260"/>
      <c r="CD44" s="1260"/>
      <c r="CE44" s="1260"/>
      <c r="CF44" s="1260"/>
      <c r="CG44" s="1260"/>
      <c r="CH44" s="1260"/>
      <c r="CI44" s="1260"/>
      <c r="CJ44" s="1260"/>
      <c r="CK44" s="1260"/>
      <c r="CL44" s="1260"/>
      <c r="CM44" s="1260"/>
      <c r="CN44" s="1260"/>
      <c r="CO44" s="1260"/>
      <c r="CP44" s="1260"/>
      <c r="CQ44" s="1260"/>
      <c r="CR44" s="1260"/>
      <c r="CS44" s="1260"/>
      <c r="CT44" s="1260"/>
      <c r="CU44" s="1260"/>
      <c r="CV44" s="1260"/>
      <c r="CW44" s="1260"/>
      <c r="CX44" s="1260"/>
      <c r="CY44" s="1260"/>
      <c r="CZ44" s="1260"/>
      <c r="DA44" s="1260"/>
      <c r="DB44" s="1260"/>
      <c r="DC44" s="1260"/>
      <c r="DD44" s="1260"/>
      <c r="DE44" s="1260"/>
      <c r="DF44" s="1260"/>
      <c r="DG44" s="1260"/>
      <c r="DH44" s="1260"/>
      <c r="DI44" s="1260"/>
    </row>
    <row r="45" spans="1:113">
      <c r="A45" s="1622"/>
      <c r="B45" s="1267" t="s">
        <v>1251</v>
      </c>
      <c r="C45" s="1268">
        <v>32080</v>
      </c>
      <c r="D45" s="1372"/>
      <c r="E45" s="1373"/>
      <c r="F45" s="1270"/>
      <c r="G45" s="1270"/>
      <c r="H45" s="1270"/>
      <c r="I45" s="1270"/>
      <c r="J45" s="1374"/>
      <c r="K45" s="1270"/>
      <c r="L45" s="1270"/>
      <c r="M45" s="1270"/>
      <c r="N45" s="1270"/>
      <c r="O45" s="1270"/>
      <c r="P45" s="1270"/>
      <c r="Q45" s="1374"/>
      <c r="R45" s="1270"/>
      <c r="S45" s="1270"/>
      <c r="T45" s="1270"/>
      <c r="U45" s="1270"/>
      <c r="V45" s="1270"/>
      <c r="W45" s="1270"/>
      <c r="X45" s="1270"/>
      <c r="Y45" s="1270"/>
      <c r="Z45" s="1270"/>
      <c r="AA45" s="1270"/>
      <c r="AB45" s="1270"/>
      <c r="AC45" s="1270"/>
      <c r="AD45" s="1315"/>
      <c r="AE45" s="1315"/>
      <c r="AF45" s="1315"/>
      <c r="AG45" s="1315"/>
      <c r="AH45" s="1315"/>
      <c r="AI45" s="1316"/>
    </row>
    <row r="46" spans="1:113">
      <c r="A46" s="1272" t="s">
        <v>1252</v>
      </c>
      <c r="B46" s="1273"/>
      <c r="C46" s="1268">
        <f>+(C45-C44)/2+C44</f>
        <v>31690</v>
      </c>
      <c r="D46" s="1372"/>
      <c r="E46" s="1373"/>
      <c r="F46" s="1270"/>
      <c r="G46" s="1270"/>
      <c r="H46" s="1270"/>
      <c r="I46" s="1270"/>
      <c r="J46" s="1374"/>
      <c r="K46" s="1270"/>
      <c r="L46" s="1270"/>
      <c r="M46" s="1270"/>
      <c r="N46" s="1270"/>
      <c r="O46" s="1270"/>
      <c r="P46" s="1270"/>
      <c r="Q46" s="1374"/>
      <c r="R46" s="1270"/>
      <c r="S46" s="1270"/>
      <c r="T46" s="1270"/>
      <c r="U46" s="1270"/>
      <c r="V46" s="1270"/>
      <c r="W46" s="1270"/>
      <c r="X46" s="1270"/>
      <c r="Y46" s="1270"/>
      <c r="Z46" s="1270"/>
      <c r="AA46" s="1270"/>
      <c r="AB46" s="1270"/>
      <c r="AC46" s="1270"/>
      <c r="AD46" s="1315"/>
      <c r="AE46" s="1315"/>
      <c r="AF46" s="1315"/>
      <c r="AG46" s="1315"/>
      <c r="AH46" s="1315"/>
      <c r="AI46" s="1316"/>
    </row>
    <row r="47" spans="1:113">
      <c r="A47" s="1272" t="s">
        <v>1253</v>
      </c>
      <c r="B47" s="1273"/>
      <c r="C47" s="1274"/>
      <c r="D47" s="1390">
        <f>IF(D49&gt;D48,(D49-D48)+D$2*1000+D$3*1000,(D48-D49)+D$2*1000+D$4*1000)/1000</f>
        <v>46.74</v>
      </c>
      <c r="E47" s="1376">
        <f t="shared" ref="E47:AH47" si="7">IF(E49&gt;E48,(E49-E48)+E$2*1000+E$3*1000,(E48-E49)+E$2*1000+E$4*1000)/1000</f>
        <v>47.19</v>
      </c>
      <c r="F47" s="1276">
        <f t="shared" si="7"/>
        <v>26.49</v>
      </c>
      <c r="G47" s="1276">
        <f t="shared" si="7"/>
        <v>22.76</v>
      </c>
      <c r="H47" s="1276">
        <f t="shared" si="7"/>
        <v>22.79</v>
      </c>
      <c r="I47" s="1276">
        <f t="shared" si="7"/>
        <v>23.69</v>
      </c>
      <c r="J47" s="1377">
        <f t="shared" si="7"/>
        <v>16.190000000000001</v>
      </c>
      <c r="K47" s="1276">
        <f t="shared" si="7"/>
        <v>15.69</v>
      </c>
      <c r="L47" s="1276">
        <f t="shared" si="7"/>
        <v>8.49</v>
      </c>
      <c r="M47" s="1276">
        <f t="shared" si="7"/>
        <v>10.39</v>
      </c>
      <c r="N47" s="1276">
        <f t="shared" si="7"/>
        <v>11.71</v>
      </c>
      <c r="O47" s="1276">
        <f t="shared" si="7"/>
        <v>13.31</v>
      </c>
      <c r="P47" s="1276">
        <f t="shared" si="7"/>
        <v>85.69</v>
      </c>
      <c r="Q47" s="1377">
        <f t="shared" si="7"/>
        <v>81.69</v>
      </c>
      <c r="R47" s="1276">
        <f t="shared" si="7"/>
        <v>93.99</v>
      </c>
      <c r="S47" s="1276">
        <f t="shared" si="7"/>
        <v>20.11</v>
      </c>
      <c r="T47" s="1276">
        <f t="shared" si="7"/>
        <v>23.76</v>
      </c>
      <c r="U47" s="1276">
        <f t="shared" si="7"/>
        <v>22.06</v>
      </c>
      <c r="V47" s="1276">
        <f t="shared" si="7"/>
        <v>24.34</v>
      </c>
      <c r="W47" s="1276">
        <f t="shared" si="7"/>
        <v>1.69</v>
      </c>
      <c r="X47" s="1276">
        <f t="shared" si="7"/>
        <v>32.01</v>
      </c>
      <c r="Y47" s="1276">
        <f t="shared" si="7"/>
        <v>41.31</v>
      </c>
      <c r="Z47" s="1276">
        <f t="shared" si="7"/>
        <v>47.11</v>
      </c>
      <c r="AA47" s="1276">
        <f t="shared" si="7"/>
        <v>53.66</v>
      </c>
      <c r="AB47" s="1276">
        <f t="shared" si="7"/>
        <v>58.23</v>
      </c>
      <c r="AC47" s="1276">
        <f t="shared" si="7"/>
        <v>64.73</v>
      </c>
      <c r="AD47" s="1277">
        <f t="shared" si="7"/>
        <v>42.74</v>
      </c>
      <c r="AE47" s="1277">
        <f t="shared" si="7"/>
        <v>3.69</v>
      </c>
      <c r="AF47" s="1277">
        <f t="shared" si="7"/>
        <v>6.31</v>
      </c>
      <c r="AG47" s="1277">
        <f t="shared" si="7"/>
        <v>39.31</v>
      </c>
      <c r="AH47" s="1277">
        <f t="shared" si="7"/>
        <v>51.11</v>
      </c>
      <c r="AI47" s="1316"/>
    </row>
    <row r="48" spans="1:113" hidden="1">
      <c r="A48" s="1278" t="s">
        <v>1254</v>
      </c>
      <c r="B48" s="1279"/>
      <c r="C48" s="1280"/>
      <c r="D48" s="1326">
        <f>+IF($C43=4514,IF(D$6=4514,$C46,$C46),IF(D$6=4515,$C46+101000,101000+$C46))</f>
        <v>132690</v>
      </c>
      <c r="E48" s="1326">
        <f t="shared" ref="E48:AH48" si="8">+IF($C43=4514,IF(E$6=4514,$C46,$C46),IF(E$6=4515,$C46+101000,101000+$C46))</f>
        <v>132690</v>
      </c>
      <c r="F48" s="1200">
        <f t="shared" si="8"/>
        <v>132690</v>
      </c>
      <c r="G48" s="1200">
        <f t="shared" si="8"/>
        <v>132690</v>
      </c>
      <c r="H48" s="1200">
        <f t="shared" si="8"/>
        <v>132690</v>
      </c>
      <c r="I48" s="1200">
        <f t="shared" si="8"/>
        <v>132690</v>
      </c>
      <c r="J48" s="1378">
        <f t="shared" si="8"/>
        <v>132690</v>
      </c>
      <c r="K48" s="1200">
        <f t="shared" si="8"/>
        <v>132690</v>
      </c>
      <c r="L48" s="1200">
        <f t="shared" si="8"/>
        <v>132690</v>
      </c>
      <c r="M48" s="1200">
        <f t="shared" si="8"/>
        <v>132690</v>
      </c>
      <c r="N48" s="1200">
        <f t="shared" si="8"/>
        <v>132690</v>
      </c>
      <c r="O48" s="1200">
        <f t="shared" si="8"/>
        <v>132690</v>
      </c>
      <c r="P48" s="1200">
        <f t="shared" si="8"/>
        <v>132690</v>
      </c>
      <c r="Q48" s="1378">
        <f t="shared" si="8"/>
        <v>132690</v>
      </c>
      <c r="R48" s="1200">
        <f t="shared" si="8"/>
        <v>132690</v>
      </c>
      <c r="S48" s="1200">
        <f t="shared" si="8"/>
        <v>132690</v>
      </c>
      <c r="T48" s="1200">
        <f t="shared" si="8"/>
        <v>132690</v>
      </c>
      <c r="U48" s="1200">
        <f t="shared" si="8"/>
        <v>132690</v>
      </c>
      <c r="V48" s="1200">
        <f t="shared" si="8"/>
        <v>132690</v>
      </c>
      <c r="W48" s="1200">
        <f t="shared" si="8"/>
        <v>132690</v>
      </c>
      <c r="X48" s="1200">
        <f t="shared" si="8"/>
        <v>132690</v>
      </c>
      <c r="Y48" s="1200">
        <f t="shared" si="8"/>
        <v>132690</v>
      </c>
      <c r="Z48" s="1200">
        <f t="shared" si="8"/>
        <v>132690</v>
      </c>
      <c r="AA48" s="1200">
        <f t="shared" si="8"/>
        <v>132690</v>
      </c>
      <c r="AB48" s="1200">
        <f t="shared" si="8"/>
        <v>132690</v>
      </c>
      <c r="AC48" s="1200">
        <f t="shared" si="8"/>
        <v>132690</v>
      </c>
      <c r="AD48" s="1281">
        <f t="shared" si="8"/>
        <v>132690</v>
      </c>
      <c r="AE48" s="1281">
        <f t="shared" si="8"/>
        <v>132690</v>
      </c>
      <c r="AF48" s="1281">
        <f t="shared" si="8"/>
        <v>132690</v>
      </c>
      <c r="AG48" s="1281">
        <f t="shared" si="8"/>
        <v>132690</v>
      </c>
      <c r="AH48" s="1281">
        <f t="shared" si="8"/>
        <v>132690</v>
      </c>
      <c r="AI48" s="1316"/>
    </row>
    <row r="49" spans="1:113" hidden="1">
      <c r="A49" s="1278" t="s">
        <v>1255</v>
      </c>
      <c r="B49" s="1279"/>
      <c r="C49" s="1280"/>
      <c r="D49" s="1326">
        <f>+IF($C43=4514,IF(D$6=4514,D$5,D$5+101000),IF(D$6=4515,D$5+101000,D$5))</f>
        <v>85950</v>
      </c>
      <c r="E49" s="1326">
        <f t="shared" ref="E49:AH49" si="9">+IF($C43=4514,IF(E$6=4514,E$5,E$5+101000),IF(E$6=4515,E$5+101000,E$5))</f>
        <v>85500</v>
      </c>
      <c r="F49" s="1200">
        <f t="shared" si="9"/>
        <v>106200</v>
      </c>
      <c r="G49" s="1200">
        <f t="shared" si="9"/>
        <v>110930</v>
      </c>
      <c r="H49" s="1200">
        <f t="shared" si="9"/>
        <v>109900</v>
      </c>
      <c r="I49" s="1200">
        <f t="shared" si="9"/>
        <v>110000</v>
      </c>
      <c r="J49" s="1378">
        <f t="shared" si="9"/>
        <v>116500</v>
      </c>
      <c r="K49" s="1200">
        <f t="shared" si="9"/>
        <v>117000</v>
      </c>
      <c r="L49" s="1200">
        <f t="shared" si="9"/>
        <v>124200</v>
      </c>
      <c r="M49" s="1200">
        <f t="shared" si="9"/>
        <v>126800</v>
      </c>
      <c r="N49" s="1200">
        <f t="shared" si="9"/>
        <v>144400</v>
      </c>
      <c r="O49" s="1200">
        <f t="shared" si="9"/>
        <v>146000</v>
      </c>
      <c r="P49" s="1200">
        <f t="shared" si="9"/>
        <v>47500</v>
      </c>
      <c r="Q49" s="1378">
        <f t="shared" si="9"/>
        <v>51000</v>
      </c>
      <c r="R49" s="1200">
        <f t="shared" si="9"/>
        <v>40000</v>
      </c>
      <c r="S49" s="1200">
        <f t="shared" si="9"/>
        <v>149800</v>
      </c>
      <c r="T49" s="1200">
        <f t="shared" si="9"/>
        <v>154650</v>
      </c>
      <c r="U49" s="1200">
        <f t="shared" si="9"/>
        <v>153350</v>
      </c>
      <c r="V49" s="1200">
        <f t="shared" si="9"/>
        <v>154730</v>
      </c>
      <c r="W49" s="1200">
        <f t="shared" si="9"/>
        <v>131000</v>
      </c>
      <c r="X49" s="1200">
        <f t="shared" si="9"/>
        <v>164700</v>
      </c>
      <c r="Y49" s="1200">
        <f t="shared" si="9"/>
        <v>173000</v>
      </c>
      <c r="Z49" s="1200">
        <f t="shared" si="9"/>
        <v>176000</v>
      </c>
      <c r="AA49" s="1200">
        <f t="shared" si="9"/>
        <v>185150</v>
      </c>
      <c r="AB49" s="1200">
        <f t="shared" si="9"/>
        <v>190920</v>
      </c>
      <c r="AC49" s="1200">
        <f t="shared" si="9"/>
        <v>190920</v>
      </c>
      <c r="AD49" s="1281">
        <f t="shared" si="9"/>
        <v>89950</v>
      </c>
      <c r="AE49" s="1281">
        <f t="shared" si="9"/>
        <v>129000</v>
      </c>
      <c r="AF49" s="1281">
        <f t="shared" si="9"/>
        <v>139000</v>
      </c>
      <c r="AG49" s="1281">
        <f t="shared" si="9"/>
        <v>172000</v>
      </c>
      <c r="AH49" s="1281">
        <f t="shared" si="9"/>
        <v>177800</v>
      </c>
      <c r="AI49" s="1316"/>
    </row>
    <row r="50" spans="1:113" ht="15" customHeight="1">
      <c r="A50" s="1623" t="s">
        <v>1266</v>
      </c>
      <c r="B50" s="1267" t="s">
        <v>1257</v>
      </c>
      <c r="C50" s="1282" t="e">
        <f>+#REF!</f>
        <v>#REF!</v>
      </c>
      <c r="D50" s="1236"/>
      <c r="E50" s="1354"/>
      <c r="F50" s="1237"/>
      <c r="G50" s="1237"/>
      <c r="H50" s="1237"/>
      <c r="I50" s="1237"/>
      <c r="J50" s="1386"/>
      <c r="K50" s="1237"/>
      <c r="L50" s="1237"/>
      <c r="M50" s="1237"/>
      <c r="N50" s="1237"/>
      <c r="O50" s="1237"/>
      <c r="P50" s="1237"/>
      <c r="Q50" s="1386"/>
      <c r="R50" s="1237"/>
      <c r="S50" s="1237"/>
      <c r="T50" s="1237"/>
      <c r="U50" s="1237"/>
      <c r="V50" s="1237" t="e">
        <f>$C50*#REF!*#REF!</f>
        <v>#REF!</v>
      </c>
      <c r="W50" s="1237"/>
      <c r="X50" s="1237"/>
      <c r="Y50" s="1237"/>
      <c r="Z50" s="1237"/>
      <c r="AA50" s="1237"/>
      <c r="AB50" s="1237"/>
      <c r="AC50" s="1237"/>
      <c r="AD50" s="1283"/>
      <c r="AE50" s="1283"/>
      <c r="AF50" s="1283"/>
      <c r="AG50" s="1283"/>
      <c r="AH50" s="1283"/>
      <c r="AI50" s="1317" t="e">
        <f>+SUMPRODUCT(D50:AH50,D47:AH47)</f>
        <v>#REF!</v>
      </c>
      <c r="AJ50" s="1185" t="e">
        <f>$C50*#REF!*#REF!</f>
        <v>#REF!</v>
      </c>
    </row>
    <row r="51" spans="1:113">
      <c r="A51" s="1623"/>
      <c r="B51" s="1267" t="s">
        <v>1258</v>
      </c>
      <c r="C51" s="1282" t="e">
        <f>+#REF!</f>
        <v>#REF!</v>
      </c>
      <c r="D51" s="1236"/>
      <c r="E51" s="1354"/>
      <c r="F51" s="1237"/>
      <c r="G51" s="1237"/>
      <c r="H51" s="1237"/>
      <c r="I51" s="1237"/>
      <c r="J51" s="1386"/>
      <c r="K51" s="1237"/>
      <c r="L51" s="1237"/>
      <c r="M51" s="1237"/>
      <c r="N51" s="1237"/>
      <c r="O51" s="1237"/>
      <c r="P51" s="1237"/>
      <c r="Q51" s="1386"/>
      <c r="R51" s="1237"/>
      <c r="S51" s="1237"/>
      <c r="T51" s="1237"/>
      <c r="U51" s="1237"/>
      <c r="V51" s="1237" t="e">
        <f>$C51*#REF!*#REF!</f>
        <v>#REF!</v>
      </c>
      <c r="W51" s="1237"/>
      <c r="X51" s="1237"/>
      <c r="Y51" s="1237"/>
      <c r="Z51" s="1237"/>
      <c r="AA51" s="1237"/>
      <c r="AB51" s="1237"/>
      <c r="AC51" s="1237"/>
      <c r="AD51" s="1283"/>
      <c r="AE51" s="1283"/>
      <c r="AF51" s="1283"/>
      <c r="AG51" s="1283"/>
      <c r="AH51" s="1283"/>
      <c r="AI51" s="1317" t="e">
        <f>+SUMPRODUCT(D51:AH51,D47:AH47)</f>
        <v>#REF!</v>
      </c>
      <c r="AJ51" s="1185" t="e">
        <f>$C51*#REF!*#REF!</f>
        <v>#REF!</v>
      </c>
    </row>
    <row r="52" spans="1:113">
      <c r="A52" s="1623"/>
      <c r="B52" s="1267" t="s">
        <v>1259</v>
      </c>
      <c r="C52" s="1282" t="e">
        <f>+#REF!</f>
        <v>#REF!</v>
      </c>
      <c r="D52" s="1236"/>
      <c r="E52" s="1354"/>
      <c r="F52" s="1237"/>
      <c r="G52" s="1237"/>
      <c r="H52" s="1237"/>
      <c r="I52" s="1237"/>
      <c r="J52" s="1386"/>
      <c r="K52" s="1237"/>
      <c r="L52" s="1237"/>
      <c r="M52" s="1237"/>
      <c r="N52" s="1237"/>
      <c r="O52" s="1237"/>
      <c r="P52" s="1237"/>
      <c r="Q52" s="1386"/>
      <c r="R52" s="1237"/>
      <c r="S52" s="1237"/>
      <c r="T52" s="1237"/>
      <c r="U52" s="1237"/>
      <c r="V52" s="1237"/>
      <c r="W52" s="1237"/>
      <c r="X52" s="1237"/>
      <c r="Y52" s="1237"/>
      <c r="Z52" s="1237"/>
      <c r="AA52" s="1237"/>
      <c r="AB52" s="1237"/>
      <c r="AC52" s="1237"/>
      <c r="AD52" s="1283"/>
      <c r="AE52" s="1283"/>
      <c r="AF52" s="1283"/>
      <c r="AG52" s="1283" t="e">
        <f>+$C52*#REF!*#REF!</f>
        <v>#REF!</v>
      </c>
      <c r="AH52" s="1283"/>
      <c r="AI52" s="1317" t="e">
        <f>+SUMPRODUCT(D52:AH52,D47:AH47)</f>
        <v>#REF!</v>
      </c>
      <c r="AJ52" s="1236" t="e">
        <f>+$C52*#REF!*#REF!</f>
        <v>#REF!</v>
      </c>
    </row>
    <row r="53" spans="1:113">
      <c r="A53" s="1623"/>
      <c r="B53" s="1267" t="s">
        <v>1260</v>
      </c>
      <c r="C53" s="1282" t="e">
        <f>+#REF!</f>
        <v>#REF!</v>
      </c>
      <c r="D53" s="1236"/>
      <c r="E53" s="1354"/>
      <c r="F53" s="1237"/>
      <c r="G53" s="1237"/>
      <c r="H53" s="1237"/>
      <c r="I53" s="1237"/>
      <c r="J53" s="1386"/>
      <c r="K53" s="1237"/>
      <c r="L53" s="1237"/>
      <c r="M53" s="1237"/>
      <c r="N53" s="1237"/>
      <c r="O53" s="1237"/>
      <c r="P53" s="1237"/>
      <c r="Q53" s="1386"/>
      <c r="R53" s="1237"/>
      <c r="S53" s="1237"/>
      <c r="T53" s="1237"/>
      <c r="U53" s="1237"/>
      <c r="V53" s="1237"/>
      <c r="W53" s="1237"/>
      <c r="X53" s="1237"/>
      <c r="Y53" s="1237"/>
      <c r="Z53" s="1237"/>
      <c r="AA53" s="1237"/>
      <c r="AB53" s="1237"/>
      <c r="AC53" s="1237"/>
      <c r="AD53" s="1283"/>
      <c r="AE53" s="1283"/>
      <c r="AF53" s="1283"/>
      <c r="AG53" s="1283" t="e">
        <f>+$C53*#REF!*#REF!</f>
        <v>#REF!</v>
      </c>
      <c r="AH53" s="1283"/>
      <c r="AI53" s="1317" t="e">
        <f>+SUMPRODUCT(D53:AH53,D47:AH47)</f>
        <v>#REF!</v>
      </c>
      <c r="AJ53" s="1185" t="e">
        <f>+$C53*#REF!*#REF!</f>
        <v>#REF!</v>
      </c>
    </row>
    <row r="54" spans="1:113">
      <c r="A54" s="1624"/>
      <c r="B54" s="1292" t="s">
        <v>1261</v>
      </c>
      <c r="C54" s="1293" t="e">
        <f>+#REF!</f>
        <v>#REF!</v>
      </c>
      <c r="D54" s="1243"/>
      <c r="E54" s="1359"/>
      <c r="F54" s="1244"/>
      <c r="G54" s="1244"/>
      <c r="H54" s="1244"/>
      <c r="I54" s="1244"/>
      <c r="J54" s="1391"/>
      <c r="K54" s="1244"/>
      <c r="L54" s="1244"/>
      <c r="M54" s="1244"/>
      <c r="N54" s="1244"/>
      <c r="O54" s="1244"/>
      <c r="P54" s="1244"/>
      <c r="Q54" s="1391"/>
      <c r="R54" s="1244"/>
      <c r="S54" s="1244"/>
      <c r="T54" s="1244"/>
      <c r="U54" s="1244"/>
      <c r="V54" s="1244"/>
      <c r="W54" s="1244"/>
      <c r="X54" s="1244"/>
      <c r="Y54" s="1244"/>
      <c r="Z54" s="1244"/>
      <c r="AA54" s="1244"/>
      <c r="AB54" s="1244"/>
      <c r="AC54" s="1244"/>
      <c r="AD54" s="1294" t="e">
        <f>+$C54*#REF!*#REF!</f>
        <v>#REF!</v>
      </c>
      <c r="AE54" s="1294"/>
      <c r="AF54" s="1294"/>
      <c r="AG54" s="1294"/>
      <c r="AH54" s="1294"/>
      <c r="AI54" s="1318" t="e">
        <f>+SUMPRODUCT(D54:AH54,D47:AH47)</f>
        <v>#REF!</v>
      </c>
      <c r="AJ54" s="1185" t="e">
        <f>+$C54*#REF!*#REF!</f>
        <v>#REF!</v>
      </c>
    </row>
    <row r="55" spans="1:113">
      <c r="A55" s="1253" t="s">
        <v>1247</v>
      </c>
      <c r="B55" s="1310"/>
      <c r="C55" s="1255" t="s">
        <v>1308</v>
      </c>
      <c r="D55" s="1366"/>
      <c r="E55" s="1367"/>
      <c r="F55" s="1257"/>
      <c r="G55" s="1257"/>
      <c r="H55" s="1257"/>
      <c r="I55" s="1257"/>
      <c r="J55" s="1368"/>
      <c r="K55" s="1257"/>
      <c r="L55" s="1257"/>
      <c r="M55" s="1257"/>
      <c r="N55" s="1257"/>
      <c r="O55" s="1257"/>
      <c r="P55" s="1257"/>
      <c r="Q55" s="1368"/>
      <c r="R55" s="1257"/>
      <c r="S55" s="1257"/>
      <c r="T55" s="1257"/>
      <c r="U55" s="1257"/>
      <c r="V55" s="1257"/>
      <c r="W55" s="1257"/>
      <c r="X55" s="1257"/>
      <c r="Y55" s="1257"/>
      <c r="Z55" s="1257"/>
      <c r="AA55" s="1257"/>
      <c r="AB55" s="1257"/>
      <c r="AC55" s="1257"/>
      <c r="AD55" s="1312"/>
      <c r="AE55" s="1312"/>
      <c r="AF55" s="1312"/>
      <c r="AG55" s="1312"/>
      <c r="AH55" s="1312"/>
      <c r="AI55" s="1313"/>
      <c r="AJ55" s="1260"/>
      <c r="AK55" s="1260"/>
      <c r="AL55" s="1260"/>
      <c r="AM55" s="1260"/>
      <c r="AN55" s="1260"/>
      <c r="AO55" s="1260"/>
      <c r="AP55" s="1260"/>
      <c r="AQ55" s="1260"/>
      <c r="AR55" s="1260"/>
      <c r="AS55" s="1260"/>
      <c r="AT55" s="1260"/>
      <c r="AU55" s="1260"/>
      <c r="AV55" s="1260"/>
      <c r="AW55" s="1260"/>
      <c r="AX55" s="1260"/>
      <c r="AY55" s="1260"/>
      <c r="AZ55" s="1260"/>
      <c r="BA55" s="1260"/>
      <c r="BB55" s="1260"/>
      <c r="BC55" s="1260"/>
      <c r="BD55" s="1260"/>
      <c r="BE55" s="1260"/>
      <c r="BF55" s="1260"/>
      <c r="BG55" s="1260"/>
      <c r="BH55" s="1260"/>
      <c r="BI55" s="1260"/>
      <c r="BJ55" s="1260"/>
      <c r="BK55" s="1260"/>
      <c r="BL55" s="1260"/>
      <c r="BM55" s="1260"/>
      <c r="BN55" s="1260"/>
      <c r="BO55" s="1260"/>
      <c r="BP55" s="1260"/>
      <c r="BQ55" s="1260"/>
      <c r="BR55" s="1260"/>
      <c r="BS55" s="1260"/>
      <c r="BT55" s="1260"/>
      <c r="BU55" s="1260"/>
      <c r="BV55" s="1260"/>
      <c r="BW55" s="1260"/>
      <c r="BX55" s="1260"/>
      <c r="BY55" s="1260"/>
      <c r="BZ55" s="1260"/>
      <c r="CA55" s="1260"/>
      <c r="CB55" s="1260"/>
      <c r="CC55" s="1260"/>
      <c r="CD55" s="1260"/>
      <c r="CE55" s="1260"/>
      <c r="CF55" s="1260"/>
      <c r="CG55" s="1260"/>
      <c r="CH55" s="1260"/>
      <c r="CI55" s="1260"/>
      <c r="CJ55" s="1260"/>
      <c r="CK55" s="1260"/>
      <c r="CL55" s="1260"/>
      <c r="CM55" s="1260"/>
      <c r="CN55" s="1260"/>
      <c r="CO55" s="1260"/>
      <c r="CP55" s="1260"/>
      <c r="CQ55" s="1260"/>
      <c r="CR55" s="1260"/>
      <c r="CS55" s="1260"/>
      <c r="CT55" s="1260"/>
      <c r="CU55" s="1260"/>
      <c r="CV55" s="1260"/>
      <c r="CW55" s="1260"/>
      <c r="CX55" s="1260"/>
      <c r="CY55" s="1260"/>
      <c r="CZ55" s="1260"/>
      <c r="DA55" s="1260"/>
      <c r="DB55" s="1260"/>
      <c r="DC55" s="1260"/>
      <c r="DD55" s="1260"/>
      <c r="DE55" s="1260"/>
      <c r="DF55" s="1260"/>
      <c r="DG55" s="1260"/>
      <c r="DH55" s="1260"/>
      <c r="DI55" s="1260"/>
    </row>
    <row r="56" spans="1:113">
      <c r="A56" s="1261" t="s">
        <v>1227</v>
      </c>
      <c r="B56" s="1262"/>
      <c r="C56" s="1263">
        <v>4515</v>
      </c>
      <c r="D56" s="1369"/>
      <c r="E56" s="1370"/>
      <c r="F56" s="1265"/>
      <c r="G56" s="1265"/>
      <c r="H56" s="1265"/>
      <c r="I56" s="1265"/>
      <c r="J56" s="1371"/>
      <c r="K56" s="1265"/>
      <c r="L56" s="1265"/>
      <c r="M56" s="1265"/>
      <c r="N56" s="1265"/>
      <c r="O56" s="1265"/>
      <c r="P56" s="1265"/>
      <c r="Q56" s="1371"/>
      <c r="R56" s="1265"/>
      <c r="S56" s="1265"/>
      <c r="T56" s="1265"/>
      <c r="U56" s="1265"/>
      <c r="V56" s="1265"/>
      <c r="W56" s="1265"/>
      <c r="X56" s="1265"/>
      <c r="Y56" s="1265"/>
      <c r="Z56" s="1265"/>
      <c r="AA56" s="1265"/>
      <c r="AB56" s="1265"/>
      <c r="AC56" s="1265"/>
      <c r="AD56" s="1314"/>
      <c r="AE56" s="1314"/>
      <c r="AF56" s="1314"/>
      <c r="AG56" s="1314"/>
      <c r="AH56" s="1314"/>
      <c r="AI56" s="1313"/>
      <c r="AJ56" s="1260"/>
      <c r="AK56" s="1260"/>
      <c r="AL56" s="1260"/>
      <c r="AM56" s="1260"/>
      <c r="AN56" s="1260"/>
      <c r="AO56" s="1260"/>
      <c r="AP56" s="1260"/>
      <c r="AQ56" s="1260"/>
      <c r="AR56" s="1260"/>
      <c r="AS56" s="1260"/>
      <c r="AT56" s="1260"/>
      <c r="AU56" s="1260"/>
      <c r="AV56" s="1260"/>
      <c r="AW56" s="1260"/>
      <c r="AX56" s="1260"/>
      <c r="AY56" s="1260"/>
      <c r="AZ56" s="1260"/>
      <c r="BA56" s="1260"/>
      <c r="BB56" s="1260"/>
      <c r="BC56" s="1260"/>
      <c r="BD56" s="1260"/>
      <c r="BE56" s="1260"/>
      <c r="BF56" s="1260"/>
      <c r="BG56" s="1260"/>
      <c r="BH56" s="1260"/>
      <c r="BI56" s="1260"/>
      <c r="BJ56" s="1260"/>
      <c r="BK56" s="1260"/>
      <c r="BL56" s="1260"/>
      <c r="BM56" s="1260"/>
      <c r="BN56" s="1260"/>
      <c r="BO56" s="1260"/>
      <c r="BP56" s="1260"/>
      <c r="BQ56" s="1260"/>
      <c r="BR56" s="1260"/>
      <c r="BS56" s="1260"/>
      <c r="BT56" s="1260"/>
      <c r="BU56" s="1260"/>
      <c r="BV56" s="1260"/>
      <c r="BW56" s="1260"/>
      <c r="BX56" s="1260"/>
      <c r="BY56" s="1260"/>
      <c r="BZ56" s="1260"/>
      <c r="CA56" s="1260"/>
      <c r="CB56" s="1260"/>
      <c r="CC56" s="1260"/>
      <c r="CD56" s="1260"/>
      <c r="CE56" s="1260"/>
      <c r="CF56" s="1260"/>
      <c r="CG56" s="1260"/>
      <c r="CH56" s="1260"/>
      <c r="CI56" s="1260"/>
      <c r="CJ56" s="1260"/>
      <c r="CK56" s="1260"/>
      <c r="CL56" s="1260"/>
      <c r="CM56" s="1260"/>
      <c r="CN56" s="1260"/>
      <c r="CO56" s="1260"/>
      <c r="CP56" s="1260"/>
      <c r="CQ56" s="1260"/>
      <c r="CR56" s="1260"/>
      <c r="CS56" s="1260"/>
      <c r="CT56" s="1260"/>
      <c r="CU56" s="1260"/>
      <c r="CV56" s="1260"/>
      <c r="CW56" s="1260"/>
      <c r="CX56" s="1260"/>
      <c r="CY56" s="1260"/>
      <c r="CZ56" s="1260"/>
      <c r="DA56" s="1260"/>
      <c r="DB56" s="1260"/>
      <c r="DC56" s="1260"/>
      <c r="DD56" s="1260"/>
      <c r="DE56" s="1260"/>
      <c r="DF56" s="1260"/>
      <c r="DG56" s="1260"/>
      <c r="DH56" s="1260"/>
      <c r="DI56" s="1260"/>
    </row>
    <row r="57" spans="1:113" ht="15" customHeight="1">
      <c r="A57" s="1622" t="s">
        <v>1249</v>
      </c>
      <c r="B57" s="1267" t="s">
        <v>1250</v>
      </c>
      <c r="C57" s="1268">
        <v>27350</v>
      </c>
      <c r="D57" s="1372"/>
      <c r="E57" s="1373"/>
      <c r="F57" s="1270"/>
      <c r="G57" s="1270"/>
      <c r="H57" s="1270"/>
      <c r="I57" s="1270"/>
      <c r="J57" s="1374"/>
      <c r="K57" s="1270"/>
      <c r="L57" s="1270"/>
      <c r="M57" s="1270"/>
      <c r="N57" s="1270"/>
      <c r="O57" s="1270"/>
      <c r="P57" s="1270"/>
      <c r="Q57" s="1374"/>
      <c r="R57" s="1270"/>
      <c r="S57" s="1270"/>
      <c r="T57" s="1270"/>
      <c r="U57" s="1270"/>
      <c r="V57" s="1270"/>
      <c r="W57" s="1270"/>
      <c r="X57" s="1270"/>
      <c r="Y57" s="1270"/>
      <c r="Z57" s="1270"/>
      <c r="AA57" s="1270"/>
      <c r="AB57" s="1270"/>
      <c r="AC57" s="1270"/>
      <c r="AD57" s="1303"/>
      <c r="AE57" s="1303"/>
      <c r="AF57" s="1303"/>
      <c r="AG57" s="1303"/>
      <c r="AH57" s="1303"/>
      <c r="AI57" s="1313"/>
      <c r="AJ57" s="1260"/>
      <c r="AK57" s="1260"/>
      <c r="AL57" s="1260"/>
      <c r="AM57" s="1260"/>
      <c r="AN57" s="1260"/>
      <c r="AO57" s="1260"/>
      <c r="AP57" s="1260"/>
      <c r="AQ57" s="1260"/>
      <c r="AR57" s="1260"/>
      <c r="AS57" s="1260"/>
      <c r="AT57" s="1260"/>
      <c r="AU57" s="1260"/>
      <c r="AV57" s="1260"/>
      <c r="AW57" s="1260"/>
      <c r="AX57" s="1260"/>
      <c r="AY57" s="1260"/>
      <c r="AZ57" s="1260"/>
      <c r="BA57" s="1260"/>
      <c r="BB57" s="1260"/>
      <c r="BC57" s="1260"/>
      <c r="BD57" s="1260"/>
      <c r="BE57" s="1260"/>
      <c r="BF57" s="1260"/>
      <c r="BG57" s="1260"/>
      <c r="BH57" s="1260"/>
      <c r="BI57" s="1260"/>
      <c r="BJ57" s="1260"/>
      <c r="BK57" s="1260"/>
      <c r="BL57" s="1260"/>
      <c r="BM57" s="1260"/>
      <c r="BN57" s="1260"/>
      <c r="BO57" s="1260"/>
      <c r="BP57" s="1260"/>
      <c r="BQ57" s="1260"/>
      <c r="BR57" s="1260"/>
      <c r="BS57" s="1260"/>
      <c r="BT57" s="1260"/>
      <c r="BU57" s="1260"/>
      <c r="BV57" s="1260"/>
      <c r="BW57" s="1260"/>
      <c r="BX57" s="1260"/>
      <c r="BY57" s="1260"/>
      <c r="BZ57" s="1260"/>
      <c r="CA57" s="1260"/>
      <c r="CB57" s="1260"/>
      <c r="CC57" s="1260"/>
      <c r="CD57" s="1260"/>
      <c r="CE57" s="1260"/>
      <c r="CF57" s="1260"/>
      <c r="CG57" s="1260"/>
      <c r="CH57" s="1260"/>
      <c r="CI57" s="1260"/>
      <c r="CJ57" s="1260"/>
      <c r="CK57" s="1260"/>
      <c r="CL57" s="1260"/>
      <c r="CM57" s="1260"/>
      <c r="CN57" s="1260"/>
      <c r="CO57" s="1260"/>
      <c r="CP57" s="1260"/>
      <c r="CQ57" s="1260"/>
      <c r="CR57" s="1260"/>
      <c r="CS57" s="1260"/>
      <c r="CT57" s="1260"/>
      <c r="CU57" s="1260"/>
      <c r="CV57" s="1260"/>
      <c r="CW57" s="1260"/>
      <c r="CX57" s="1260"/>
      <c r="CY57" s="1260"/>
      <c r="CZ57" s="1260"/>
      <c r="DA57" s="1260"/>
      <c r="DB57" s="1260"/>
      <c r="DC57" s="1260"/>
      <c r="DD57" s="1260"/>
      <c r="DE57" s="1260"/>
      <c r="DF57" s="1260"/>
      <c r="DG57" s="1260"/>
      <c r="DH57" s="1260"/>
      <c r="DI57" s="1260"/>
    </row>
    <row r="58" spans="1:113">
      <c r="A58" s="1622"/>
      <c r="B58" s="1267" t="s">
        <v>1251</v>
      </c>
      <c r="C58" s="1268">
        <v>37215</v>
      </c>
      <c r="D58" s="1372"/>
      <c r="E58" s="1373"/>
      <c r="F58" s="1270"/>
      <c r="G58" s="1270"/>
      <c r="H58" s="1270"/>
      <c r="I58" s="1270"/>
      <c r="J58" s="1374"/>
      <c r="K58" s="1270"/>
      <c r="L58" s="1270"/>
      <c r="M58" s="1270"/>
      <c r="N58" s="1270"/>
      <c r="O58" s="1270"/>
      <c r="P58" s="1270"/>
      <c r="Q58" s="1374"/>
      <c r="R58" s="1270"/>
      <c r="S58" s="1270"/>
      <c r="T58" s="1270"/>
      <c r="U58" s="1270"/>
      <c r="V58" s="1270"/>
      <c r="W58" s="1270"/>
      <c r="X58" s="1270"/>
      <c r="Y58" s="1270"/>
      <c r="Z58" s="1270"/>
      <c r="AA58" s="1270"/>
      <c r="AB58" s="1270"/>
      <c r="AC58" s="1270"/>
      <c r="AD58" s="1315"/>
      <c r="AE58" s="1315"/>
      <c r="AF58" s="1315"/>
      <c r="AG58" s="1315"/>
      <c r="AH58" s="1315"/>
      <c r="AI58" s="1316"/>
    </row>
    <row r="59" spans="1:113">
      <c r="A59" s="1272" t="s">
        <v>1252</v>
      </c>
      <c r="B59" s="1273"/>
      <c r="C59" s="1268">
        <f>+(C58-C57)/2+C57</f>
        <v>32282.5</v>
      </c>
      <c r="D59" s="1372"/>
      <c r="E59" s="1373"/>
      <c r="F59" s="1270"/>
      <c r="G59" s="1270"/>
      <c r="H59" s="1270"/>
      <c r="I59" s="1270"/>
      <c r="J59" s="1374"/>
      <c r="K59" s="1270"/>
      <c r="L59" s="1270"/>
      <c r="M59" s="1270"/>
      <c r="N59" s="1270"/>
      <c r="O59" s="1270"/>
      <c r="P59" s="1270"/>
      <c r="Q59" s="1374"/>
      <c r="R59" s="1270"/>
      <c r="S59" s="1270"/>
      <c r="T59" s="1270"/>
      <c r="U59" s="1270"/>
      <c r="V59" s="1270"/>
      <c r="W59" s="1270"/>
      <c r="X59" s="1270"/>
      <c r="Y59" s="1270"/>
      <c r="Z59" s="1270"/>
      <c r="AA59" s="1270"/>
      <c r="AB59" s="1270"/>
      <c r="AC59" s="1270"/>
      <c r="AD59" s="1315"/>
      <c r="AE59" s="1315"/>
      <c r="AF59" s="1315"/>
      <c r="AG59" s="1315"/>
      <c r="AH59" s="1315"/>
      <c r="AI59" s="1316"/>
    </row>
    <row r="60" spans="1:113">
      <c r="A60" s="1272" t="s">
        <v>1253</v>
      </c>
      <c r="B60" s="1273"/>
      <c r="C60" s="1274"/>
      <c r="D60" s="1390">
        <f>IF(D62&gt;D61,(D62-D61)+D$2*1000+D$3*1000,(D61-D62)+D$2*1000+D$4*1000)/1000</f>
        <v>47.332500000000003</v>
      </c>
      <c r="E60" s="1376">
        <f t="shared" ref="E60:AH60" si="10">IF(E62&gt;E61,(E62-E61)+E$2*1000+E$3*1000,(E61-E62)+E$2*1000+E$4*1000)/1000</f>
        <v>47.782499999999999</v>
      </c>
      <c r="F60" s="1276">
        <f t="shared" si="10"/>
        <v>27.0825</v>
      </c>
      <c r="G60" s="1276">
        <f t="shared" si="10"/>
        <v>23.352499999999999</v>
      </c>
      <c r="H60" s="1276">
        <f t="shared" si="10"/>
        <v>23.3825</v>
      </c>
      <c r="I60" s="1276">
        <f t="shared" si="10"/>
        <v>24.282499999999999</v>
      </c>
      <c r="J60" s="1377">
        <f t="shared" si="10"/>
        <v>16.782499999999999</v>
      </c>
      <c r="K60" s="1276">
        <f t="shared" si="10"/>
        <v>16.282499999999999</v>
      </c>
      <c r="L60" s="1276">
        <f t="shared" si="10"/>
        <v>9.0824999999999996</v>
      </c>
      <c r="M60" s="1276">
        <f t="shared" si="10"/>
        <v>10.9825</v>
      </c>
      <c r="N60" s="1276">
        <f t="shared" si="10"/>
        <v>11.1175</v>
      </c>
      <c r="O60" s="1276">
        <f t="shared" si="10"/>
        <v>12.717499999999999</v>
      </c>
      <c r="P60" s="1276">
        <f t="shared" si="10"/>
        <v>86.282499999999999</v>
      </c>
      <c r="Q60" s="1377">
        <f t="shared" si="10"/>
        <v>82.282499999999999</v>
      </c>
      <c r="R60" s="1276">
        <f t="shared" si="10"/>
        <v>94.582499999999996</v>
      </c>
      <c r="S60" s="1276">
        <f t="shared" si="10"/>
        <v>19.517499999999998</v>
      </c>
      <c r="T60" s="1276">
        <f t="shared" si="10"/>
        <v>23.1675</v>
      </c>
      <c r="U60" s="1276">
        <f t="shared" si="10"/>
        <v>21.467500000000001</v>
      </c>
      <c r="V60" s="1276">
        <f t="shared" si="10"/>
        <v>23.747499999999999</v>
      </c>
      <c r="W60" s="1276">
        <f t="shared" si="10"/>
        <v>2.2825000000000002</v>
      </c>
      <c r="X60" s="1276">
        <f t="shared" si="10"/>
        <v>31.4175</v>
      </c>
      <c r="Y60" s="1276">
        <f t="shared" si="10"/>
        <v>40.717500000000001</v>
      </c>
      <c r="Z60" s="1276">
        <f t="shared" si="10"/>
        <v>46.517499999999998</v>
      </c>
      <c r="AA60" s="1276">
        <f t="shared" si="10"/>
        <v>53.067500000000003</v>
      </c>
      <c r="AB60" s="1276">
        <f t="shared" si="10"/>
        <v>57.637500000000003</v>
      </c>
      <c r="AC60" s="1276">
        <f t="shared" si="10"/>
        <v>64.137500000000003</v>
      </c>
      <c r="AD60" s="1277">
        <f t="shared" si="10"/>
        <v>43.332500000000003</v>
      </c>
      <c r="AE60" s="1277">
        <f t="shared" si="10"/>
        <v>4.2824999999999998</v>
      </c>
      <c r="AF60" s="1277">
        <f t="shared" si="10"/>
        <v>5.7175000000000002</v>
      </c>
      <c r="AG60" s="1277">
        <f t="shared" si="10"/>
        <v>38.717500000000001</v>
      </c>
      <c r="AH60" s="1277">
        <f t="shared" si="10"/>
        <v>50.517499999999998</v>
      </c>
      <c r="AI60" s="1316"/>
    </row>
    <row r="61" spans="1:113" hidden="1">
      <c r="A61" s="1278" t="s">
        <v>1254</v>
      </c>
      <c r="B61" s="1279"/>
      <c r="C61" s="1280"/>
      <c r="D61" s="1326">
        <f>+IF($C56=4514,IF(D$6=4514,$C59,$C59),IF(D$6=4515,$C59+101000,101000+$C59))</f>
        <v>133282.5</v>
      </c>
      <c r="E61" s="1326">
        <f t="shared" ref="E61:AH61" si="11">+IF($C56=4514,IF(E$6=4514,$C59,$C59),IF(E$6=4515,$C59+101000,101000+$C59))</f>
        <v>133282.5</v>
      </c>
      <c r="F61" s="1200">
        <f t="shared" si="11"/>
        <v>133282.5</v>
      </c>
      <c r="G61" s="1200">
        <f t="shared" si="11"/>
        <v>133282.5</v>
      </c>
      <c r="H61" s="1200">
        <f t="shared" si="11"/>
        <v>133282.5</v>
      </c>
      <c r="I61" s="1200">
        <f t="shared" si="11"/>
        <v>133282.5</v>
      </c>
      <c r="J61" s="1378">
        <f t="shared" si="11"/>
        <v>133282.5</v>
      </c>
      <c r="K61" s="1200">
        <f t="shared" si="11"/>
        <v>133282.5</v>
      </c>
      <c r="L61" s="1200">
        <f t="shared" si="11"/>
        <v>133282.5</v>
      </c>
      <c r="M61" s="1200">
        <f t="shared" si="11"/>
        <v>133282.5</v>
      </c>
      <c r="N61" s="1200">
        <f t="shared" si="11"/>
        <v>133282.5</v>
      </c>
      <c r="O61" s="1200">
        <f t="shared" si="11"/>
        <v>133282.5</v>
      </c>
      <c r="P61" s="1200">
        <f t="shared" si="11"/>
        <v>133282.5</v>
      </c>
      <c r="Q61" s="1378">
        <f t="shared" si="11"/>
        <v>133282.5</v>
      </c>
      <c r="R61" s="1200">
        <f t="shared" si="11"/>
        <v>133282.5</v>
      </c>
      <c r="S61" s="1200">
        <f t="shared" si="11"/>
        <v>133282.5</v>
      </c>
      <c r="T61" s="1200">
        <f t="shared" si="11"/>
        <v>133282.5</v>
      </c>
      <c r="U61" s="1200">
        <f t="shared" si="11"/>
        <v>133282.5</v>
      </c>
      <c r="V61" s="1200">
        <f t="shared" si="11"/>
        <v>133282.5</v>
      </c>
      <c r="W61" s="1200">
        <f t="shared" si="11"/>
        <v>133282.5</v>
      </c>
      <c r="X61" s="1200">
        <f t="shared" si="11"/>
        <v>133282.5</v>
      </c>
      <c r="Y61" s="1200">
        <f t="shared" si="11"/>
        <v>133282.5</v>
      </c>
      <c r="Z61" s="1200">
        <f t="shared" si="11"/>
        <v>133282.5</v>
      </c>
      <c r="AA61" s="1200">
        <f t="shared" si="11"/>
        <v>133282.5</v>
      </c>
      <c r="AB61" s="1200">
        <f t="shared" si="11"/>
        <v>133282.5</v>
      </c>
      <c r="AC61" s="1200">
        <f t="shared" si="11"/>
        <v>133282.5</v>
      </c>
      <c r="AD61" s="1281">
        <f t="shared" si="11"/>
        <v>133282.5</v>
      </c>
      <c r="AE61" s="1281">
        <f t="shared" si="11"/>
        <v>133282.5</v>
      </c>
      <c r="AF61" s="1281">
        <f t="shared" si="11"/>
        <v>133282.5</v>
      </c>
      <c r="AG61" s="1281">
        <f t="shared" si="11"/>
        <v>133282.5</v>
      </c>
      <c r="AH61" s="1281">
        <f t="shared" si="11"/>
        <v>133282.5</v>
      </c>
      <c r="AI61" s="1316"/>
    </row>
    <row r="62" spans="1:113" hidden="1">
      <c r="A62" s="1278" t="s">
        <v>1255</v>
      </c>
      <c r="B62" s="1279"/>
      <c r="C62" s="1280"/>
      <c r="D62" s="1326">
        <f>+IF($C56=4514,IF(D$6=4514,D$5,D$5+101000),IF(D$6=4515,D$5+101000,D$5))</f>
        <v>85950</v>
      </c>
      <c r="E62" s="1326">
        <f t="shared" ref="E62:AH62" si="12">+IF($C56=4514,IF(E$6=4514,E$5,E$5+101000),IF(E$6=4515,E$5+101000,E$5))</f>
        <v>85500</v>
      </c>
      <c r="F62" s="1200">
        <f t="shared" si="12"/>
        <v>106200</v>
      </c>
      <c r="G62" s="1200">
        <f t="shared" si="12"/>
        <v>110930</v>
      </c>
      <c r="H62" s="1200">
        <f t="shared" si="12"/>
        <v>109900</v>
      </c>
      <c r="I62" s="1200">
        <f t="shared" si="12"/>
        <v>110000</v>
      </c>
      <c r="J62" s="1378">
        <f t="shared" si="12"/>
        <v>116500</v>
      </c>
      <c r="K62" s="1200">
        <f t="shared" si="12"/>
        <v>117000</v>
      </c>
      <c r="L62" s="1200">
        <f t="shared" si="12"/>
        <v>124200</v>
      </c>
      <c r="M62" s="1200">
        <f t="shared" si="12"/>
        <v>126800</v>
      </c>
      <c r="N62" s="1200">
        <f t="shared" si="12"/>
        <v>144400</v>
      </c>
      <c r="O62" s="1200">
        <f t="shared" si="12"/>
        <v>146000</v>
      </c>
      <c r="P62" s="1200">
        <f t="shared" si="12"/>
        <v>47500</v>
      </c>
      <c r="Q62" s="1378">
        <f t="shared" si="12"/>
        <v>51000</v>
      </c>
      <c r="R62" s="1200">
        <f t="shared" si="12"/>
        <v>40000</v>
      </c>
      <c r="S62" s="1200">
        <f t="shared" si="12"/>
        <v>149800</v>
      </c>
      <c r="T62" s="1200">
        <f t="shared" si="12"/>
        <v>154650</v>
      </c>
      <c r="U62" s="1200">
        <f t="shared" si="12"/>
        <v>153350</v>
      </c>
      <c r="V62" s="1200">
        <f t="shared" si="12"/>
        <v>154730</v>
      </c>
      <c r="W62" s="1200">
        <f t="shared" si="12"/>
        <v>131000</v>
      </c>
      <c r="X62" s="1200">
        <f t="shared" si="12"/>
        <v>164700</v>
      </c>
      <c r="Y62" s="1200">
        <f t="shared" si="12"/>
        <v>173000</v>
      </c>
      <c r="Z62" s="1200">
        <f t="shared" si="12"/>
        <v>176000</v>
      </c>
      <c r="AA62" s="1200">
        <f t="shared" si="12"/>
        <v>185150</v>
      </c>
      <c r="AB62" s="1200">
        <f t="shared" si="12"/>
        <v>190920</v>
      </c>
      <c r="AC62" s="1200">
        <f t="shared" si="12"/>
        <v>190920</v>
      </c>
      <c r="AD62" s="1281">
        <f t="shared" si="12"/>
        <v>89950</v>
      </c>
      <c r="AE62" s="1281">
        <f t="shared" si="12"/>
        <v>129000</v>
      </c>
      <c r="AF62" s="1281">
        <f t="shared" si="12"/>
        <v>139000</v>
      </c>
      <c r="AG62" s="1281">
        <f t="shared" si="12"/>
        <v>172000</v>
      </c>
      <c r="AH62" s="1281">
        <f t="shared" si="12"/>
        <v>177800</v>
      </c>
      <c r="AI62" s="1316"/>
    </row>
    <row r="63" spans="1:113" ht="15" customHeight="1">
      <c r="A63" s="1623" t="s">
        <v>1266</v>
      </c>
      <c r="B63" s="1267" t="s">
        <v>1257</v>
      </c>
      <c r="C63" s="1282" t="e">
        <f>+#REF!</f>
        <v>#REF!</v>
      </c>
      <c r="D63" s="1236"/>
      <c r="E63" s="1354"/>
      <c r="F63" s="1237"/>
      <c r="G63" s="1237"/>
      <c r="H63" s="1237"/>
      <c r="I63" s="1237"/>
      <c r="J63" s="1386"/>
      <c r="K63" s="1237"/>
      <c r="L63" s="1237"/>
      <c r="M63" s="1237"/>
      <c r="N63" s="1237"/>
      <c r="O63" s="1237"/>
      <c r="P63" s="1237"/>
      <c r="Q63" s="1386"/>
      <c r="R63" s="1237"/>
      <c r="S63" s="1237"/>
      <c r="T63" s="1237"/>
      <c r="U63" s="1237"/>
      <c r="V63" s="1237" t="e">
        <f>$C63*#REF!*#REF!</f>
        <v>#REF!</v>
      </c>
      <c r="W63" s="1237"/>
      <c r="X63" s="1237"/>
      <c r="Y63" s="1237"/>
      <c r="Z63" s="1237"/>
      <c r="AA63" s="1237"/>
      <c r="AB63" s="1237"/>
      <c r="AC63" s="1237"/>
      <c r="AD63" s="1283"/>
      <c r="AE63" s="1283"/>
      <c r="AF63" s="1283"/>
      <c r="AG63" s="1283"/>
      <c r="AH63" s="1283"/>
      <c r="AI63" s="1317" t="e">
        <f>+SUMPRODUCT(D63:AH63,D60:AH60)</f>
        <v>#REF!</v>
      </c>
      <c r="AJ63" s="1185" t="e">
        <f>$C63*#REF!*#REF!</f>
        <v>#REF!</v>
      </c>
    </row>
    <row r="64" spans="1:113">
      <c r="A64" s="1623"/>
      <c r="B64" s="1267" t="s">
        <v>1258</v>
      </c>
      <c r="C64" s="1282" t="e">
        <f>+#REF!</f>
        <v>#REF!</v>
      </c>
      <c r="D64" s="1236"/>
      <c r="E64" s="1354"/>
      <c r="F64" s="1237"/>
      <c r="G64" s="1237"/>
      <c r="H64" s="1237"/>
      <c r="I64" s="1237"/>
      <c r="J64" s="1386"/>
      <c r="K64" s="1237"/>
      <c r="L64" s="1237"/>
      <c r="M64" s="1237"/>
      <c r="N64" s="1237"/>
      <c r="O64" s="1237"/>
      <c r="P64" s="1237"/>
      <c r="Q64" s="1386"/>
      <c r="R64" s="1237"/>
      <c r="S64" s="1237"/>
      <c r="T64" s="1237"/>
      <c r="U64" s="1237"/>
      <c r="V64" s="1237" t="e">
        <f>$C64*#REF!*#REF!</f>
        <v>#REF!</v>
      </c>
      <c r="W64" s="1237"/>
      <c r="X64" s="1237"/>
      <c r="Y64" s="1237"/>
      <c r="Z64" s="1237"/>
      <c r="AA64" s="1237"/>
      <c r="AB64" s="1237"/>
      <c r="AC64" s="1237"/>
      <c r="AD64" s="1283"/>
      <c r="AE64" s="1283"/>
      <c r="AF64" s="1283"/>
      <c r="AG64" s="1283"/>
      <c r="AH64" s="1283"/>
      <c r="AI64" s="1317" t="e">
        <f>+SUMPRODUCT(D64:AH64,D60:AH60)</f>
        <v>#REF!</v>
      </c>
      <c r="AJ64" s="1185" t="e">
        <f>$C64*#REF!*#REF!</f>
        <v>#REF!</v>
      </c>
    </row>
    <row r="65" spans="1:113">
      <c r="A65" s="1623"/>
      <c r="B65" s="1267" t="s">
        <v>1259</v>
      </c>
      <c r="C65" s="1282" t="e">
        <f>+#REF!</f>
        <v>#REF!</v>
      </c>
      <c r="D65" s="1236"/>
      <c r="E65" s="1354"/>
      <c r="F65" s="1237"/>
      <c r="G65" s="1237"/>
      <c r="H65" s="1237"/>
      <c r="I65" s="1237"/>
      <c r="J65" s="1386"/>
      <c r="K65" s="1237"/>
      <c r="L65" s="1237"/>
      <c r="M65" s="1237"/>
      <c r="N65" s="1237"/>
      <c r="O65" s="1237"/>
      <c r="P65" s="1237"/>
      <c r="Q65" s="1386"/>
      <c r="R65" s="1237"/>
      <c r="S65" s="1237"/>
      <c r="T65" s="1237"/>
      <c r="U65" s="1237"/>
      <c r="V65" s="1237"/>
      <c r="W65" s="1237"/>
      <c r="X65" s="1237"/>
      <c r="Y65" s="1237"/>
      <c r="Z65" s="1237"/>
      <c r="AA65" s="1237"/>
      <c r="AB65" s="1237"/>
      <c r="AC65" s="1237"/>
      <c r="AD65" s="1283"/>
      <c r="AE65" s="1283"/>
      <c r="AF65" s="1283"/>
      <c r="AG65" s="1283" t="e">
        <f>+$C65*#REF!*#REF!</f>
        <v>#REF!</v>
      </c>
      <c r="AH65" s="1283"/>
      <c r="AI65" s="1317" t="e">
        <f>+SUMPRODUCT(D65:AH65,D60:AH60)</f>
        <v>#REF!</v>
      </c>
      <c r="AJ65" s="1236" t="e">
        <f>+$C65*#REF!*#REF!</f>
        <v>#REF!</v>
      </c>
    </row>
    <row r="66" spans="1:113">
      <c r="A66" s="1623"/>
      <c r="B66" s="1267" t="s">
        <v>1260</v>
      </c>
      <c r="C66" s="1282" t="e">
        <f>+#REF!</f>
        <v>#REF!</v>
      </c>
      <c r="D66" s="1236"/>
      <c r="E66" s="1354"/>
      <c r="F66" s="1237"/>
      <c r="G66" s="1237"/>
      <c r="H66" s="1237"/>
      <c r="I66" s="1237"/>
      <c r="J66" s="1386"/>
      <c r="K66" s="1237"/>
      <c r="L66" s="1237"/>
      <c r="M66" s="1237"/>
      <c r="N66" s="1237"/>
      <c r="O66" s="1237"/>
      <c r="P66" s="1237"/>
      <c r="Q66" s="1386"/>
      <c r="R66" s="1237"/>
      <c r="S66" s="1237"/>
      <c r="T66" s="1237"/>
      <c r="U66" s="1237"/>
      <c r="V66" s="1237"/>
      <c r="W66" s="1237"/>
      <c r="X66" s="1237"/>
      <c r="Y66" s="1237"/>
      <c r="Z66" s="1237"/>
      <c r="AA66" s="1237"/>
      <c r="AB66" s="1237"/>
      <c r="AC66" s="1237"/>
      <c r="AD66" s="1283"/>
      <c r="AE66" s="1283"/>
      <c r="AF66" s="1283"/>
      <c r="AG66" s="1283" t="e">
        <f>+$C66*#REF!*#REF!</f>
        <v>#REF!</v>
      </c>
      <c r="AH66" s="1283"/>
      <c r="AI66" s="1317" t="e">
        <f>+SUMPRODUCT(D66:AH66,D60:AH60)</f>
        <v>#REF!</v>
      </c>
      <c r="AJ66" s="1185" t="e">
        <f>+$C66*#REF!*#REF!</f>
        <v>#REF!</v>
      </c>
    </row>
    <row r="67" spans="1:113">
      <c r="A67" s="1624"/>
      <c r="B67" s="1292" t="s">
        <v>1261</v>
      </c>
      <c r="C67" s="1293" t="e">
        <f>+#REF!</f>
        <v>#REF!</v>
      </c>
      <c r="D67" s="1243"/>
      <c r="E67" s="1359"/>
      <c r="F67" s="1244"/>
      <c r="G67" s="1244"/>
      <c r="H67" s="1244"/>
      <c r="I67" s="1244"/>
      <c r="J67" s="1391"/>
      <c r="K67" s="1244"/>
      <c r="L67" s="1244"/>
      <c r="M67" s="1244"/>
      <c r="N67" s="1244"/>
      <c r="O67" s="1244"/>
      <c r="P67" s="1244"/>
      <c r="Q67" s="1391"/>
      <c r="R67" s="1244"/>
      <c r="S67" s="1244"/>
      <c r="T67" s="1244"/>
      <c r="U67" s="1244"/>
      <c r="V67" s="1244"/>
      <c r="W67" s="1244"/>
      <c r="X67" s="1244"/>
      <c r="Y67" s="1244"/>
      <c r="Z67" s="1244"/>
      <c r="AA67" s="1244"/>
      <c r="AB67" s="1244"/>
      <c r="AC67" s="1244"/>
      <c r="AD67" s="1294" t="e">
        <f>+$C67*#REF!*#REF!</f>
        <v>#REF!</v>
      </c>
      <c r="AE67" s="1294"/>
      <c r="AF67" s="1294"/>
      <c r="AG67" s="1294"/>
      <c r="AH67" s="1294"/>
      <c r="AI67" s="1318" t="e">
        <f>+SUMPRODUCT(D67:AH67,D60:AH60)</f>
        <v>#REF!</v>
      </c>
      <c r="AJ67" s="1185" t="e">
        <f>+$C67*#REF!*#REF!</f>
        <v>#REF!</v>
      </c>
    </row>
    <row r="68" spans="1:113">
      <c r="A68" s="1253" t="s">
        <v>1247</v>
      </c>
      <c r="B68" s="1310"/>
      <c r="C68" s="1255" t="s">
        <v>1309</v>
      </c>
      <c r="D68" s="1366"/>
      <c r="E68" s="1367"/>
      <c r="F68" s="1257"/>
      <c r="G68" s="1257"/>
      <c r="H68" s="1257"/>
      <c r="I68" s="1257"/>
      <c r="J68" s="1368"/>
      <c r="K68" s="1257"/>
      <c r="L68" s="1257"/>
      <c r="M68" s="1257"/>
      <c r="N68" s="1257"/>
      <c r="O68" s="1257"/>
      <c r="P68" s="1257"/>
      <c r="Q68" s="1368"/>
      <c r="R68" s="1257"/>
      <c r="S68" s="1257"/>
      <c r="T68" s="1257"/>
      <c r="U68" s="1257"/>
      <c r="V68" s="1257"/>
      <c r="W68" s="1257"/>
      <c r="X68" s="1257"/>
      <c r="Y68" s="1257"/>
      <c r="Z68" s="1257"/>
      <c r="AA68" s="1257"/>
      <c r="AB68" s="1257"/>
      <c r="AC68" s="1257"/>
      <c r="AD68" s="1312"/>
      <c r="AE68" s="1312"/>
      <c r="AF68" s="1312"/>
      <c r="AG68" s="1312"/>
      <c r="AH68" s="1312"/>
      <c r="AI68" s="1313"/>
      <c r="AJ68" s="1260"/>
      <c r="AK68" s="1260"/>
      <c r="AL68" s="1260"/>
      <c r="AM68" s="1260"/>
      <c r="AN68" s="1260"/>
      <c r="AO68" s="1260"/>
      <c r="AP68" s="1260"/>
      <c r="AQ68" s="1260"/>
      <c r="AR68" s="1260"/>
      <c r="AS68" s="1260"/>
      <c r="AT68" s="1260"/>
      <c r="AU68" s="1260"/>
      <c r="AV68" s="1260"/>
      <c r="AW68" s="1260"/>
      <c r="AX68" s="1260"/>
      <c r="AY68" s="1260"/>
      <c r="AZ68" s="1260"/>
      <c r="BA68" s="1260"/>
      <c r="BB68" s="1260"/>
      <c r="BC68" s="1260"/>
      <c r="BD68" s="1260"/>
      <c r="BE68" s="1260"/>
      <c r="BF68" s="1260"/>
      <c r="BG68" s="1260"/>
      <c r="BH68" s="1260"/>
      <c r="BI68" s="1260"/>
      <c r="BJ68" s="1260"/>
      <c r="BK68" s="1260"/>
      <c r="BL68" s="1260"/>
      <c r="BM68" s="1260"/>
      <c r="BN68" s="1260"/>
      <c r="BO68" s="1260"/>
      <c r="BP68" s="1260"/>
      <c r="BQ68" s="1260"/>
      <c r="BR68" s="1260"/>
      <c r="BS68" s="1260"/>
      <c r="BT68" s="1260"/>
      <c r="BU68" s="1260"/>
      <c r="BV68" s="1260"/>
      <c r="BW68" s="1260"/>
      <c r="BX68" s="1260"/>
      <c r="BY68" s="1260"/>
      <c r="BZ68" s="1260"/>
      <c r="CA68" s="1260"/>
      <c r="CB68" s="1260"/>
      <c r="CC68" s="1260"/>
      <c r="CD68" s="1260"/>
      <c r="CE68" s="1260"/>
      <c r="CF68" s="1260"/>
      <c r="CG68" s="1260"/>
      <c r="CH68" s="1260"/>
      <c r="CI68" s="1260"/>
      <c r="CJ68" s="1260"/>
      <c r="CK68" s="1260"/>
      <c r="CL68" s="1260"/>
      <c r="CM68" s="1260"/>
      <c r="CN68" s="1260"/>
      <c r="CO68" s="1260"/>
      <c r="CP68" s="1260"/>
      <c r="CQ68" s="1260"/>
      <c r="CR68" s="1260"/>
      <c r="CS68" s="1260"/>
      <c r="CT68" s="1260"/>
      <c r="CU68" s="1260"/>
      <c r="CV68" s="1260"/>
      <c r="CW68" s="1260"/>
      <c r="CX68" s="1260"/>
      <c r="CY68" s="1260"/>
      <c r="CZ68" s="1260"/>
      <c r="DA68" s="1260"/>
      <c r="DB68" s="1260"/>
      <c r="DC68" s="1260"/>
      <c r="DD68" s="1260"/>
      <c r="DE68" s="1260"/>
      <c r="DF68" s="1260"/>
      <c r="DG68" s="1260"/>
      <c r="DH68" s="1260"/>
      <c r="DI68" s="1260"/>
    </row>
    <row r="69" spans="1:113">
      <c r="A69" s="1261" t="s">
        <v>1227</v>
      </c>
      <c r="B69" s="1262"/>
      <c r="C69" s="1263">
        <v>4515</v>
      </c>
      <c r="D69" s="1369"/>
      <c r="E69" s="1370"/>
      <c r="F69" s="1265"/>
      <c r="G69" s="1265"/>
      <c r="H69" s="1265"/>
      <c r="I69" s="1265"/>
      <c r="J69" s="1371"/>
      <c r="K69" s="1265"/>
      <c r="L69" s="1265"/>
      <c r="M69" s="1265"/>
      <c r="N69" s="1265"/>
      <c r="O69" s="1265"/>
      <c r="P69" s="1265"/>
      <c r="Q69" s="1371"/>
      <c r="R69" s="1265"/>
      <c r="S69" s="1265"/>
      <c r="T69" s="1265"/>
      <c r="U69" s="1265"/>
      <c r="V69" s="1265"/>
      <c r="W69" s="1265"/>
      <c r="X69" s="1265"/>
      <c r="Y69" s="1265"/>
      <c r="Z69" s="1265"/>
      <c r="AA69" s="1265"/>
      <c r="AB69" s="1265"/>
      <c r="AC69" s="1265"/>
      <c r="AD69" s="1314"/>
      <c r="AE69" s="1314"/>
      <c r="AF69" s="1314"/>
      <c r="AG69" s="1314"/>
      <c r="AH69" s="1314"/>
      <c r="AI69" s="1313"/>
      <c r="AJ69" s="1260"/>
      <c r="AK69" s="1260"/>
      <c r="AL69" s="1260"/>
      <c r="AM69" s="1260"/>
      <c r="AN69" s="1260"/>
      <c r="AO69" s="1260"/>
      <c r="AP69" s="1260"/>
      <c r="AQ69" s="1260"/>
      <c r="AR69" s="1260"/>
      <c r="AS69" s="1260"/>
      <c r="AT69" s="1260"/>
      <c r="AU69" s="1260"/>
      <c r="AV69" s="1260"/>
      <c r="AW69" s="1260"/>
      <c r="AX69" s="1260"/>
      <c r="AY69" s="1260"/>
      <c r="AZ69" s="1260"/>
      <c r="BA69" s="1260"/>
      <c r="BB69" s="1260"/>
      <c r="BC69" s="1260"/>
      <c r="BD69" s="1260"/>
      <c r="BE69" s="1260"/>
      <c r="BF69" s="1260"/>
      <c r="BG69" s="1260"/>
      <c r="BH69" s="1260"/>
      <c r="BI69" s="1260"/>
      <c r="BJ69" s="1260"/>
      <c r="BK69" s="1260"/>
      <c r="BL69" s="1260"/>
      <c r="BM69" s="1260"/>
      <c r="BN69" s="1260"/>
      <c r="BO69" s="1260"/>
      <c r="BP69" s="1260"/>
      <c r="BQ69" s="1260"/>
      <c r="BR69" s="1260"/>
      <c r="BS69" s="1260"/>
      <c r="BT69" s="1260"/>
      <c r="BU69" s="1260"/>
      <c r="BV69" s="1260"/>
      <c r="BW69" s="1260"/>
      <c r="BX69" s="1260"/>
      <c r="BY69" s="1260"/>
      <c r="BZ69" s="1260"/>
      <c r="CA69" s="1260"/>
      <c r="CB69" s="1260"/>
      <c r="CC69" s="1260"/>
      <c r="CD69" s="1260"/>
      <c r="CE69" s="1260"/>
      <c r="CF69" s="1260"/>
      <c r="CG69" s="1260"/>
      <c r="CH69" s="1260"/>
      <c r="CI69" s="1260"/>
      <c r="CJ69" s="1260"/>
      <c r="CK69" s="1260"/>
      <c r="CL69" s="1260"/>
      <c r="CM69" s="1260"/>
      <c r="CN69" s="1260"/>
      <c r="CO69" s="1260"/>
      <c r="CP69" s="1260"/>
      <c r="CQ69" s="1260"/>
      <c r="CR69" s="1260"/>
      <c r="CS69" s="1260"/>
      <c r="CT69" s="1260"/>
      <c r="CU69" s="1260"/>
      <c r="CV69" s="1260"/>
      <c r="CW69" s="1260"/>
      <c r="CX69" s="1260"/>
      <c r="CY69" s="1260"/>
      <c r="CZ69" s="1260"/>
      <c r="DA69" s="1260"/>
      <c r="DB69" s="1260"/>
      <c r="DC69" s="1260"/>
      <c r="DD69" s="1260"/>
      <c r="DE69" s="1260"/>
      <c r="DF69" s="1260"/>
      <c r="DG69" s="1260"/>
      <c r="DH69" s="1260"/>
      <c r="DI69" s="1260"/>
    </row>
    <row r="70" spans="1:113" ht="15" customHeight="1">
      <c r="A70" s="1622" t="s">
        <v>1249</v>
      </c>
      <c r="B70" s="1267" t="s">
        <v>1250</v>
      </c>
      <c r="C70" s="1268">
        <v>54270</v>
      </c>
      <c r="D70" s="1372"/>
      <c r="E70" s="1373"/>
      <c r="F70" s="1270"/>
      <c r="G70" s="1270"/>
      <c r="H70" s="1270"/>
      <c r="I70" s="1270"/>
      <c r="J70" s="1374"/>
      <c r="K70" s="1270"/>
      <c r="L70" s="1270"/>
      <c r="M70" s="1270"/>
      <c r="N70" s="1270"/>
      <c r="O70" s="1270"/>
      <c r="P70" s="1270"/>
      <c r="Q70" s="1374"/>
      <c r="R70" s="1270"/>
      <c r="S70" s="1270"/>
      <c r="T70" s="1270"/>
      <c r="U70" s="1270"/>
      <c r="V70" s="1270"/>
      <c r="W70" s="1270"/>
      <c r="X70" s="1270"/>
      <c r="Y70" s="1270"/>
      <c r="Z70" s="1270"/>
      <c r="AA70" s="1270"/>
      <c r="AB70" s="1270"/>
      <c r="AC70" s="1270"/>
      <c r="AD70" s="1303"/>
      <c r="AE70" s="1303"/>
      <c r="AF70" s="1303"/>
      <c r="AG70" s="1303"/>
      <c r="AH70" s="1303"/>
      <c r="AI70" s="1313"/>
      <c r="AJ70" s="1260"/>
      <c r="AK70" s="1260"/>
      <c r="AL70" s="1260"/>
      <c r="AM70" s="1260"/>
      <c r="AN70" s="1260"/>
      <c r="AO70" s="1260"/>
      <c r="AP70" s="1260"/>
      <c r="AQ70" s="1260"/>
      <c r="AR70" s="1260"/>
      <c r="AS70" s="1260"/>
      <c r="AT70" s="1260"/>
      <c r="AU70" s="1260"/>
      <c r="AV70" s="1260"/>
      <c r="AW70" s="1260"/>
      <c r="AX70" s="1260"/>
      <c r="AY70" s="1260"/>
      <c r="AZ70" s="1260"/>
      <c r="BA70" s="1260"/>
      <c r="BB70" s="1260"/>
      <c r="BC70" s="1260"/>
      <c r="BD70" s="1260"/>
      <c r="BE70" s="1260"/>
      <c r="BF70" s="1260"/>
      <c r="BG70" s="1260"/>
      <c r="BH70" s="1260"/>
      <c r="BI70" s="1260"/>
      <c r="BJ70" s="1260"/>
      <c r="BK70" s="1260"/>
      <c r="BL70" s="1260"/>
      <c r="BM70" s="1260"/>
      <c r="BN70" s="1260"/>
      <c r="BO70" s="1260"/>
      <c r="BP70" s="1260"/>
      <c r="BQ70" s="1260"/>
      <c r="BR70" s="1260"/>
      <c r="BS70" s="1260"/>
      <c r="BT70" s="1260"/>
      <c r="BU70" s="1260"/>
      <c r="BV70" s="1260"/>
      <c r="BW70" s="1260"/>
      <c r="BX70" s="1260"/>
      <c r="BY70" s="1260"/>
      <c r="BZ70" s="1260"/>
      <c r="CA70" s="1260"/>
      <c r="CB70" s="1260"/>
      <c r="CC70" s="1260"/>
      <c r="CD70" s="1260"/>
      <c r="CE70" s="1260"/>
      <c r="CF70" s="1260"/>
      <c r="CG70" s="1260"/>
      <c r="CH70" s="1260"/>
      <c r="CI70" s="1260"/>
      <c r="CJ70" s="1260"/>
      <c r="CK70" s="1260"/>
      <c r="CL70" s="1260"/>
      <c r="CM70" s="1260"/>
      <c r="CN70" s="1260"/>
      <c r="CO70" s="1260"/>
      <c r="CP70" s="1260"/>
      <c r="CQ70" s="1260"/>
      <c r="CR70" s="1260"/>
      <c r="CS70" s="1260"/>
      <c r="CT70" s="1260"/>
      <c r="CU70" s="1260"/>
      <c r="CV70" s="1260"/>
      <c r="CW70" s="1260"/>
      <c r="CX70" s="1260"/>
      <c r="CY70" s="1260"/>
      <c r="CZ70" s="1260"/>
      <c r="DA70" s="1260"/>
      <c r="DB70" s="1260"/>
      <c r="DC70" s="1260"/>
      <c r="DD70" s="1260"/>
      <c r="DE70" s="1260"/>
      <c r="DF70" s="1260"/>
      <c r="DG70" s="1260"/>
      <c r="DH70" s="1260"/>
      <c r="DI70" s="1260"/>
    </row>
    <row r="71" spans="1:113">
      <c r="A71" s="1622"/>
      <c r="B71" s="1267" t="s">
        <v>1251</v>
      </c>
      <c r="C71" s="1268">
        <v>66000</v>
      </c>
      <c r="D71" s="1372"/>
      <c r="E71" s="1373"/>
      <c r="F71" s="1270"/>
      <c r="G71" s="1270"/>
      <c r="H71" s="1270"/>
      <c r="I71" s="1270"/>
      <c r="J71" s="1374"/>
      <c r="K71" s="1270"/>
      <c r="L71" s="1270"/>
      <c r="M71" s="1270"/>
      <c r="N71" s="1270"/>
      <c r="O71" s="1270"/>
      <c r="P71" s="1270"/>
      <c r="Q71" s="1374"/>
      <c r="R71" s="1270"/>
      <c r="S71" s="1270"/>
      <c r="T71" s="1270"/>
      <c r="U71" s="1270"/>
      <c r="V71" s="1270"/>
      <c r="W71" s="1270"/>
      <c r="X71" s="1270"/>
      <c r="Y71" s="1270"/>
      <c r="Z71" s="1270"/>
      <c r="AA71" s="1270"/>
      <c r="AB71" s="1270"/>
      <c r="AC71" s="1270"/>
      <c r="AD71" s="1315"/>
      <c r="AE71" s="1315"/>
      <c r="AF71" s="1315"/>
      <c r="AG71" s="1315"/>
      <c r="AH71" s="1315"/>
      <c r="AI71" s="1316"/>
    </row>
    <row r="72" spans="1:113">
      <c r="A72" s="1272" t="s">
        <v>1252</v>
      </c>
      <c r="B72" s="1273"/>
      <c r="C72" s="1268">
        <f>+(C71-C70)/2+C70</f>
        <v>60135</v>
      </c>
      <c r="D72" s="1372"/>
      <c r="E72" s="1373"/>
      <c r="F72" s="1270"/>
      <c r="G72" s="1270"/>
      <c r="H72" s="1270"/>
      <c r="I72" s="1270"/>
      <c r="J72" s="1374"/>
      <c r="K72" s="1270"/>
      <c r="L72" s="1270"/>
      <c r="M72" s="1270"/>
      <c r="N72" s="1270"/>
      <c r="O72" s="1270"/>
      <c r="P72" s="1270"/>
      <c r="Q72" s="1374"/>
      <c r="R72" s="1270"/>
      <c r="S72" s="1270"/>
      <c r="T72" s="1270"/>
      <c r="U72" s="1270"/>
      <c r="V72" s="1270"/>
      <c r="W72" s="1270"/>
      <c r="X72" s="1270"/>
      <c r="Y72" s="1270"/>
      <c r="Z72" s="1270"/>
      <c r="AA72" s="1270"/>
      <c r="AB72" s="1270"/>
      <c r="AC72" s="1270"/>
      <c r="AD72" s="1315"/>
      <c r="AE72" s="1315"/>
      <c r="AF72" s="1315"/>
      <c r="AG72" s="1315"/>
      <c r="AH72" s="1315"/>
      <c r="AI72" s="1316"/>
    </row>
    <row r="73" spans="1:113">
      <c r="A73" s="1272" t="s">
        <v>1253</v>
      </c>
      <c r="B73" s="1273"/>
      <c r="C73" s="1274"/>
      <c r="D73" s="1390">
        <f>IF(D75&gt;D74,(D75-D74)+D$2*1000+D$3*1000,(D74-D75)+D$2*1000+D$4*1000)/1000</f>
        <v>75.185000000000002</v>
      </c>
      <c r="E73" s="1376">
        <f t="shared" ref="E73:AH73" si="13">IF(E75&gt;E74,(E75-E74)+E$2*1000+E$3*1000,(E74-E75)+E$2*1000+E$4*1000)/1000</f>
        <v>75.635000000000005</v>
      </c>
      <c r="F73" s="1276">
        <f t="shared" si="13"/>
        <v>54.935000000000002</v>
      </c>
      <c r="G73" s="1276">
        <f t="shared" si="13"/>
        <v>51.204999999999998</v>
      </c>
      <c r="H73" s="1276">
        <f t="shared" si="13"/>
        <v>51.234999999999999</v>
      </c>
      <c r="I73" s="1276">
        <f t="shared" si="13"/>
        <v>52.134999999999998</v>
      </c>
      <c r="J73" s="1377">
        <f t="shared" si="13"/>
        <v>44.634999999999998</v>
      </c>
      <c r="K73" s="1276">
        <f t="shared" si="13"/>
        <v>44.134999999999998</v>
      </c>
      <c r="L73" s="1276">
        <f t="shared" si="13"/>
        <v>36.935000000000002</v>
      </c>
      <c r="M73" s="1276">
        <f t="shared" si="13"/>
        <v>38.835000000000001</v>
      </c>
      <c r="N73" s="1276">
        <f t="shared" si="13"/>
        <v>16.734999999999999</v>
      </c>
      <c r="O73" s="1276">
        <f t="shared" si="13"/>
        <v>15.135</v>
      </c>
      <c r="P73" s="1276">
        <f t="shared" si="13"/>
        <v>114.13500000000001</v>
      </c>
      <c r="Q73" s="1377">
        <f t="shared" si="13"/>
        <v>110.13500000000001</v>
      </c>
      <c r="R73" s="1276">
        <f t="shared" si="13"/>
        <v>122.435</v>
      </c>
      <c r="S73" s="1276">
        <f t="shared" si="13"/>
        <v>14.335000000000001</v>
      </c>
      <c r="T73" s="1276">
        <f t="shared" si="13"/>
        <v>8.2850000000000001</v>
      </c>
      <c r="U73" s="1276">
        <f t="shared" si="13"/>
        <v>9.1850000000000005</v>
      </c>
      <c r="V73" s="1276">
        <f t="shared" si="13"/>
        <v>8.7050000000000001</v>
      </c>
      <c r="W73" s="1276">
        <f t="shared" si="13"/>
        <v>30.135000000000002</v>
      </c>
      <c r="X73" s="1276">
        <f t="shared" si="13"/>
        <v>3.5649999999999999</v>
      </c>
      <c r="Y73" s="1276">
        <f t="shared" si="13"/>
        <v>12.865</v>
      </c>
      <c r="Z73" s="1276">
        <f t="shared" si="13"/>
        <v>18.664999999999999</v>
      </c>
      <c r="AA73" s="1276">
        <f t="shared" si="13"/>
        <v>25.215</v>
      </c>
      <c r="AB73" s="1276">
        <f t="shared" si="13"/>
        <v>29.785</v>
      </c>
      <c r="AC73" s="1276">
        <f t="shared" si="13"/>
        <v>36.284999999999997</v>
      </c>
      <c r="AD73" s="1277">
        <f t="shared" si="13"/>
        <v>71.185000000000002</v>
      </c>
      <c r="AE73" s="1277">
        <f t="shared" si="13"/>
        <v>32.134999999999998</v>
      </c>
      <c r="AF73" s="1277">
        <f t="shared" si="13"/>
        <v>22.135000000000002</v>
      </c>
      <c r="AG73" s="1277">
        <f t="shared" si="13"/>
        <v>10.865</v>
      </c>
      <c r="AH73" s="1277">
        <f t="shared" si="13"/>
        <v>22.664999999999999</v>
      </c>
      <c r="AI73" s="1316"/>
    </row>
    <row r="74" spans="1:113" hidden="1">
      <c r="A74" s="1278" t="s">
        <v>1254</v>
      </c>
      <c r="B74" s="1279"/>
      <c r="C74" s="1280"/>
      <c r="D74" s="1326">
        <f>+IF($C69=4514,IF(D$6=4514,$C72,$C72),IF(D$6=4515,$C72+101000,101000+$C72))</f>
        <v>161135</v>
      </c>
      <c r="E74" s="1326">
        <f t="shared" ref="E74:AH74" si="14">+IF($C69=4514,IF(E$6=4514,$C72,$C72),IF(E$6=4515,$C72+101000,101000+$C72))</f>
        <v>161135</v>
      </c>
      <c r="F74" s="1200">
        <f t="shared" si="14"/>
        <v>161135</v>
      </c>
      <c r="G74" s="1200">
        <f t="shared" si="14"/>
        <v>161135</v>
      </c>
      <c r="H74" s="1200">
        <f t="shared" si="14"/>
        <v>161135</v>
      </c>
      <c r="I74" s="1200">
        <f t="shared" si="14"/>
        <v>161135</v>
      </c>
      <c r="J74" s="1378">
        <f t="shared" si="14"/>
        <v>161135</v>
      </c>
      <c r="K74" s="1200">
        <f t="shared" si="14"/>
        <v>161135</v>
      </c>
      <c r="L74" s="1200">
        <f t="shared" si="14"/>
        <v>161135</v>
      </c>
      <c r="M74" s="1200">
        <f t="shared" si="14"/>
        <v>161135</v>
      </c>
      <c r="N74" s="1200">
        <f t="shared" si="14"/>
        <v>161135</v>
      </c>
      <c r="O74" s="1200">
        <f t="shared" si="14"/>
        <v>161135</v>
      </c>
      <c r="P74" s="1200">
        <f t="shared" si="14"/>
        <v>161135</v>
      </c>
      <c r="Q74" s="1378">
        <f t="shared" si="14"/>
        <v>161135</v>
      </c>
      <c r="R74" s="1200">
        <f t="shared" si="14"/>
        <v>161135</v>
      </c>
      <c r="S74" s="1200">
        <f t="shared" si="14"/>
        <v>161135</v>
      </c>
      <c r="T74" s="1200">
        <f t="shared" si="14"/>
        <v>161135</v>
      </c>
      <c r="U74" s="1200">
        <f t="shared" si="14"/>
        <v>161135</v>
      </c>
      <c r="V74" s="1200">
        <f t="shared" si="14"/>
        <v>161135</v>
      </c>
      <c r="W74" s="1200">
        <f t="shared" si="14"/>
        <v>161135</v>
      </c>
      <c r="X74" s="1200">
        <f t="shared" si="14"/>
        <v>161135</v>
      </c>
      <c r="Y74" s="1200">
        <f t="shared" si="14"/>
        <v>161135</v>
      </c>
      <c r="Z74" s="1200">
        <f t="shared" si="14"/>
        <v>161135</v>
      </c>
      <c r="AA74" s="1200">
        <f t="shared" si="14"/>
        <v>161135</v>
      </c>
      <c r="AB74" s="1200">
        <f t="shared" si="14"/>
        <v>161135</v>
      </c>
      <c r="AC74" s="1200">
        <f t="shared" si="14"/>
        <v>161135</v>
      </c>
      <c r="AD74" s="1281">
        <f t="shared" si="14"/>
        <v>161135</v>
      </c>
      <c r="AE74" s="1281">
        <f t="shared" si="14"/>
        <v>161135</v>
      </c>
      <c r="AF74" s="1281">
        <f t="shared" si="14"/>
        <v>161135</v>
      </c>
      <c r="AG74" s="1281">
        <f t="shared" si="14"/>
        <v>161135</v>
      </c>
      <c r="AH74" s="1281">
        <f t="shared" si="14"/>
        <v>161135</v>
      </c>
      <c r="AI74" s="1316"/>
    </row>
    <row r="75" spans="1:113" hidden="1">
      <c r="A75" s="1278" t="s">
        <v>1255</v>
      </c>
      <c r="B75" s="1279"/>
      <c r="C75" s="1280"/>
      <c r="D75" s="1326">
        <f>+IF($C69=4514,IF(D$6=4514,D$5,D$5+101000),IF(D$6=4515,D$5+101000,D$5))</f>
        <v>85950</v>
      </c>
      <c r="E75" s="1326">
        <f t="shared" ref="E75:AH75" si="15">+IF($C69=4514,IF(E$6=4514,E$5,E$5+101000),IF(E$6=4515,E$5+101000,E$5))</f>
        <v>85500</v>
      </c>
      <c r="F75" s="1200">
        <f t="shared" si="15"/>
        <v>106200</v>
      </c>
      <c r="G75" s="1200">
        <f t="shared" si="15"/>
        <v>110930</v>
      </c>
      <c r="H75" s="1200">
        <f t="shared" si="15"/>
        <v>109900</v>
      </c>
      <c r="I75" s="1200">
        <f t="shared" si="15"/>
        <v>110000</v>
      </c>
      <c r="J75" s="1378">
        <f t="shared" si="15"/>
        <v>116500</v>
      </c>
      <c r="K75" s="1200">
        <f t="shared" si="15"/>
        <v>117000</v>
      </c>
      <c r="L75" s="1200">
        <f t="shared" si="15"/>
        <v>124200</v>
      </c>
      <c r="M75" s="1200">
        <f t="shared" si="15"/>
        <v>126800</v>
      </c>
      <c r="N75" s="1200">
        <f t="shared" si="15"/>
        <v>144400</v>
      </c>
      <c r="O75" s="1200">
        <f t="shared" si="15"/>
        <v>146000</v>
      </c>
      <c r="P75" s="1200">
        <f t="shared" si="15"/>
        <v>47500</v>
      </c>
      <c r="Q75" s="1378">
        <f t="shared" si="15"/>
        <v>51000</v>
      </c>
      <c r="R75" s="1200">
        <f t="shared" si="15"/>
        <v>40000</v>
      </c>
      <c r="S75" s="1200">
        <f t="shared" si="15"/>
        <v>149800</v>
      </c>
      <c r="T75" s="1200">
        <f t="shared" si="15"/>
        <v>154650</v>
      </c>
      <c r="U75" s="1200">
        <f t="shared" si="15"/>
        <v>153350</v>
      </c>
      <c r="V75" s="1200">
        <f t="shared" si="15"/>
        <v>154730</v>
      </c>
      <c r="W75" s="1200">
        <f t="shared" si="15"/>
        <v>131000</v>
      </c>
      <c r="X75" s="1200">
        <f t="shared" si="15"/>
        <v>164700</v>
      </c>
      <c r="Y75" s="1200">
        <f t="shared" si="15"/>
        <v>173000</v>
      </c>
      <c r="Z75" s="1200">
        <f t="shared" si="15"/>
        <v>176000</v>
      </c>
      <c r="AA75" s="1200">
        <f t="shared" si="15"/>
        <v>185150</v>
      </c>
      <c r="AB75" s="1200">
        <f t="shared" si="15"/>
        <v>190920</v>
      </c>
      <c r="AC75" s="1200">
        <f t="shared" si="15"/>
        <v>190920</v>
      </c>
      <c r="AD75" s="1281">
        <f t="shared" si="15"/>
        <v>89950</v>
      </c>
      <c r="AE75" s="1281">
        <f t="shared" si="15"/>
        <v>129000</v>
      </c>
      <c r="AF75" s="1281">
        <f t="shared" si="15"/>
        <v>139000</v>
      </c>
      <c r="AG75" s="1281">
        <f t="shared" si="15"/>
        <v>172000</v>
      </c>
      <c r="AH75" s="1281">
        <f t="shared" si="15"/>
        <v>177800</v>
      </c>
      <c r="AI75" s="1316"/>
    </row>
    <row r="76" spans="1:113" ht="15" customHeight="1">
      <c r="A76" s="1623" t="s">
        <v>1266</v>
      </c>
      <c r="B76" s="1267" t="s">
        <v>1257</v>
      </c>
      <c r="C76" s="1282" t="e">
        <f>+#REF!</f>
        <v>#REF!</v>
      </c>
      <c r="D76" s="1236"/>
      <c r="E76" s="1354"/>
      <c r="F76" s="1237"/>
      <c r="G76" s="1237"/>
      <c r="H76" s="1237"/>
      <c r="I76" s="1237"/>
      <c r="J76" s="1386"/>
      <c r="K76" s="1237"/>
      <c r="L76" s="1237"/>
      <c r="M76" s="1237"/>
      <c r="N76" s="1237"/>
      <c r="O76" s="1237"/>
      <c r="P76" s="1237"/>
      <c r="Q76" s="1386"/>
      <c r="R76" s="1237"/>
      <c r="S76" s="1237"/>
      <c r="T76" s="1237"/>
      <c r="U76" s="1237"/>
      <c r="V76" s="1237" t="e">
        <f>$C76*#REF!*#REF!</f>
        <v>#REF!</v>
      </c>
      <c r="W76" s="1237"/>
      <c r="X76" s="1237"/>
      <c r="Y76" s="1237"/>
      <c r="Z76" s="1237"/>
      <c r="AA76" s="1237"/>
      <c r="AB76" s="1237"/>
      <c r="AC76" s="1237"/>
      <c r="AD76" s="1283"/>
      <c r="AE76" s="1283"/>
      <c r="AF76" s="1283"/>
      <c r="AG76" s="1283"/>
      <c r="AH76" s="1283"/>
      <c r="AI76" s="1317" t="e">
        <f>+SUMPRODUCT(D76:AH76,D73:AH73)</f>
        <v>#REF!</v>
      </c>
      <c r="AJ76" s="1185" t="e">
        <f>$C76*#REF!*#REF!</f>
        <v>#REF!</v>
      </c>
    </row>
    <row r="77" spans="1:113">
      <c r="A77" s="1623"/>
      <c r="B77" s="1267" t="s">
        <v>1258</v>
      </c>
      <c r="C77" s="1282" t="e">
        <f>+#REF!</f>
        <v>#REF!</v>
      </c>
      <c r="D77" s="1236"/>
      <c r="E77" s="1354"/>
      <c r="F77" s="1237"/>
      <c r="G77" s="1237"/>
      <c r="H77" s="1237"/>
      <c r="I77" s="1237"/>
      <c r="J77" s="1386"/>
      <c r="K77" s="1237"/>
      <c r="L77" s="1237"/>
      <c r="M77" s="1237"/>
      <c r="N77" s="1237"/>
      <c r="O77" s="1237"/>
      <c r="P77" s="1237"/>
      <c r="Q77" s="1386"/>
      <c r="R77" s="1237"/>
      <c r="S77" s="1237"/>
      <c r="T77" s="1237"/>
      <c r="U77" s="1237"/>
      <c r="V77" s="1237" t="e">
        <f>$C77*#REF!*#REF!</f>
        <v>#REF!</v>
      </c>
      <c r="W77" s="1237"/>
      <c r="X77" s="1237"/>
      <c r="Y77" s="1237"/>
      <c r="Z77" s="1237"/>
      <c r="AA77" s="1237"/>
      <c r="AB77" s="1237"/>
      <c r="AC77" s="1237"/>
      <c r="AD77" s="1283"/>
      <c r="AE77" s="1283"/>
      <c r="AF77" s="1283"/>
      <c r="AG77" s="1283"/>
      <c r="AH77" s="1283"/>
      <c r="AI77" s="1317" t="e">
        <f>+SUMPRODUCT(D77:AH77,D73:AH73)</f>
        <v>#REF!</v>
      </c>
      <c r="AJ77" s="1185" t="e">
        <f>$C77*#REF!*#REF!</f>
        <v>#REF!</v>
      </c>
    </row>
    <row r="78" spans="1:113">
      <c r="A78" s="1623"/>
      <c r="B78" s="1267" t="s">
        <v>1259</v>
      </c>
      <c r="C78" s="1282" t="e">
        <f>+#REF!</f>
        <v>#REF!</v>
      </c>
      <c r="D78" s="1236"/>
      <c r="E78" s="1354"/>
      <c r="F78" s="1237"/>
      <c r="G78" s="1237"/>
      <c r="H78" s="1237"/>
      <c r="I78" s="1237"/>
      <c r="J78" s="1386"/>
      <c r="K78" s="1237"/>
      <c r="L78" s="1237"/>
      <c r="M78" s="1237"/>
      <c r="N78" s="1237"/>
      <c r="O78" s="1237"/>
      <c r="P78" s="1237"/>
      <c r="Q78" s="1386"/>
      <c r="R78" s="1237"/>
      <c r="S78" s="1237"/>
      <c r="T78" s="1237"/>
      <c r="U78" s="1237"/>
      <c r="V78" s="1237"/>
      <c r="W78" s="1237"/>
      <c r="X78" s="1237"/>
      <c r="Y78" s="1237"/>
      <c r="Z78" s="1237"/>
      <c r="AA78" s="1237"/>
      <c r="AB78" s="1237"/>
      <c r="AC78" s="1237"/>
      <c r="AD78" s="1283"/>
      <c r="AE78" s="1283"/>
      <c r="AF78" s="1283"/>
      <c r="AG78" s="1283" t="e">
        <f>+$C78*#REF!*#REF!</f>
        <v>#REF!</v>
      </c>
      <c r="AH78" s="1283"/>
      <c r="AI78" s="1317" t="e">
        <f>+SUMPRODUCT(D78:AH78,D73:AH73)</f>
        <v>#REF!</v>
      </c>
      <c r="AJ78" s="1236" t="e">
        <f>+$C78*#REF!*#REF!</f>
        <v>#REF!</v>
      </c>
    </row>
    <row r="79" spans="1:113">
      <c r="A79" s="1623"/>
      <c r="B79" s="1267" t="s">
        <v>1260</v>
      </c>
      <c r="C79" s="1282" t="e">
        <f>+#REF!</f>
        <v>#REF!</v>
      </c>
      <c r="D79" s="1236"/>
      <c r="E79" s="1354"/>
      <c r="F79" s="1237"/>
      <c r="G79" s="1237"/>
      <c r="H79" s="1237"/>
      <c r="I79" s="1237"/>
      <c r="J79" s="1386"/>
      <c r="K79" s="1237"/>
      <c r="L79" s="1237"/>
      <c r="M79" s="1237"/>
      <c r="N79" s="1237"/>
      <c r="O79" s="1237"/>
      <c r="P79" s="1237"/>
      <c r="Q79" s="1386"/>
      <c r="R79" s="1237"/>
      <c r="S79" s="1237"/>
      <c r="T79" s="1237"/>
      <c r="U79" s="1237"/>
      <c r="V79" s="1237"/>
      <c r="W79" s="1237"/>
      <c r="X79" s="1237"/>
      <c r="Y79" s="1237"/>
      <c r="Z79" s="1237"/>
      <c r="AA79" s="1237"/>
      <c r="AB79" s="1237"/>
      <c r="AC79" s="1237"/>
      <c r="AD79" s="1283"/>
      <c r="AE79" s="1283"/>
      <c r="AF79" s="1283"/>
      <c r="AG79" s="1283" t="e">
        <f>+$C79*#REF!*#REF!</f>
        <v>#REF!</v>
      </c>
      <c r="AH79" s="1283"/>
      <c r="AI79" s="1317" t="e">
        <f>+SUMPRODUCT(D79:AH79,D73:AH73)</f>
        <v>#REF!</v>
      </c>
      <c r="AJ79" s="1185" t="e">
        <f>+$C79*#REF!*#REF!</f>
        <v>#REF!</v>
      </c>
    </row>
    <row r="80" spans="1:113">
      <c r="A80" s="1624"/>
      <c r="B80" s="1292" t="s">
        <v>1261</v>
      </c>
      <c r="C80" s="1293" t="e">
        <f>+#REF!</f>
        <v>#REF!</v>
      </c>
      <c r="D80" s="1243"/>
      <c r="E80" s="1359"/>
      <c r="F80" s="1244"/>
      <c r="G80" s="1244"/>
      <c r="H80" s="1244"/>
      <c r="I80" s="1244"/>
      <c r="J80" s="1391"/>
      <c r="K80" s="1244"/>
      <c r="L80" s="1244"/>
      <c r="M80" s="1244"/>
      <c r="N80" s="1244"/>
      <c r="O80" s="1244"/>
      <c r="P80" s="1244"/>
      <c r="Q80" s="1391"/>
      <c r="R80" s="1244"/>
      <c r="S80" s="1244"/>
      <c r="T80" s="1244"/>
      <c r="U80" s="1244"/>
      <c r="V80" s="1244"/>
      <c r="W80" s="1244"/>
      <c r="X80" s="1244"/>
      <c r="Y80" s="1244"/>
      <c r="Z80" s="1244"/>
      <c r="AA80" s="1244"/>
      <c r="AB80" s="1244"/>
      <c r="AC80" s="1244"/>
      <c r="AD80" s="1294" t="e">
        <f>+$C80*#REF!*#REF!</f>
        <v>#REF!</v>
      </c>
      <c r="AE80" s="1294"/>
      <c r="AF80" s="1294"/>
      <c r="AG80" s="1294"/>
      <c r="AH80" s="1294"/>
      <c r="AI80" s="1318" t="e">
        <f>+SUMPRODUCT(D80:AH80,D73:AH73)</f>
        <v>#REF!</v>
      </c>
      <c r="AJ80" s="1185" t="e">
        <f>+$C80*#REF!*#REF!</f>
        <v>#REF!</v>
      </c>
    </row>
    <row r="81" spans="1:113">
      <c r="A81" s="1253" t="s">
        <v>1247</v>
      </c>
      <c r="B81" s="1310"/>
      <c r="C81" s="1255" t="s">
        <v>1310</v>
      </c>
      <c r="D81" s="1366"/>
      <c r="E81" s="1367"/>
      <c r="F81" s="1257"/>
      <c r="G81" s="1257"/>
      <c r="H81" s="1257"/>
      <c r="I81" s="1257"/>
      <c r="J81" s="1368"/>
      <c r="K81" s="1257"/>
      <c r="L81" s="1257"/>
      <c r="M81" s="1257"/>
      <c r="N81" s="1257"/>
      <c r="O81" s="1257"/>
      <c r="P81" s="1257"/>
      <c r="Q81" s="1368"/>
      <c r="R81" s="1257"/>
      <c r="S81" s="1257"/>
      <c r="T81" s="1257"/>
      <c r="U81" s="1257"/>
      <c r="V81" s="1257"/>
      <c r="W81" s="1257"/>
      <c r="X81" s="1257"/>
      <c r="Y81" s="1257"/>
      <c r="Z81" s="1257"/>
      <c r="AA81" s="1257"/>
      <c r="AB81" s="1257"/>
      <c r="AC81" s="1257"/>
      <c r="AD81" s="1312"/>
      <c r="AE81" s="1312"/>
      <c r="AF81" s="1312"/>
      <c r="AG81" s="1312"/>
      <c r="AH81" s="1312"/>
      <c r="AI81" s="1313"/>
      <c r="AJ81" s="1260"/>
      <c r="AK81" s="1260"/>
      <c r="AL81" s="1260"/>
      <c r="AM81" s="1260"/>
      <c r="AN81" s="1260"/>
      <c r="AO81" s="1260"/>
      <c r="AP81" s="1260"/>
      <c r="AQ81" s="1260"/>
      <c r="AR81" s="1260"/>
      <c r="AS81" s="1260"/>
      <c r="AT81" s="1260"/>
      <c r="AU81" s="1260"/>
      <c r="AV81" s="1260"/>
      <c r="AW81" s="1260"/>
      <c r="AX81" s="1260"/>
      <c r="AY81" s="1260"/>
      <c r="AZ81" s="1260"/>
      <c r="BA81" s="1260"/>
      <c r="BB81" s="1260"/>
      <c r="BC81" s="1260"/>
      <c r="BD81" s="1260"/>
      <c r="BE81" s="1260"/>
      <c r="BF81" s="1260"/>
      <c r="BG81" s="1260"/>
      <c r="BH81" s="1260"/>
      <c r="BI81" s="1260"/>
      <c r="BJ81" s="1260"/>
      <c r="BK81" s="1260"/>
      <c r="BL81" s="1260"/>
      <c r="BM81" s="1260"/>
      <c r="BN81" s="1260"/>
      <c r="BO81" s="1260"/>
      <c r="BP81" s="1260"/>
      <c r="BQ81" s="1260"/>
      <c r="BR81" s="1260"/>
      <c r="BS81" s="1260"/>
      <c r="BT81" s="1260"/>
      <c r="BU81" s="1260"/>
      <c r="BV81" s="1260"/>
      <c r="BW81" s="1260"/>
      <c r="BX81" s="1260"/>
      <c r="BY81" s="1260"/>
      <c r="BZ81" s="1260"/>
      <c r="CA81" s="1260"/>
      <c r="CB81" s="1260"/>
      <c r="CC81" s="1260"/>
      <c r="CD81" s="1260"/>
      <c r="CE81" s="1260"/>
      <c r="CF81" s="1260"/>
      <c r="CG81" s="1260"/>
      <c r="CH81" s="1260"/>
      <c r="CI81" s="1260"/>
      <c r="CJ81" s="1260"/>
      <c r="CK81" s="1260"/>
      <c r="CL81" s="1260"/>
      <c r="CM81" s="1260"/>
      <c r="CN81" s="1260"/>
      <c r="CO81" s="1260"/>
      <c r="CP81" s="1260"/>
      <c r="CQ81" s="1260"/>
      <c r="CR81" s="1260"/>
      <c r="CS81" s="1260"/>
      <c r="CT81" s="1260"/>
      <c r="CU81" s="1260"/>
      <c r="CV81" s="1260"/>
      <c r="CW81" s="1260"/>
      <c r="CX81" s="1260"/>
      <c r="CY81" s="1260"/>
      <c r="CZ81" s="1260"/>
      <c r="DA81" s="1260"/>
      <c r="DB81" s="1260"/>
      <c r="DC81" s="1260"/>
      <c r="DD81" s="1260"/>
      <c r="DE81" s="1260"/>
      <c r="DF81" s="1260"/>
      <c r="DG81" s="1260"/>
      <c r="DH81" s="1260"/>
      <c r="DI81" s="1260"/>
    </row>
    <row r="82" spans="1:113">
      <c r="A82" s="1261" t="s">
        <v>1227</v>
      </c>
      <c r="B82" s="1262"/>
      <c r="C82" s="1263">
        <v>4515</v>
      </c>
      <c r="D82" s="1369"/>
      <c r="E82" s="1370"/>
      <c r="F82" s="1265"/>
      <c r="G82" s="1265"/>
      <c r="H82" s="1265"/>
      <c r="I82" s="1265"/>
      <c r="J82" s="1371"/>
      <c r="K82" s="1265"/>
      <c r="L82" s="1265"/>
      <c r="M82" s="1265"/>
      <c r="N82" s="1265"/>
      <c r="O82" s="1265"/>
      <c r="P82" s="1265"/>
      <c r="Q82" s="1371"/>
      <c r="R82" s="1265"/>
      <c r="S82" s="1265"/>
      <c r="T82" s="1265"/>
      <c r="U82" s="1265"/>
      <c r="V82" s="1265"/>
      <c r="W82" s="1265"/>
      <c r="X82" s="1265"/>
      <c r="Y82" s="1265"/>
      <c r="Z82" s="1265"/>
      <c r="AA82" s="1265"/>
      <c r="AB82" s="1265"/>
      <c r="AC82" s="1265"/>
      <c r="AD82" s="1314"/>
      <c r="AE82" s="1314"/>
      <c r="AF82" s="1314"/>
      <c r="AG82" s="1314"/>
      <c r="AH82" s="1314"/>
      <c r="AI82" s="1313"/>
      <c r="AJ82" s="1260"/>
      <c r="AK82" s="1260"/>
      <c r="AL82" s="1260"/>
      <c r="AM82" s="1260"/>
      <c r="AN82" s="1260"/>
      <c r="AO82" s="1260"/>
      <c r="AP82" s="1260"/>
      <c r="AQ82" s="1260"/>
      <c r="AR82" s="1260"/>
      <c r="AS82" s="1260"/>
      <c r="AT82" s="1260"/>
      <c r="AU82" s="1260"/>
      <c r="AV82" s="1260"/>
      <c r="AW82" s="1260"/>
      <c r="AX82" s="1260"/>
      <c r="AY82" s="1260"/>
      <c r="AZ82" s="1260"/>
      <c r="BA82" s="1260"/>
      <c r="BB82" s="1260"/>
      <c r="BC82" s="1260"/>
      <c r="BD82" s="1260"/>
      <c r="BE82" s="1260"/>
      <c r="BF82" s="1260"/>
      <c r="BG82" s="1260"/>
      <c r="BH82" s="1260"/>
      <c r="BI82" s="1260"/>
      <c r="BJ82" s="1260"/>
      <c r="BK82" s="1260"/>
      <c r="BL82" s="1260"/>
      <c r="BM82" s="1260"/>
      <c r="BN82" s="1260"/>
      <c r="BO82" s="1260"/>
      <c r="BP82" s="1260"/>
      <c r="BQ82" s="1260"/>
      <c r="BR82" s="1260"/>
      <c r="BS82" s="1260"/>
      <c r="BT82" s="1260"/>
      <c r="BU82" s="1260"/>
      <c r="BV82" s="1260"/>
      <c r="BW82" s="1260"/>
      <c r="BX82" s="1260"/>
      <c r="BY82" s="1260"/>
      <c r="BZ82" s="1260"/>
      <c r="CA82" s="1260"/>
      <c r="CB82" s="1260"/>
      <c r="CC82" s="1260"/>
      <c r="CD82" s="1260"/>
      <c r="CE82" s="1260"/>
      <c r="CF82" s="1260"/>
      <c r="CG82" s="1260"/>
      <c r="CH82" s="1260"/>
      <c r="CI82" s="1260"/>
      <c r="CJ82" s="1260"/>
      <c r="CK82" s="1260"/>
      <c r="CL82" s="1260"/>
      <c r="CM82" s="1260"/>
      <c r="CN82" s="1260"/>
      <c r="CO82" s="1260"/>
      <c r="CP82" s="1260"/>
      <c r="CQ82" s="1260"/>
      <c r="CR82" s="1260"/>
      <c r="CS82" s="1260"/>
      <c r="CT82" s="1260"/>
      <c r="CU82" s="1260"/>
      <c r="CV82" s="1260"/>
      <c r="CW82" s="1260"/>
      <c r="CX82" s="1260"/>
      <c r="CY82" s="1260"/>
      <c r="CZ82" s="1260"/>
      <c r="DA82" s="1260"/>
      <c r="DB82" s="1260"/>
      <c r="DC82" s="1260"/>
      <c r="DD82" s="1260"/>
      <c r="DE82" s="1260"/>
      <c r="DF82" s="1260"/>
      <c r="DG82" s="1260"/>
      <c r="DH82" s="1260"/>
      <c r="DI82" s="1260"/>
    </row>
    <row r="83" spans="1:113" ht="15" customHeight="1">
      <c r="A83" s="1622" t="s">
        <v>1249</v>
      </c>
      <c r="B83" s="1267" t="s">
        <v>1250</v>
      </c>
      <c r="C83" s="1268">
        <v>66000</v>
      </c>
      <c r="D83" s="1372"/>
      <c r="E83" s="1373"/>
      <c r="F83" s="1270"/>
      <c r="G83" s="1270"/>
      <c r="H83" s="1270"/>
      <c r="I83" s="1270"/>
      <c r="J83" s="1374"/>
      <c r="K83" s="1270"/>
      <c r="L83" s="1270"/>
      <c r="M83" s="1270"/>
      <c r="N83" s="1270"/>
      <c r="O83" s="1270"/>
      <c r="P83" s="1270"/>
      <c r="Q83" s="1374"/>
      <c r="R83" s="1270"/>
      <c r="S83" s="1270"/>
      <c r="T83" s="1270"/>
      <c r="U83" s="1270"/>
      <c r="V83" s="1270"/>
      <c r="W83" s="1270"/>
      <c r="X83" s="1270"/>
      <c r="Y83" s="1270"/>
      <c r="Z83" s="1270"/>
      <c r="AA83" s="1270"/>
      <c r="AB83" s="1270"/>
      <c r="AC83" s="1270"/>
      <c r="AD83" s="1303"/>
      <c r="AE83" s="1303"/>
      <c r="AF83" s="1303"/>
      <c r="AG83" s="1303"/>
      <c r="AH83" s="1303"/>
      <c r="AI83" s="1313"/>
      <c r="AJ83" s="1260"/>
      <c r="AK83" s="1260"/>
      <c r="AL83" s="1260"/>
      <c r="AM83" s="1260"/>
      <c r="AN83" s="1260"/>
      <c r="AO83" s="1260"/>
      <c r="AP83" s="1260"/>
      <c r="AQ83" s="1260"/>
      <c r="AR83" s="1260"/>
      <c r="AS83" s="1260"/>
      <c r="AT83" s="1260"/>
      <c r="AU83" s="1260"/>
      <c r="AV83" s="1260"/>
      <c r="AW83" s="1260"/>
      <c r="AX83" s="1260"/>
      <c r="AY83" s="1260"/>
      <c r="AZ83" s="1260"/>
      <c r="BA83" s="1260"/>
      <c r="BB83" s="1260"/>
      <c r="BC83" s="1260"/>
      <c r="BD83" s="1260"/>
      <c r="BE83" s="1260"/>
      <c r="BF83" s="1260"/>
      <c r="BG83" s="1260"/>
      <c r="BH83" s="1260"/>
      <c r="BI83" s="1260"/>
      <c r="BJ83" s="1260"/>
      <c r="BK83" s="1260"/>
      <c r="BL83" s="1260"/>
      <c r="BM83" s="1260"/>
      <c r="BN83" s="1260"/>
      <c r="BO83" s="1260"/>
      <c r="BP83" s="1260"/>
      <c r="BQ83" s="1260"/>
      <c r="BR83" s="1260"/>
      <c r="BS83" s="1260"/>
      <c r="BT83" s="1260"/>
      <c r="BU83" s="1260"/>
      <c r="BV83" s="1260"/>
      <c r="BW83" s="1260"/>
      <c r="BX83" s="1260"/>
      <c r="BY83" s="1260"/>
      <c r="BZ83" s="1260"/>
      <c r="CA83" s="1260"/>
      <c r="CB83" s="1260"/>
      <c r="CC83" s="1260"/>
      <c r="CD83" s="1260"/>
      <c r="CE83" s="1260"/>
      <c r="CF83" s="1260"/>
      <c r="CG83" s="1260"/>
      <c r="CH83" s="1260"/>
      <c r="CI83" s="1260"/>
      <c r="CJ83" s="1260"/>
      <c r="CK83" s="1260"/>
      <c r="CL83" s="1260"/>
      <c r="CM83" s="1260"/>
      <c r="CN83" s="1260"/>
      <c r="CO83" s="1260"/>
      <c r="CP83" s="1260"/>
      <c r="CQ83" s="1260"/>
      <c r="CR83" s="1260"/>
      <c r="CS83" s="1260"/>
      <c r="CT83" s="1260"/>
      <c r="CU83" s="1260"/>
      <c r="CV83" s="1260"/>
      <c r="CW83" s="1260"/>
      <c r="CX83" s="1260"/>
      <c r="CY83" s="1260"/>
      <c r="CZ83" s="1260"/>
      <c r="DA83" s="1260"/>
      <c r="DB83" s="1260"/>
      <c r="DC83" s="1260"/>
      <c r="DD83" s="1260"/>
      <c r="DE83" s="1260"/>
      <c r="DF83" s="1260"/>
      <c r="DG83" s="1260"/>
      <c r="DH83" s="1260"/>
      <c r="DI83" s="1260"/>
    </row>
    <row r="84" spans="1:113">
      <c r="A84" s="1622"/>
      <c r="B84" s="1267" t="s">
        <v>1251</v>
      </c>
      <c r="C84" s="1268">
        <v>66240</v>
      </c>
      <c r="D84" s="1372"/>
      <c r="E84" s="1373"/>
      <c r="F84" s="1270"/>
      <c r="G84" s="1270"/>
      <c r="H84" s="1270"/>
      <c r="I84" s="1270"/>
      <c r="J84" s="1374"/>
      <c r="K84" s="1270"/>
      <c r="L84" s="1270"/>
      <c r="M84" s="1270"/>
      <c r="N84" s="1270"/>
      <c r="O84" s="1270"/>
      <c r="P84" s="1270"/>
      <c r="Q84" s="1374"/>
      <c r="R84" s="1270"/>
      <c r="S84" s="1270"/>
      <c r="T84" s="1270"/>
      <c r="U84" s="1270"/>
      <c r="V84" s="1270"/>
      <c r="W84" s="1270"/>
      <c r="X84" s="1270"/>
      <c r="Y84" s="1270"/>
      <c r="Z84" s="1270"/>
      <c r="AA84" s="1270"/>
      <c r="AB84" s="1270"/>
      <c r="AC84" s="1270"/>
      <c r="AD84" s="1315"/>
      <c r="AE84" s="1315"/>
      <c r="AF84" s="1315"/>
      <c r="AG84" s="1315"/>
      <c r="AH84" s="1315"/>
      <c r="AI84" s="1316"/>
    </row>
    <row r="85" spans="1:113">
      <c r="A85" s="1272" t="s">
        <v>1252</v>
      </c>
      <c r="B85" s="1273"/>
      <c r="C85" s="1268">
        <f>+(C84-C83)/2+C83</f>
        <v>66120</v>
      </c>
      <c r="D85" s="1372"/>
      <c r="E85" s="1373"/>
      <c r="F85" s="1270"/>
      <c r="G85" s="1270"/>
      <c r="H85" s="1270"/>
      <c r="I85" s="1270"/>
      <c r="J85" s="1374"/>
      <c r="K85" s="1270"/>
      <c r="L85" s="1270"/>
      <c r="M85" s="1270"/>
      <c r="N85" s="1270"/>
      <c r="O85" s="1270"/>
      <c r="P85" s="1270"/>
      <c r="Q85" s="1374"/>
      <c r="R85" s="1270"/>
      <c r="S85" s="1270"/>
      <c r="T85" s="1270"/>
      <c r="U85" s="1270"/>
      <c r="V85" s="1270"/>
      <c r="W85" s="1270"/>
      <c r="X85" s="1270"/>
      <c r="Y85" s="1270"/>
      <c r="Z85" s="1270"/>
      <c r="AA85" s="1270"/>
      <c r="AB85" s="1270"/>
      <c r="AC85" s="1270"/>
      <c r="AD85" s="1315"/>
      <c r="AE85" s="1315"/>
      <c r="AF85" s="1315"/>
      <c r="AG85" s="1315"/>
      <c r="AH85" s="1315"/>
      <c r="AI85" s="1316"/>
    </row>
    <row r="86" spans="1:113">
      <c r="A86" s="1272" t="s">
        <v>1253</v>
      </c>
      <c r="B86" s="1273"/>
      <c r="C86" s="1274"/>
      <c r="D86" s="1390">
        <f>IF(D88&gt;D87,(D88-D87)+D$2*1000+D$3*1000,(D87-D88)+D$2*1000+D$4*1000)/1000</f>
        <v>81.17</v>
      </c>
      <c r="E86" s="1376">
        <f t="shared" ref="E86:AH86" si="16">IF(E88&gt;E87,(E88-E87)+E$2*1000+E$3*1000,(E87-E88)+E$2*1000+E$4*1000)/1000</f>
        <v>81.62</v>
      </c>
      <c r="F86" s="1276">
        <f t="shared" si="16"/>
        <v>60.92</v>
      </c>
      <c r="G86" s="1276">
        <f t="shared" si="16"/>
        <v>57.19</v>
      </c>
      <c r="H86" s="1276">
        <f t="shared" si="16"/>
        <v>57.22</v>
      </c>
      <c r="I86" s="1276">
        <f t="shared" si="16"/>
        <v>58.12</v>
      </c>
      <c r="J86" s="1377">
        <f t="shared" si="16"/>
        <v>50.62</v>
      </c>
      <c r="K86" s="1276">
        <f t="shared" si="16"/>
        <v>50.12</v>
      </c>
      <c r="L86" s="1276">
        <f t="shared" si="16"/>
        <v>42.92</v>
      </c>
      <c r="M86" s="1276">
        <f t="shared" si="16"/>
        <v>44.82</v>
      </c>
      <c r="N86" s="1276">
        <f t="shared" si="16"/>
        <v>22.72</v>
      </c>
      <c r="O86" s="1276">
        <f t="shared" si="16"/>
        <v>21.12</v>
      </c>
      <c r="P86" s="1276">
        <f t="shared" si="16"/>
        <v>120.12</v>
      </c>
      <c r="Q86" s="1377">
        <f t="shared" si="16"/>
        <v>116.12</v>
      </c>
      <c r="R86" s="1276">
        <f t="shared" si="16"/>
        <v>128.41999999999999</v>
      </c>
      <c r="S86" s="1276">
        <f t="shared" si="16"/>
        <v>20.32</v>
      </c>
      <c r="T86" s="1276">
        <f t="shared" si="16"/>
        <v>14.27</v>
      </c>
      <c r="U86" s="1276">
        <f t="shared" si="16"/>
        <v>15.17</v>
      </c>
      <c r="V86" s="1276">
        <f t="shared" si="16"/>
        <v>14.69</v>
      </c>
      <c r="W86" s="1276">
        <f t="shared" si="16"/>
        <v>36.119999999999997</v>
      </c>
      <c r="X86" s="1276">
        <f t="shared" si="16"/>
        <v>2.42</v>
      </c>
      <c r="Y86" s="1276">
        <f t="shared" si="16"/>
        <v>6.88</v>
      </c>
      <c r="Z86" s="1276">
        <f t="shared" si="16"/>
        <v>12.68</v>
      </c>
      <c r="AA86" s="1276">
        <f t="shared" si="16"/>
        <v>19.23</v>
      </c>
      <c r="AB86" s="1276">
        <f t="shared" si="16"/>
        <v>23.8</v>
      </c>
      <c r="AC86" s="1276">
        <f t="shared" si="16"/>
        <v>30.3</v>
      </c>
      <c r="AD86" s="1277">
        <f t="shared" si="16"/>
        <v>77.17</v>
      </c>
      <c r="AE86" s="1277">
        <f t="shared" si="16"/>
        <v>38.119999999999997</v>
      </c>
      <c r="AF86" s="1277">
        <f t="shared" si="16"/>
        <v>28.12</v>
      </c>
      <c r="AG86" s="1277">
        <f t="shared" si="16"/>
        <v>4.88</v>
      </c>
      <c r="AH86" s="1277">
        <f t="shared" si="16"/>
        <v>16.68</v>
      </c>
      <c r="AI86" s="1316"/>
    </row>
    <row r="87" spans="1:113" hidden="1">
      <c r="A87" s="1278" t="s">
        <v>1254</v>
      </c>
      <c r="B87" s="1279"/>
      <c r="C87" s="1280"/>
      <c r="D87" s="1326">
        <f>+IF($C82=4514,IF(D$6=4514,$C85,$C85),IF(D$6=4515,$C85+101000,101000+$C85))</f>
        <v>167120</v>
      </c>
      <c r="E87" s="1326">
        <f t="shared" ref="E87:AH87" si="17">+IF($C82=4514,IF(E$6=4514,$C85,$C85),IF(E$6=4515,$C85+101000,101000+$C85))</f>
        <v>167120</v>
      </c>
      <c r="F87" s="1200">
        <f t="shared" si="17"/>
        <v>167120</v>
      </c>
      <c r="G87" s="1200">
        <f t="shared" si="17"/>
        <v>167120</v>
      </c>
      <c r="H87" s="1200">
        <f t="shared" si="17"/>
        <v>167120</v>
      </c>
      <c r="I87" s="1200">
        <f t="shared" si="17"/>
        <v>167120</v>
      </c>
      <c r="J87" s="1378">
        <f t="shared" si="17"/>
        <v>167120</v>
      </c>
      <c r="K87" s="1200">
        <f t="shared" si="17"/>
        <v>167120</v>
      </c>
      <c r="L87" s="1200">
        <f t="shared" si="17"/>
        <v>167120</v>
      </c>
      <c r="M87" s="1200">
        <f t="shared" si="17"/>
        <v>167120</v>
      </c>
      <c r="N87" s="1200">
        <f t="shared" si="17"/>
        <v>167120</v>
      </c>
      <c r="O87" s="1200">
        <f t="shared" si="17"/>
        <v>167120</v>
      </c>
      <c r="P87" s="1200">
        <f t="shared" si="17"/>
        <v>167120</v>
      </c>
      <c r="Q87" s="1378">
        <f t="shared" si="17"/>
        <v>167120</v>
      </c>
      <c r="R87" s="1200">
        <f t="shared" si="17"/>
        <v>167120</v>
      </c>
      <c r="S87" s="1200">
        <f t="shared" si="17"/>
        <v>167120</v>
      </c>
      <c r="T87" s="1200">
        <f t="shared" si="17"/>
        <v>167120</v>
      </c>
      <c r="U87" s="1200">
        <f t="shared" si="17"/>
        <v>167120</v>
      </c>
      <c r="V87" s="1200">
        <f t="shared" si="17"/>
        <v>167120</v>
      </c>
      <c r="W87" s="1200">
        <f t="shared" si="17"/>
        <v>167120</v>
      </c>
      <c r="X87" s="1200">
        <f t="shared" si="17"/>
        <v>167120</v>
      </c>
      <c r="Y87" s="1200">
        <f t="shared" si="17"/>
        <v>167120</v>
      </c>
      <c r="Z87" s="1200">
        <f t="shared" si="17"/>
        <v>167120</v>
      </c>
      <c r="AA87" s="1200">
        <f t="shared" si="17"/>
        <v>167120</v>
      </c>
      <c r="AB87" s="1200">
        <f t="shared" si="17"/>
        <v>167120</v>
      </c>
      <c r="AC87" s="1200">
        <f t="shared" si="17"/>
        <v>167120</v>
      </c>
      <c r="AD87" s="1281">
        <f t="shared" si="17"/>
        <v>167120</v>
      </c>
      <c r="AE87" s="1281">
        <f t="shared" si="17"/>
        <v>167120</v>
      </c>
      <c r="AF87" s="1281">
        <f t="shared" si="17"/>
        <v>167120</v>
      </c>
      <c r="AG87" s="1281">
        <f t="shared" si="17"/>
        <v>167120</v>
      </c>
      <c r="AH87" s="1281">
        <f t="shared" si="17"/>
        <v>167120</v>
      </c>
      <c r="AI87" s="1316"/>
    </row>
    <row r="88" spans="1:113" hidden="1">
      <c r="A88" s="1278" t="s">
        <v>1255</v>
      </c>
      <c r="B88" s="1279"/>
      <c r="C88" s="1280"/>
      <c r="D88" s="1326">
        <f>+IF($C82=4514,IF(D$6=4514,D$5,D$5+101000),IF(D$6=4515,D$5+101000,D$5))</f>
        <v>85950</v>
      </c>
      <c r="E88" s="1326">
        <f t="shared" ref="E88:AH88" si="18">+IF($C82=4514,IF(E$6=4514,E$5,E$5+101000),IF(E$6=4515,E$5+101000,E$5))</f>
        <v>85500</v>
      </c>
      <c r="F88" s="1200">
        <f t="shared" si="18"/>
        <v>106200</v>
      </c>
      <c r="G88" s="1200">
        <f t="shared" si="18"/>
        <v>110930</v>
      </c>
      <c r="H88" s="1200">
        <f t="shared" si="18"/>
        <v>109900</v>
      </c>
      <c r="I88" s="1200">
        <f t="shared" si="18"/>
        <v>110000</v>
      </c>
      <c r="J88" s="1378">
        <f t="shared" si="18"/>
        <v>116500</v>
      </c>
      <c r="K88" s="1200">
        <f t="shared" si="18"/>
        <v>117000</v>
      </c>
      <c r="L88" s="1200">
        <f t="shared" si="18"/>
        <v>124200</v>
      </c>
      <c r="M88" s="1200">
        <f t="shared" si="18"/>
        <v>126800</v>
      </c>
      <c r="N88" s="1200">
        <f t="shared" si="18"/>
        <v>144400</v>
      </c>
      <c r="O88" s="1200">
        <f t="shared" si="18"/>
        <v>146000</v>
      </c>
      <c r="P88" s="1200">
        <f t="shared" si="18"/>
        <v>47500</v>
      </c>
      <c r="Q88" s="1378">
        <f t="shared" si="18"/>
        <v>51000</v>
      </c>
      <c r="R88" s="1200">
        <f t="shared" si="18"/>
        <v>40000</v>
      </c>
      <c r="S88" s="1200">
        <f t="shared" si="18"/>
        <v>149800</v>
      </c>
      <c r="T88" s="1200">
        <f t="shared" si="18"/>
        <v>154650</v>
      </c>
      <c r="U88" s="1200">
        <f t="shared" si="18"/>
        <v>153350</v>
      </c>
      <c r="V88" s="1200">
        <f t="shared" si="18"/>
        <v>154730</v>
      </c>
      <c r="W88" s="1200">
        <f t="shared" si="18"/>
        <v>131000</v>
      </c>
      <c r="X88" s="1200">
        <f t="shared" si="18"/>
        <v>164700</v>
      </c>
      <c r="Y88" s="1200">
        <f t="shared" si="18"/>
        <v>173000</v>
      </c>
      <c r="Z88" s="1200">
        <f t="shared" si="18"/>
        <v>176000</v>
      </c>
      <c r="AA88" s="1200">
        <f t="shared" si="18"/>
        <v>185150</v>
      </c>
      <c r="AB88" s="1200">
        <f t="shared" si="18"/>
        <v>190920</v>
      </c>
      <c r="AC88" s="1200">
        <f t="shared" si="18"/>
        <v>190920</v>
      </c>
      <c r="AD88" s="1281">
        <f t="shared" si="18"/>
        <v>89950</v>
      </c>
      <c r="AE88" s="1281">
        <f t="shared" si="18"/>
        <v>129000</v>
      </c>
      <c r="AF88" s="1281">
        <f t="shared" si="18"/>
        <v>139000</v>
      </c>
      <c r="AG88" s="1281">
        <f t="shared" si="18"/>
        <v>172000</v>
      </c>
      <c r="AH88" s="1281">
        <f t="shared" si="18"/>
        <v>177800</v>
      </c>
      <c r="AI88" s="1316"/>
    </row>
    <row r="89" spans="1:113" ht="15" customHeight="1">
      <c r="A89" s="1623" t="s">
        <v>1266</v>
      </c>
      <c r="B89" s="1267" t="s">
        <v>1257</v>
      </c>
      <c r="C89" s="1282" t="e">
        <f>+#REF!</f>
        <v>#REF!</v>
      </c>
      <c r="D89" s="1236"/>
      <c r="E89" s="1354"/>
      <c r="F89" s="1237"/>
      <c r="G89" s="1237"/>
      <c r="H89" s="1237"/>
      <c r="I89" s="1237"/>
      <c r="J89" s="1386"/>
      <c r="K89" s="1237"/>
      <c r="L89" s="1237"/>
      <c r="M89" s="1237"/>
      <c r="N89" s="1237"/>
      <c r="O89" s="1237"/>
      <c r="P89" s="1237"/>
      <c r="Q89" s="1386"/>
      <c r="R89" s="1237"/>
      <c r="S89" s="1237"/>
      <c r="T89" s="1237"/>
      <c r="U89" s="1237"/>
      <c r="V89" s="1237" t="e">
        <f>$C89*#REF!*#REF!</f>
        <v>#REF!</v>
      </c>
      <c r="W89" s="1237"/>
      <c r="X89" s="1237"/>
      <c r="Y89" s="1237"/>
      <c r="Z89" s="1237"/>
      <c r="AA89" s="1237"/>
      <c r="AB89" s="1237"/>
      <c r="AC89" s="1237"/>
      <c r="AD89" s="1283"/>
      <c r="AE89" s="1283"/>
      <c r="AF89" s="1283"/>
      <c r="AG89" s="1283"/>
      <c r="AH89" s="1283"/>
      <c r="AI89" s="1317" t="e">
        <f>+SUMPRODUCT(D89:AH89,D86:AH86)</f>
        <v>#REF!</v>
      </c>
      <c r="AJ89" s="1185" t="e">
        <f>$C89*#REF!*#REF!</f>
        <v>#REF!</v>
      </c>
    </row>
    <row r="90" spans="1:113">
      <c r="A90" s="1623"/>
      <c r="B90" s="1267" t="s">
        <v>1258</v>
      </c>
      <c r="C90" s="1282" t="e">
        <f>+#REF!</f>
        <v>#REF!</v>
      </c>
      <c r="D90" s="1236"/>
      <c r="E90" s="1354"/>
      <c r="F90" s="1237"/>
      <c r="G90" s="1237"/>
      <c r="H90" s="1237"/>
      <c r="I90" s="1237"/>
      <c r="J90" s="1386"/>
      <c r="K90" s="1237"/>
      <c r="L90" s="1237"/>
      <c r="M90" s="1237"/>
      <c r="N90" s="1237"/>
      <c r="O90" s="1237"/>
      <c r="P90" s="1237"/>
      <c r="Q90" s="1386"/>
      <c r="R90" s="1237"/>
      <c r="S90" s="1237"/>
      <c r="T90" s="1237"/>
      <c r="U90" s="1237"/>
      <c r="V90" s="1237" t="e">
        <f>$C90*#REF!*#REF!</f>
        <v>#REF!</v>
      </c>
      <c r="W90" s="1237"/>
      <c r="X90" s="1237"/>
      <c r="Y90" s="1237"/>
      <c r="Z90" s="1237"/>
      <c r="AA90" s="1237"/>
      <c r="AB90" s="1237"/>
      <c r="AC90" s="1237"/>
      <c r="AD90" s="1283"/>
      <c r="AE90" s="1283"/>
      <c r="AF90" s="1283"/>
      <c r="AG90" s="1283"/>
      <c r="AH90" s="1283"/>
      <c r="AI90" s="1317" t="e">
        <f>+SUMPRODUCT(D90:AH90,D86:AH86)</f>
        <v>#REF!</v>
      </c>
      <c r="AJ90" s="1185" t="e">
        <f>$C90*#REF!*#REF!</f>
        <v>#REF!</v>
      </c>
    </row>
    <row r="91" spans="1:113">
      <c r="A91" s="1623"/>
      <c r="B91" s="1267" t="s">
        <v>1259</v>
      </c>
      <c r="C91" s="1282" t="e">
        <f>+#REF!</f>
        <v>#REF!</v>
      </c>
      <c r="D91" s="1236"/>
      <c r="E91" s="1354"/>
      <c r="F91" s="1237"/>
      <c r="G91" s="1237"/>
      <c r="H91" s="1237"/>
      <c r="I91" s="1237"/>
      <c r="J91" s="1386"/>
      <c r="K91" s="1237"/>
      <c r="L91" s="1237"/>
      <c r="M91" s="1237"/>
      <c r="N91" s="1237"/>
      <c r="O91" s="1237"/>
      <c r="P91" s="1237"/>
      <c r="Q91" s="1386"/>
      <c r="R91" s="1237"/>
      <c r="S91" s="1237"/>
      <c r="T91" s="1237"/>
      <c r="U91" s="1237"/>
      <c r="V91" s="1237"/>
      <c r="W91" s="1237"/>
      <c r="X91" s="1237"/>
      <c r="Y91" s="1237"/>
      <c r="Z91" s="1237"/>
      <c r="AA91" s="1237"/>
      <c r="AB91" s="1237"/>
      <c r="AC91" s="1237"/>
      <c r="AD91" s="1283"/>
      <c r="AE91" s="1283"/>
      <c r="AF91" s="1283"/>
      <c r="AG91" s="1283" t="e">
        <f>+$C91*#REF!*#REF!</f>
        <v>#REF!</v>
      </c>
      <c r="AH91" s="1283"/>
      <c r="AI91" s="1317" t="e">
        <f>+SUMPRODUCT(D91:AH91,D86:AH86)</f>
        <v>#REF!</v>
      </c>
      <c r="AJ91" s="1236" t="e">
        <f>+$C91*#REF!*#REF!</f>
        <v>#REF!</v>
      </c>
    </row>
    <row r="92" spans="1:113">
      <c r="A92" s="1623"/>
      <c r="B92" s="1267" t="s">
        <v>1260</v>
      </c>
      <c r="C92" s="1282" t="e">
        <f>+#REF!</f>
        <v>#REF!</v>
      </c>
      <c r="D92" s="1236"/>
      <c r="E92" s="1354"/>
      <c r="F92" s="1237"/>
      <c r="G92" s="1237"/>
      <c r="H92" s="1237"/>
      <c r="I92" s="1237"/>
      <c r="J92" s="1386"/>
      <c r="K92" s="1237"/>
      <c r="L92" s="1237"/>
      <c r="M92" s="1237"/>
      <c r="N92" s="1237"/>
      <c r="O92" s="1237"/>
      <c r="P92" s="1237"/>
      <c r="Q92" s="1386"/>
      <c r="R92" s="1237"/>
      <c r="S92" s="1237"/>
      <c r="T92" s="1237"/>
      <c r="U92" s="1237"/>
      <c r="V92" s="1237"/>
      <c r="W92" s="1237"/>
      <c r="X92" s="1237"/>
      <c r="Y92" s="1237"/>
      <c r="Z92" s="1237"/>
      <c r="AA92" s="1237"/>
      <c r="AB92" s="1237"/>
      <c r="AC92" s="1237"/>
      <c r="AD92" s="1283"/>
      <c r="AE92" s="1283"/>
      <c r="AF92" s="1283"/>
      <c r="AG92" s="1283" t="e">
        <f>+$C92*#REF!*#REF!</f>
        <v>#REF!</v>
      </c>
      <c r="AH92" s="1283"/>
      <c r="AI92" s="1317" t="e">
        <f>+SUMPRODUCT(D92:AH92,D86:AH86)</f>
        <v>#REF!</v>
      </c>
      <c r="AJ92" s="1185" t="e">
        <f>+$C92*#REF!*#REF!</f>
        <v>#REF!</v>
      </c>
    </row>
    <row r="93" spans="1:113">
      <c r="A93" s="1624"/>
      <c r="B93" s="1292" t="s">
        <v>1261</v>
      </c>
      <c r="C93" s="1293" t="e">
        <f>+#REF!</f>
        <v>#REF!</v>
      </c>
      <c r="D93" s="1243"/>
      <c r="E93" s="1359"/>
      <c r="F93" s="1244"/>
      <c r="G93" s="1244"/>
      <c r="H93" s="1244"/>
      <c r="I93" s="1244"/>
      <c r="J93" s="1391"/>
      <c r="K93" s="1244"/>
      <c r="L93" s="1244"/>
      <c r="M93" s="1244"/>
      <c r="N93" s="1244"/>
      <c r="O93" s="1244"/>
      <c r="P93" s="1244"/>
      <c r="Q93" s="1391"/>
      <c r="R93" s="1244"/>
      <c r="S93" s="1244"/>
      <c r="T93" s="1244"/>
      <c r="U93" s="1244"/>
      <c r="V93" s="1244"/>
      <c r="W93" s="1244"/>
      <c r="X93" s="1244"/>
      <c r="Y93" s="1244"/>
      <c r="Z93" s="1244"/>
      <c r="AA93" s="1244"/>
      <c r="AB93" s="1244"/>
      <c r="AC93" s="1244"/>
      <c r="AD93" s="1294" t="e">
        <f>+$C93*#REF!*#REF!</f>
        <v>#REF!</v>
      </c>
      <c r="AE93" s="1294"/>
      <c r="AF93" s="1294"/>
      <c r="AG93" s="1294"/>
      <c r="AH93" s="1294"/>
      <c r="AI93" s="1318" t="e">
        <f>+SUMPRODUCT(D93:AH93,D86:AH86)</f>
        <v>#REF!</v>
      </c>
      <c r="AJ93" s="1185" t="e">
        <f>+$C93*#REF!*#REF!</f>
        <v>#REF!</v>
      </c>
    </row>
    <row r="94" spans="1:113">
      <c r="A94" s="1187"/>
    </row>
    <row r="95" spans="1:113">
      <c r="B95" s="1267" t="s">
        <v>1257</v>
      </c>
      <c r="C95" s="1296" t="e">
        <f>+SUMIFS($C$23:$C$93,$B$23:$B$93,B95)</f>
        <v>#REF!</v>
      </c>
      <c r="D95" s="1394"/>
      <c r="L95" s="1260"/>
      <c r="S95" s="1260"/>
      <c r="AI95" s="1270"/>
    </row>
    <row r="96" spans="1:113">
      <c r="B96" s="1267" t="s">
        <v>1258</v>
      </c>
      <c r="C96" s="1296" t="e">
        <f t="shared" ref="C96:C100" si="19">+SUMIFS($C$23:$C$93,$B$23:$B$93,B96)</f>
        <v>#REF!</v>
      </c>
    </row>
    <row r="97" spans="2:3">
      <c r="B97" s="1267" t="s">
        <v>1259</v>
      </c>
      <c r="C97" s="1296" t="e">
        <f t="shared" si="19"/>
        <v>#REF!</v>
      </c>
    </row>
    <row r="98" spans="2:3">
      <c r="B98" s="1267" t="s">
        <v>1260</v>
      </c>
      <c r="C98" s="1296" t="e">
        <f t="shared" si="19"/>
        <v>#REF!</v>
      </c>
    </row>
    <row r="99" spans="2:3">
      <c r="B99" s="1267" t="s">
        <v>1261</v>
      </c>
      <c r="C99" s="1296" t="e">
        <f t="shared" si="19"/>
        <v>#REF!</v>
      </c>
    </row>
    <row r="100" spans="2:3" ht="30">
      <c r="B100" s="1285" t="s">
        <v>1262</v>
      </c>
      <c r="C100" s="1296" t="e">
        <f t="shared" si="19"/>
        <v>#REF!</v>
      </c>
    </row>
  </sheetData>
  <mergeCells count="26">
    <mergeCell ref="A23:A28"/>
    <mergeCell ref="A1:C1"/>
    <mergeCell ref="AI1:AI12"/>
    <mergeCell ref="A2:C2"/>
    <mergeCell ref="A3:B4"/>
    <mergeCell ref="A5:C5"/>
    <mergeCell ref="A6:C6"/>
    <mergeCell ref="A7:C7"/>
    <mergeCell ref="A8:C8"/>
    <mergeCell ref="A9:C9"/>
    <mergeCell ref="A10:C10"/>
    <mergeCell ref="A11:C11"/>
    <mergeCell ref="A12:C12"/>
    <mergeCell ref="A13:C13"/>
    <mergeCell ref="A14:C14"/>
    <mergeCell ref="A17:A18"/>
    <mergeCell ref="A70:A71"/>
    <mergeCell ref="A76:A80"/>
    <mergeCell ref="A83:A84"/>
    <mergeCell ref="A89:A93"/>
    <mergeCell ref="A31:A32"/>
    <mergeCell ref="A37:A41"/>
    <mergeCell ref="A44:A45"/>
    <mergeCell ref="A50:A54"/>
    <mergeCell ref="A57:A58"/>
    <mergeCell ref="A63:A67"/>
  </mergeCells>
  <conditionalFormatting sqref="D20:AC20">
    <cfRule type="colorScale" priority="6">
      <colorScale>
        <cfvo type="min"/>
        <cfvo type="percentile" val="50"/>
        <cfvo type="max"/>
        <color rgb="FF63BE7B"/>
        <color rgb="FFFFEB84"/>
        <color rgb="FFF8696B"/>
      </colorScale>
    </cfRule>
  </conditionalFormatting>
  <conditionalFormatting sqref="D34:AC34">
    <cfRule type="colorScale" priority="5">
      <colorScale>
        <cfvo type="min"/>
        <cfvo type="percentile" val="50"/>
        <cfvo type="max"/>
        <color rgb="FF63BE7B"/>
        <color rgb="FFFFEB84"/>
        <color rgb="FFF8696B"/>
      </colorScale>
    </cfRule>
  </conditionalFormatting>
  <conditionalFormatting sqref="D47:AC47">
    <cfRule type="colorScale" priority="4">
      <colorScale>
        <cfvo type="min"/>
        <cfvo type="percentile" val="50"/>
        <cfvo type="max"/>
        <color rgb="FF63BE7B"/>
        <color rgb="FFFFEB84"/>
        <color rgb="FFF8696B"/>
      </colorScale>
    </cfRule>
  </conditionalFormatting>
  <conditionalFormatting sqref="D60:AC60">
    <cfRule type="colorScale" priority="3">
      <colorScale>
        <cfvo type="min"/>
        <cfvo type="percentile" val="50"/>
        <cfvo type="max"/>
        <color rgb="FF63BE7B"/>
        <color rgb="FFFFEB84"/>
        <color rgb="FFF8696B"/>
      </colorScale>
    </cfRule>
  </conditionalFormatting>
  <conditionalFormatting sqref="D73:AC73">
    <cfRule type="colorScale" priority="2">
      <colorScale>
        <cfvo type="min"/>
        <cfvo type="percentile" val="50"/>
        <cfvo type="max"/>
        <color rgb="FF63BE7B"/>
        <color rgb="FFFFEB84"/>
        <color rgb="FFF8696B"/>
      </colorScale>
    </cfRule>
  </conditionalFormatting>
  <conditionalFormatting sqref="D86:AC86">
    <cfRule type="colorScale" priority="1">
      <colorScale>
        <cfvo type="min"/>
        <cfvo type="percentile" val="50"/>
        <cfvo type="max"/>
        <color rgb="FF63BE7B"/>
        <color rgb="FFFFEB84"/>
        <color rgb="FFF8696B"/>
      </colorScale>
    </cfRule>
  </conditionalFormatting>
  <pageMargins left="0.7" right="0.7" top="0.75" bottom="0.75" header="0.3" footer="0.3"/>
  <pageSetup scale="1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X118"/>
  <sheetViews>
    <sheetView view="pageBreakPreview" zoomScale="85" zoomScaleNormal="85" zoomScaleSheetLayoutView="85" workbookViewId="0">
      <pane xSplit="3" ySplit="15" topLeftCell="O22" activePane="bottomRight" state="frozen"/>
      <selection activeCell="A214" sqref="A1:XFD1048576"/>
      <selection pane="topRight" activeCell="A214" sqref="A1:XFD1048576"/>
      <selection pane="bottomLeft" activeCell="A214" sqref="A1:XFD1048576"/>
      <selection pane="bottomRight" activeCell="AA24" sqref="AA24"/>
    </sheetView>
  </sheetViews>
  <sheetFormatPr baseColWidth="10" defaultColWidth="11.42578125" defaultRowHeight="15"/>
  <cols>
    <col min="1" max="1" width="11.85546875" style="1185" customWidth="1"/>
    <col min="2" max="2" width="18.7109375" style="1186" customWidth="1"/>
    <col min="3" max="3" width="11.42578125" style="1185"/>
    <col min="4" max="21" width="13.7109375" style="1185" customWidth="1"/>
    <col min="22" max="22" width="13.7109375" style="1297" customWidth="1"/>
    <col min="23" max="23" width="13.140625" style="1185" customWidth="1"/>
    <col min="24" max="24" width="14.5703125" style="1185" customWidth="1"/>
    <col min="25" max="25" width="9.42578125" style="1185" customWidth="1"/>
    <col min="26" max="16384" width="11.42578125" style="1185"/>
  </cols>
  <sheetData>
    <row r="1" spans="1:102" s="1193" customFormat="1" ht="30" customHeight="1">
      <c r="A1" s="1630" t="s">
        <v>1199</v>
      </c>
      <c r="B1" s="1631"/>
      <c r="C1" s="1632"/>
      <c r="D1" s="1188" t="s">
        <v>1200</v>
      </c>
      <c r="E1" s="1189" t="s">
        <v>1201</v>
      </c>
      <c r="F1" s="1189" t="s">
        <v>1202</v>
      </c>
      <c r="G1" s="1189" t="s">
        <v>1203</v>
      </c>
      <c r="H1" s="1189" t="s">
        <v>1204</v>
      </c>
      <c r="I1" s="1190" t="s">
        <v>1205</v>
      </c>
      <c r="J1" s="1190" t="s">
        <v>1206</v>
      </c>
      <c r="K1" s="1190" t="s">
        <v>1207</v>
      </c>
      <c r="L1" s="1190" t="s">
        <v>1208</v>
      </c>
      <c r="M1" s="1190" t="s">
        <v>1209</v>
      </c>
      <c r="N1" s="1190" t="s">
        <v>1210</v>
      </c>
      <c r="O1" s="1189" t="s">
        <v>1211</v>
      </c>
      <c r="P1" s="1190" t="s">
        <v>1212</v>
      </c>
      <c r="Q1" s="1190" t="s">
        <v>1213</v>
      </c>
      <c r="R1" s="1189" t="s">
        <v>1214</v>
      </c>
      <c r="S1" s="1189" t="s">
        <v>1215</v>
      </c>
      <c r="T1" s="1189" t="s">
        <v>1216</v>
      </c>
      <c r="U1" s="1189" t="s">
        <v>1217</v>
      </c>
      <c r="V1" s="1191" t="s">
        <v>1218</v>
      </c>
      <c r="W1" s="1192" t="s">
        <v>1219</v>
      </c>
      <c r="X1" s="1192" t="s">
        <v>1220</v>
      </c>
      <c r="Y1" s="1633" t="s">
        <v>1221</v>
      </c>
    </row>
    <row r="2" spans="1:102" s="957" customFormat="1">
      <c r="A2" s="1636" t="s">
        <v>1222</v>
      </c>
      <c r="B2" s="1637"/>
      <c r="C2" s="1638"/>
      <c r="D2" s="1194">
        <v>0</v>
      </c>
      <c r="E2" s="1195">
        <v>0</v>
      </c>
      <c r="F2" s="1195">
        <v>0</v>
      </c>
      <c r="G2" s="1195">
        <v>2</v>
      </c>
      <c r="H2" s="1195">
        <v>3</v>
      </c>
      <c r="I2" s="1195">
        <v>0</v>
      </c>
      <c r="J2" s="1195">
        <v>0</v>
      </c>
      <c r="K2" s="1195">
        <v>0</v>
      </c>
      <c r="L2" s="1195">
        <v>0</v>
      </c>
      <c r="M2" s="1195">
        <v>0</v>
      </c>
      <c r="N2" s="1195">
        <v>2</v>
      </c>
      <c r="O2" s="1195">
        <v>0</v>
      </c>
      <c r="P2" s="1195">
        <v>0</v>
      </c>
      <c r="Q2" s="1195">
        <v>0</v>
      </c>
      <c r="R2" s="1195">
        <v>0</v>
      </c>
      <c r="S2" s="1195">
        <v>0</v>
      </c>
      <c r="T2" s="1195">
        <v>0</v>
      </c>
      <c r="U2" s="1195">
        <v>0</v>
      </c>
      <c r="V2" s="1196">
        <v>0</v>
      </c>
      <c r="W2" s="1197"/>
      <c r="X2" s="1197"/>
      <c r="Y2" s="1634"/>
    </row>
    <row r="3" spans="1:102" s="957" customFormat="1" ht="15" customHeight="1">
      <c r="A3" s="1639" t="s">
        <v>1223</v>
      </c>
      <c r="B3" s="1640"/>
      <c r="C3" s="1198" t="s">
        <v>1224</v>
      </c>
      <c r="D3" s="1194"/>
      <c r="E3" s="1195"/>
      <c r="F3" s="1195"/>
      <c r="G3" s="1195">
        <f>+(112.35-98.4)*2</f>
        <v>27.899999999999977</v>
      </c>
      <c r="H3" s="1195">
        <f>+(112.35-98.4)*2</f>
        <v>27.899999999999977</v>
      </c>
      <c r="I3" s="1195"/>
      <c r="J3" s="1195"/>
      <c r="K3" s="1195"/>
      <c r="L3" s="1195"/>
      <c r="M3" s="1195">
        <f>+(20.955-20.5)*2</f>
        <v>0.90999999999999659</v>
      </c>
      <c r="N3" s="1199">
        <f>+(30.918-22.5)*2</f>
        <v>16.835999999999999</v>
      </c>
      <c r="O3" s="1195"/>
      <c r="P3" s="1195"/>
      <c r="Q3" s="1195">
        <f>+(41.145-39.3)*2</f>
        <v>3.6900000000000119</v>
      </c>
      <c r="R3" s="1195"/>
      <c r="S3" s="1195"/>
      <c r="T3" s="1195"/>
      <c r="U3" s="1195"/>
      <c r="V3" s="1196"/>
      <c r="W3" s="1197"/>
      <c r="X3" s="1197"/>
      <c r="Y3" s="1634"/>
    </row>
    <row r="4" spans="1:102" s="957" customFormat="1">
      <c r="A4" s="1639"/>
      <c r="B4" s="1640"/>
      <c r="C4" s="1198" t="s">
        <v>1225</v>
      </c>
      <c r="D4" s="1194"/>
      <c r="E4" s="1195"/>
      <c r="F4" s="1195"/>
      <c r="G4" s="1195"/>
      <c r="H4" s="1195"/>
      <c r="I4" s="1195">
        <f>+(113.61-109.692)*2</f>
        <v>7.8360000000000127</v>
      </c>
      <c r="J4" s="1195"/>
      <c r="K4" s="1195"/>
      <c r="L4" s="1195"/>
      <c r="M4" s="1195"/>
      <c r="N4" s="1195"/>
      <c r="O4" s="1195"/>
      <c r="P4" s="1195">
        <f>+(36.3-30.926)*2</f>
        <v>10.747999999999998</v>
      </c>
      <c r="Q4" s="1195"/>
      <c r="R4" s="1195"/>
      <c r="S4" s="1195"/>
      <c r="T4" s="1195"/>
      <c r="U4" s="1195"/>
      <c r="V4" s="1196"/>
      <c r="W4" s="1197"/>
      <c r="X4" s="1197"/>
      <c r="Y4" s="1634"/>
    </row>
    <row r="5" spans="1:102" s="957" customFormat="1">
      <c r="A5" s="1636" t="s">
        <v>1226</v>
      </c>
      <c r="B5" s="1637"/>
      <c r="C5" s="1638"/>
      <c r="D5" s="1200">
        <v>83700</v>
      </c>
      <c r="E5" s="1201">
        <v>88080</v>
      </c>
      <c r="F5" s="1201">
        <v>89910</v>
      </c>
      <c r="G5" s="1201">
        <v>98400</v>
      </c>
      <c r="H5" s="1201">
        <v>98400</v>
      </c>
      <c r="I5" s="1201">
        <v>113610</v>
      </c>
      <c r="J5" s="1202">
        <v>116500</v>
      </c>
      <c r="K5" s="1201">
        <v>108910</v>
      </c>
      <c r="L5" s="1203">
        <v>1650</v>
      </c>
      <c r="M5" s="1203">
        <v>20500</v>
      </c>
      <c r="N5" s="1201">
        <v>22200</v>
      </c>
      <c r="O5" s="1201">
        <v>32500</v>
      </c>
      <c r="P5" s="1201">
        <v>36300</v>
      </c>
      <c r="Q5" s="1203">
        <v>39300</v>
      </c>
      <c r="R5" s="1201">
        <v>43000</v>
      </c>
      <c r="S5" s="1201">
        <v>49000</v>
      </c>
      <c r="T5" s="1201">
        <v>50000</v>
      </c>
      <c r="U5" s="1204">
        <v>55000</v>
      </c>
      <c r="V5" s="1205">
        <v>1650</v>
      </c>
      <c r="W5" s="1206">
        <v>43000</v>
      </c>
      <c r="X5" s="1206">
        <v>98400</v>
      </c>
      <c r="Y5" s="1634"/>
    </row>
    <row r="6" spans="1:102" s="957" customFormat="1">
      <c r="A6" s="1641" t="s">
        <v>1227</v>
      </c>
      <c r="B6" s="1642"/>
      <c r="C6" s="1643"/>
      <c r="D6" s="1207">
        <v>4510</v>
      </c>
      <c r="E6" s="1208">
        <v>4510</v>
      </c>
      <c r="F6" s="1208">
        <v>4510</v>
      </c>
      <c r="G6" s="1208">
        <v>4510</v>
      </c>
      <c r="H6" s="1208">
        <v>4510</v>
      </c>
      <c r="I6" s="1208">
        <v>4510</v>
      </c>
      <c r="J6" s="1209">
        <v>4510</v>
      </c>
      <c r="K6" s="1208">
        <v>4510</v>
      </c>
      <c r="L6" s="1208">
        <v>4511</v>
      </c>
      <c r="M6" s="1208">
        <v>4511</v>
      </c>
      <c r="N6" s="1208">
        <v>4511</v>
      </c>
      <c r="O6" s="1208">
        <v>4511</v>
      </c>
      <c r="P6" s="1208">
        <v>4511</v>
      </c>
      <c r="Q6" s="1208">
        <v>4511</v>
      </c>
      <c r="R6" s="1208">
        <v>4511</v>
      </c>
      <c r="S6" s="1208">
        <v>4511</v>
      </c>
      <c r="T6" s="1208">
        <v>4511</v>
      </c>
      <c r="U6" s="1208">
        <v>4511</v>
      </c>
      <c r="V6" s="1210">
        <v>4511</v>
      </c>
      <c r="W6" s="1210">
        <v>4511</v>
      </c>
      <c r="X6" s="1210">
        <v>4510</v>
      </c>
      <c r="Y6" s="1634"/>
    </row>
    <row r="7" spans="1:102" s="1193" customFormat="1" ht="45">
      <c r="A7" s="1644" t="s">
        <v>1228</v>
      </c>
      <c r="B7" s="1645"/>
      <c r="C7" s="1646"/>
      <c r="D7" s="1211" t="s">
        <v>1229</v>
      </c>
      <c r="E7" s="1212" t="s">
        <v>1229</v>
      </c>
      <c r="F7" s="1212" t="s">
        <v>1229</v>
      </c>
      <c r="G7" s="1212" t="s">
        <v>1229</v>
      </c>
      <c r="H7" s="1212" t="s">
        <v>1229</v>
      </c>
      <c r="I7" s="1212" t="s">
        <v>1229</v>
      </c>
      <c r="J7" s="1212" t="s">
        <v>1229</v>
      </c>
      <c r="K7" s="1212" t="s">
        <v>1229</v>
      </c>
      <c r="L7" s="1213" t="s">
        <v>1229</v>
      </c>
      <c r="M7" s="1213" t="s">
        <v>1229</v>
      </c>
      <c r="N7" s="1212" t="s">
        <v>1229</v>
      </c>
      <c r="O7" s="1212" t="s">
        <v>1229</v>
      </c>
      <c r="P7" s="1212" t="s">
        <v>1229</v>
      </c>
      <c r="Q7" s="1213" t="s">
        <v>1229</v>
      </c>
      <c r="R7" s="1212" t="s">
        <v>1229</v>
      </c>
      <c r="S7" s="1212" t="s">
        <v>1229</v>
      </c>
      <c r="T7" s="1212" t="s">
        <v>1229</v>
      </c>
      <c r="U7" s="1212" t="s">
        <v>1229</v>
      </c>
      <c r="V7" s="1214" t="s">
        <v>1230</v>
      </c>
      <c r="W7" s="1215" t="s">
        <v>1231</v>
      </c>
      <c r="X7" s="1216" t="s">
        <v>1232</v>
      </c>
      <c r="Y7" s="1634"/>
    </row>
    <row r="8" spans="1:102" s="957" customFormat="1" ht="45">
      <c r="A8" s="1647" t="s">
        <v>1233</v>
      </c>
      <c r="B8" s="1648"/>
      <c r="C8" s="1648"/>
      <c r="D8" s="1217">
        <v>43056</v>
      </c>
      <c r="E8" s="1218">
        <v>43202</v>
      </c>
      <c r="F8" s="1218">
        <v>43202</v>
      </c>
      <c r="G8" s="1649">
        <v>43202</v>
      </c>
      <c r="H8" s="1649"/>
      <c r="I8" s="1218">
        <v>43201</v>
      </c>
      <c r="J8" s="1219" t="s">
        <v>1234</v>
      </c>
      <c r="K8" s="1218">
        <v>43230</v>
      </c>
      <c r="L8" s="1218">
        <v>43328</v>
      </c>
      <c r="M8" s="1649">
        <v>43423</v>
      </c>
      <c r="N8" s="1649"/>
      <c r="O8" s="1218">
        <v>43748</v>
      </c>
      <c r="P8" s="1218">
        <v>43698</v>
      </c>
      <c r="Q8" s="1218">
        <v>43807</v>
      </c>
      <c r="R8" s="1218">
        <v>43437</v>
      </c>
      <c r="S8" s="1218">
        <v>43747</v>
      </c>
      <c r="T8" s="1218">
        <v>43634</v>
      </c>
      <c r="U8" s="1219">
        <v>43615</v>
      </c>
      <c r="V8" s="1220"/>
      <c r="W8" s="1221"/>
      <c r="X8" s="1206"/>
      <c r="Y8" s="1634"/>
    </row>
    <row r="9" spans="1:102" s="1228" customFormat="1">
      <c r="A9" s="1647" t="s">
        <v>1235</v>
      </c>
      <c r="B9" s="1648"/>
      <c r="C9" s="1648"/>
      <c r="D9" s="1222">
        <v>42186</v>
      </c>
      <c r="E9" s="1223">
        <v>41974</v>
      </c>
      <c r="F9" s="1224" t="s">
        <v>1236</v>
      </c>
      <c r="G9" s="1223">
        <v>42339</v>
      </c>
      <c r="H9" s="1225">
        <v>42583</v>
      </c>
      <c r="I9" s="1225">
        <v>42644</v>
      </c>
      <c r="J9" s="1223">
        <v>42675</v>
      </c>
      <c r="K9" s="1223" t="s">
        <v>1237</v>
      </c>
      <c r="L9" s="1225">
        <v>42705</v>
      </c>
      <c r="M9" s="1223">
        <v>42675</v>
      </c>
      <c r="N9" s="1225">
        <v>42736</v>
      </c>
      <c r="O9" s="1223" t="s">
        <v>1238</v>
      </c>
      <c r="P9" s="1223">
        <v>42583</v>
      </c>
      <c r="Q9" s="1223">
        <v>42491</v>
      </c>
      <c r="R9" s="1225">
        <v>42705</v>
      </c>
      <c r="S9" s="1224" t="s">
        <v>1238</v>
      </c>
      <c r="T9" s="1224" t="s">
        <v>1238</v>
      </c>
      <c r="U9" s="1224" t="s">
        <v>1238</v>
      </c>
      <c r="V9" s="1226" t="s">
        <v>1239</v>
      </c>
      <c r="W9" s="1227" t="s">
        <v>1240</v>
      </c>
      <c r="X9" s="1227" t="s">
        <v>1240</v>
      </c>
      <c r="Y9" s="1634"/>
    </row>
    <row r="10" spans="1:102" s="957" customFormat="1">
      <c r="A10" s="1650" t="s">
        <v>1241</v>
      </c>
      <c r="B10" s="1651"/>
      <c r="C10" s="1652"/>
      <c r="D10" s="1229">
        <v>1400000</v>
      </c>
      <c r="E10" s="1230">
        <v>242000</v>
      </c>
      <c r="F10" s="1230">
        <v>200047</v>
      </c>
      <c r="G10" s="1231">
        <v>800000</v>
      </c>
      <c r="H10" s="1231">
        <v>600000</v>
      </c>
      <c r="I10" s="1230">
        <v>504235</v>
      </c>
      <c r="J10" s="1232">
        <v>500000</v>
      </c>
      <c r="K10" s="1230">
        <v>547649</v>
      </c>
      <c r="L10" s="1232">
        <v>410373</v>
      </c>
      <c r="M10" s="1230">
        <v>456000</v>
      </c>
      <c r="N10" s="1232">
        <v>1200000</v>
      </c>
      <c r="O10" s="1230">
        <v>550000</v>
      </c>
      <c r="P10" s="1232">
        <v>179287</v>
      </c>
      <c r="Q10" s="1233">
        <v>509794</v>
      </c>
      <c r="R10" s="1230">
        <v>950000</v>
      </c>
      <c r="S10" s="1230">
        <v>230000</v>
      </c>
      <c r="T10" s="1230">
        <v>890000</v>
      </c>
      <c r="U10" s="1234" t="s">
        <v>1242</v>
      </c>
      <c r="V10" s="1235"/>
      <c r="W10" s="1206"/>
      <c r="X10" s="1206"/>
      <c r="Y10" s="1634"/>
    </row>
    <row r="11" spans="1:102" s="957" customFormat="1">
      <c r="A11" s="1650" t="s">
        <v>1243</v>
      </c>
      <c r="B11" s="1651"/>
      <c r="C11" s="1652"/>
      <c r="D11" s="1236">
        <v>160000</v>
      </c>
      <c r="E11" s="1237">
        <v>66230</v>
      </c>
      <c r="F11" s="1238">
        <v>0</v>
      </c>
      <c r="G11" s="1239">
        <v>293008</v>
      </c>
      <c r="H11" s="1239">
        <v>439604</v>
      </c>
      <c r="I11" s="1237">
        <v>433744</v>
      </c>
      <c r="J11" s="1240">
        <v>407284</v>
      </c>
      <c r="K11" s="1238">
        <v>0</v>
      </c>
      <c r="L11" s="1240">
        <v>275000</v>
      </c>
      <c r="M11" s="1238">
        <v>187852</v>
      </c>
      <c r="N11" s="1240">
        <v>365562</v>
      </c>
      <c r="O11" s="1238">
        <v>0</v>
      </c>
      <c r="P11" s="1240">
        <v>20932</v>
      </c>
      <c r="Q11" s="1237">
        <v>35826</v>
      </c>
      <c r="R11" s="1237">
        <v>34543</v>
      </c>
      <c r="S11" s="1238">
        <v>0</v>
      </c>
      <c r="T11" s="1238">
        <v>0</v>
      </c>
      <c r="U11" s="1241">
        <v>0</v>
      </c>
      <c r="V11" s="1242"/>
      <c r="W11" s="1206"/>
      <c r="X11" s="1206"/>
      <c r="Y11" s="1634"/>
    </row>
    <row r="12" spans="1:102" s="957" customFormat="1">
      <c r="A12" s="1628" t="s">
        <v>1244</v>
      </c>
      <c r="B12" s="1629"/>
      <c r="C12" s="1653"/>
      <c r="D12" s="1243">
        <v>1439985</v>
      </c>
      <c r="E12" s="1244">
        <v>175770</v>
      </c>
      <c r="F12" s="1244">
        <v>200047</v>
      </c>
      <c r="G12" s="1245">
        <v>506992</v>
      </c>
      <c r="H12" s="1245">
        <v>160396</v>
      </c>
      <c r="I12" s="1244">
        <v>70491</v>
      </c>
      <c r="J12" s="1246">
        <v>92716</v>
      </c>
      <c r="K12" s="1244">
        <v>547649</v>
      </c>
      <c r="L12" s="1246">
        <v>135373</v>
      </c>
      <c r="M12" s="1244">
        <v>268148</v>
      </c>
      <c r="N12" s="1246">
        <v>834438</v>
      </c>
      <c r="O12" s="1244">
        <v>550000</v>
      </c>
      <c r="P12" s="1246">
        <v>158355</v>
      </c>
      <c r="Q12" s="1244">
        <v>473968</v>
      </c>
      <c r="R12" s="1244">
        <v>915457</v>
      </c>
      <c r="S12" s="1244">
        <v>230000</v>
      </c>
      <c r="T12" s="1244">
        <v>890000</v>
      </c>
      <c r="U12" s="1246">
        <v>1300000</v>
      </c>
      <c r="V12" s="1247"/>
      <c r="W12" s="1248"/>
      <c r="X12" s="1248"/>
      <c r="Y12" s="1635"/>
    </row>
    <row r="13" spans="1:102" s="957" customFormat="1">
      <c r="A13" s="1662" t="s">
        <v>1269</v>
      </c>
      <c r="B13" s="1663"/>
      <c r="C13" s="1664"/>
      <c r="D13" s="1249" t="e">
        <f>+D15+D11+D14</f>
        <v>#REF!</v>
      </c>
      <c r="E13" s="1249" t="e">
        <f t="shared" ref="E13:U13" si="0">+E15+E11+E14</f>
        <v>#REF!</v>
      </c>
      <c r="F13" s="1249" t="e">
        <f t="shared" si="0"/>
        <v>#REF!</v>
      </c>
      <c r="G13" s="1249" t="e">
        <f t="shared" si="0"/>
        <v>#REF!</v>
      </c>
      <c r="H13" s="1249" t="e">
        <f t="shared" si="0"/>
        <v>#REF!</v>
      </c>
      <c r="I13" s="1249" t="e">
        <f t="shared" si="0"/>
        <v>#REF!</v>
      </c>
      <c r="J13" s="1249" t="e">
        <f t="shared" si="0"/>
        <v>#REF!</v>
      </c>
      <c r="K13" s="1249" t="e">
        <f t="shared" si="0"/>
        <v>#REF!</v>
      </c>
      <c r="L13" s="1249" t="e">
        <f t="shared" si="0"/>
        <v>#REF!</v>
      </c>
      <c r="M13" s="1249" t="e">
        <f t="shared" si="0"/>
        <v>#REF!</v>
      </c>
      <c r="N13" s="1249" t="e">
        <f t="shared" si="0"/>
        <v>#REF!</v>
      </c>
      <c r="O13" s="1249" t="e">
        <f t="shared" si="0"/>
        <v>#REF!</v>
      </c>
      <c r="P13" s="1249" t="e">
        <f t="shared" si="0"/>
        <v>#REF!</v>
      </c>
      <c r="Q13" s="1249" t="e">
        <f t="shared" si="0"/>
        <v>#REF!</v>
      </c>
      <c r="R13" s="1249" t="e">
        <f t="shared" si="0"/>
        <v>#REF!</v>
      </c>
      <c r="S13" s="1249" t="e">
        <f t="shared" si="0"/>
        <v>#REF!</v>
      </c>
      <c r="T13" s="1249" t="e">
        <f t="shared" si="0"/>
        <v>#REF!</v>
      </c>
      <c r="U13" s="1249" t="e">
        <f t="shared" si="0"/>
        <v>#REF!</v>
      </c>
      <c r="V13" s="1250"/>
      <c r="W13" s="1250"/>
      <c r="X13" s="1250"/>
      <c r="Y13" s="1251"/>
    </row>
    <row r="14" spans="1:102" s="957" customFormat="1">
      <c r="A14" s="1650" t="s">
        <v>1464</v>
      </c>
      <c r="B14" s="1651"/>
      <c r="C14" s="1651"/>
      <c r="D14" s="1395" t="e">
        <f>+HLOOKUP(D1,'Acarreos Tramo 2 Fase I'!$D$1:$X$14,14,FALSE)</f>
        <v>#REF!</v>
      </c>
      <c r="E14" s="1395" t="e">
        <f>+HLOOKUP(E1,'Acarreos Tramo 2 Fase I'!$D$1:$X$14,14,FALSE)</f>
        <v>#REF!</v>
      </c>
      <c r="F14" s="1395" t="e">
        <f>+HLOOKUP(F1,'Acarreos Tramo 2 Fase I'!$D$1:$X$14,14,FALSE)</f>
        <v>#REF!</v>
      </c>
      <c r="G14" s="1395" t="e">
        <f>+HLOOKUP(G1,'Acarreos Tramo 2 Fase I'!$D$1:$X$14,14,FALSE)</f>
        <v>#REF!</v>
      </c>
      <c r="H14" s="1395" t="e">
        <f>+HLOOKUP(H1,'Acarreos Tramo 2 Fase I'!$D$1:$X$14,14,FALSE)</f>
        <v>#REF!</v>
      </c>
      <c r="I14" s="1395" t="e">
        <f>+HLOOKUP(I1,'Acarreos Tramo 2 Fase I'!$D$1:$X$14,14,FALSE)</f>
        <v>#REF!</v>
      </c>
      <c r="J14" s="1395" t="e">
        <f>+HLOOKUP(J1,'Acarreos Tramo 2 Fase I'!$D$1:$X$14,14,FALSE)</f>
        <v>#REF!</v>
      </c>
      <c r="K14" s="1395" t="e">
        <f>+HLOOKUP(K1,'Acarreos Tramo 2 Fase I'!$D$1:$X$14,14,FALSE)</f>
        <v>#REF!</v>
      </c>
      <c r="L14" s="1395" t="e">
        <f>+HLOOKUP(L1,'Acarreos Tramo 2 Fase I'!$D$1:$X$14,14,FALSE)</f>
        <v>#REF!</v>
      </c>
      <c r="M14" s="1395" t="e">
        <f>+HLOOKUP(M1,'Acarreos Tramo 2 Fase I'!$D$1:$X$14,14,FALSE)</f>
        <v>#REF!</v>
      </c>
      <c r="N14" s="1395" t="e">
        <f>+HLOOKUP(N1,'Acarreos Tramo 2 Fase I'!$D$1:$X$14,14,FALSE)</f>
        <v>#REF!</v>
      </c>
      <c r="O14" s="1395" t="e">
        <f>+HLOOKUP(O1,'Acarreos Tramo 2 Fase I'!$D$1:$X$14,14,FALSE)</f>
        <v>#REF!</v>
      </c>
      <c r="P14" s="1395" t="e">
        <f>+HLOOKUP(P1,'Acarreos Tramo 2 Fase I'!$D$1:$X$14,14,FALSE)</f>
        <v>#REF!</v>
      </c>
      <c r="Q14" s="1395" t="e">
        <f>+HLOOKUP(Q1,'Acarreos Tramo 2 Fase I'!$D$1:$X$14,14,FALSE)</f>
        <v>#REF!</v>
      </c>
      <c r="R14" s="1395" t="e">
        <f>+HLOOKUP(R1,'Acarreos Tramo 2 Fase I'!$D$1:$X$14,14,FALSE)</f>
        <v>#REF!</v>
      </c>
      <c r="S14" s="1395" t="e">
        <f>+HLOOKUP(S1,'Acarreos Tramo 2 Fase I'!$D$1:$X$14,14,FALSE)</f>
        <v>#REF!</v>
      </c>
      <c r="T14" s="1395" t="e">
        <f>+HLOOKUP(T1,'Acarreos Tramo 2 Fase I'!$D$1:$X$14,14,FALSE)</f>
        <v>#REF!</v>
      </c>
      <c r="U14" s="1395" t="e">
        <f>+HLOOKUP(U1,'Acarreos Tramo 2 Fase I'!$D$1:$X$14,14,FALSE)</f>
        <v>#REF!</v>
      </c>
      <c r="V14" s="1396"/>
      <c r="W14" s="1396"/>
      <c r="X14" s="1396"/>
      <c r="Y14" s="1251"/>
    </row>
    <row r="15" spans="1:102" s="957" customFormat="1">
      <c r="A15" s="1628" t="s">
        <v>1465</v>
      </c>
      <c r="B15" s="1629"/>
      <c r="C15" s="1629"/>
      <c r="D15" s="1252" t="e">
        <f>SUMIFS(D$24:D$111,$B$24:$B$111,"Terraplen")*#REF!+SUMIFS(D$24:D$111,$B$24:$B$111,"Coronas")*#REF!+SUMIFS(D$24:D$111,$B$24:$B$111,"Subbase/Base")*#REF!+SUMIFS(D$24:D$111,$B$24:$B$111,"Pavimento")*#REF!</f>
        <v>#REF!</v>
      </c>
      <c r="E15" s="1244" t="e">
        <f>SUMIFS(E$24:E$111,$B$24:$B$111,"Terraplen")*#REF!+SUMIFS(E$24:E$111,$B$24:$B$111,"Coronas")*#REF!+SUMIFS(E$24:E$111,$B$24:$B$111,"Subbase/Base")*#REF!+SUMIFS(E$24:E$111,$B$24:$B$111,"Pavimento")*#REF!</f>
        <v>#REF!</v>
      </c>
      <c r="F15" s="1244" t="e">
        <f>SUMIFS(F$24:F$111,$B$24:$B$111,"Terraplen")*#REF!+SUMIFS(F$24:F$111,$B$24:$B$111,"Coronas")*#REF!+SUMIFS(F$24:F$111,$B$24:$B$111,"Subbase/Base")*#REF!+SUMIFS(F$24:F$111,$B$24:$B$111,"Pavimento")*#REF!</f>
        <v>#REF!</v>
      </c>
      <c r="G15" s="1246" t="e">
        <f>SUMIFS(G$24:G$111,$B$24:$B$111,"Terraplen")*#REF!+SUMIFS(G$24:G$111,$B$24:$B$111,"Coronas")*#REF!+SUMIFS(G$24:G$111,$B$24:$B$111,"Subbase/Base")*#REF!+SUMIFS(G$24:G$111,$B$24:$B$111,"Pavimento")*#REF!</f>
        <v>#REF!</v>
      </c>
      <c r="H15" s="1246" t="e">
        <f>SUMIFS(H$24:H$111,$B$24:$B$111,"Terraplen")*#REF!+SUMIFS(H$24:H$111,$B$24:$B$111,"Coronas")*#REF!+SUMIFS(H$24:H$111,$B$24:$B$111,"Subbase/Base")*#REF!+SUMIFS(H$24:H$111,$B$24:$B$111,"Pavimento")*#REF!</f>
        <v>#REF!</v>
      </c>
      <c r="I15" s="1244" t="e">
        <f>SUMIFS(I$24:I$111,$B$24:$B$111,"Terraplen")*#REF!+SUMIFS(I$24:I$111,$B$24:$B$111,"Coronas")*#REF!+SUMIFS(I$24:I$111,$B$24:$B$111,"Subbase/Base")*#REF!+SUMIFS(I$24:I$111,$B$24:$B$111,"Pavimento")*#REF!</f>
        <v>#REF!</v>
      </c>
      <c r="J15" s="1246" t="e">
        <f>SUMIFS(J$24:J$111,$B$24:$B$111,"Terraplen")*#REF!+SUMIFS(J$24:J$111,$B$24:$B$111,"Coronas")*#REF!+SUMIFS(J$24:J$111,$B$24:$B$111,"Subbase/Base")*#REF!+SUMIFS(J$24:J$111,$B$24:$B$111,"Pavimento")*#REF!</f>
        <v>#REF!</v>
      </c>
      <c r="K15" s="1244" t="e">
        <f>SUMIFS(K$24:K$111,$B$24:$B$111,"Terraplen")*#REF!+SUMIFS(K$24:K$111,$B$24:$B$111,"Coronas")*#REF!+SUMIFS(K$24:K$111,$B$24:$B$111,"Subbase/Base")*#REF!+SUMIFS(K$24:K$111,$B$24:$B$111,"Pavimento")*#REF!</f>
        <v>#REF!</v>
      </c>
      <c r="L15" s="1246" t="e">
        <f>SUMIFS(L$24:L$111,$B$24:$B$111,"Terraplen")*#REF!+SUMIFS(L$24:L$111,$B$24:$B$111,"Coronas")*#REF!+SUMIFS(L$24:L$111,$B$24:$B$111,"Subbase/Base")*#REF!+SUMIFS(L$24:L$111,$B$24:$B$111,"Pavimento")*#REF!</f>
        <v>#REF!</v>
      </c>
      <c r="M15" s="1244" t="e">
        <f>SUMIFS(M$24:M$111,$B$24:$B$111,"Terraplen")*#REF!+SUMIFS(M$24:M$111,$B$24:$B$111,"Coronas")*#REF!+SUMIFS(M$24:M$111,$B$24:$B$111,"Subbase/Base")*#REF!+SUMIFS(M$24:M$111,$B$24:$B$111,"Pavimento")*#REF!</f>
        <v>#REF!</v>
      </c>
      <c r="N15" s="1246" t="e">
        <f>SUMIFS(N$24:N$111,$B$24:$B$111,"Terraplen")*#REF!+SUMIFS(N$24:N$111,$B$24:$B$111,"Coronas")*#REF!+SUMIFS(N$24:N$111,$B$24:$B$111,"Subbase/Base")*#REF!+SUMIFS(N$24:N$111,$B$24:$B$111,"Pavimento")*#REF!</f>
        <v>#REF!</v>
      </c>
      <c r="O15" s="1244" t="e">
        <f>SUMIFS(O$24:O$111,$B$24:$B$111,"Terraplen")*#REF!+SUMIFS(O$24:O$111,$B$24:$B$111,"Coronas")*#REF!+SUMIFS(O$24:O$111,$B$24:$B$111,"Subbase/Base")*#REF!+SUMIFS(O$24:O$111,$B$24:$B$111,"Pavimento")*#REF!</f>
        <v>#REF!</v>
      </c>
      <c r="P15" s="1246" t="e">
        <f>SUMIFS(P$24:P$111,$B$24:$B$111,"Terraplen")*#REF!+SUMIFS(P$24:P$111,$B$24:$B$111,"Coronas")*#REF!+SUMIFS(P$24:P$111,$B$24:$B$111,"Subbase/Base")*#REF!+SUMIFS(P$24:P$111,$B$24:$B$111,"Pavimento")*#REF!</f>
        <v>#REF!</v>
      </c>
      <c r="Q15" s="1244" t="e">
        <f>SUMIFS(Q$24:Q$111,$B$24:$B$111,"Terraplen")*#REF!+SUMIFS(Q$24:Q$111,$B$24:$B$111,"Coronas")*#REF!+SUMIFS(Q$24:Q$111,$B$24:$B$111,"Subbase/Base")*#REF!+SUMIFS(Q$24:Q$111,$B$24:$B$111,"Pavimento")*#REF!</f>
        <v>#REF!</v>
      </c>
      <c r="R15" s="1244" t="e">
        <f>SUMIFS(R$24:R$111,$B$24:$B$111,"Terraplen")*#REF!+SUMIFS(R$24:R$111,$B$24:$B$111,"Coronas")*#REF!+SUMIFS(R$24:R$111,$B$24:$B$111,"Subbase/Base")*#REF!+SUMIFS(R$24:R$111,$B$24:$B$111,"Pavimento")*#REF!</f>
        <v>#REF!</v>
      </c>
      <c r="S15" s="1244" t="e">
        <f>SUMIFS(S$24:S$111,$B$24:$B$111,"Terraplen")*#REF!+SUMIFS(S$24:S$111,$B$24:$B$111,"Coronas")*#REF!+SUMIFS(S$24:S$111,$B$24:$B$111,"Subbase/Base")*#REF!+SUMIFS(S$24:S$111,$B$24:$B$111,"Pavimento")*#REF!</f>
        <v>#REF!</v>
      </c>
      <c r="T15" s="1244" t="e">
        <f>SUMIFS(T$24:T$111,$B$24:$B$111,"Terraplen")*#REF!+SUMIFS(T$24:T$111,$B$24:$B$111,"Coronas")*#REF!+SUMIFS(T$24:T$111,$B$24:$B$111,"Subbase/Base")*#REF!+SUMIFS(T$24:T$111,$B$24:$B$111,"Pavimento")*#REF!</f>
        <v>#REF!</v>
      </c>
      <c r="U15" s="1246" t="e">
        <f>SUMIFS(U$24:U$111,$B$24:$B$111,"Terraplen")*#REF!+SUMIFS(U$24:U$111,$B$24:$B$111,"Coronas")*#REF!+SUMIFS(U$24:U$111,$B$24:$B$111,"Subbase/Base")*#REF!+SUMIFS(U$24:U$111,$B$24:$B$111,"Pavimento")*#REF!</f>
        <v>#REF!</v>
      </c>
      <c r="V15" s="1247"/>
      <c r="W15" s="1247"/>
      <c r="X15" s="1247"/>
      <c r="Y15" s="1251"/>
    </row>
    <row r="16" spans="1:102">
      <c r="A16" s="1253" t="s">
        <v>1247</v>
      </c>
      <c r="B16" s="1310"/>
      <c r="C16" s="1255" t="s">
        <v>1265</v>
      </c>
      <c r="D16" s="1311"/>
      <c r="E16" s="1257"/>
      <c r="F16" s="1257"/>
      <c r="G16" s="1257"/>
      <c r="H16" s="1257"/>
      <c r="I16" s="1257"/>
      <c r="J16" s="1257"/>
      <c r="K16" s="1257"/>
      <c r="L16" s="1257"/>
      <c r="M16" s="1257"/>
      <c r="N16" s="1257"/>
      <c r="O16" s="1257"/>
      <c r="P16" s="1257"/>
      <c r="Q16" s="1257"/>
      <c r="R16" s="1257"/>
      <c r="S16" s="1257"/>
      <c r="T16" s="1257"/>
      <c r="U16" s="1257"/>
      <c r="V16" s="1258"/>
      <c r="W16" s="1258"/>
      <c r="X16" s="1258"/>
      <c r="Y16" s="1259"/>
      <c r="Z16" s="1260"/>
      <c r="AA16" s="1260"/>
      <c r="AB16" s="1260"/>
      <c r="AC16" s="1260"/>
      <c r="AD16" s="1260"/>
      <c r="AE16" s="1260"/>
      <c r="AF16" s="1260"/>
      <c r="AG16" s="1260"/>
      <c r="AH16" s="1260"/>
      <c r="AI16" s="1260"/>
      <c r="AJ16" s="1260"/>
      <c r="AK16" s="1260"/>
      <c r="AL16" s="1260"/>
      <c r="AM16" s="1260"/>
      <c r="AN16" s="1260"/>
      <c r="AO16" s="1260"/>
      <c r="AP16" s="1260"/>
      <c r="AQ16" s="1260"/>
      <c r="AR16" s="1260"/>
      <c r="AS16" s="1260"/>
      <c r="AT16" s="1260"/>
      <c r="AU16" s="1260"/>
      <c r="AV16" s="1260"/>
      <c r="AW16" s="1260"/>
      <c r="AX16" s="1260"/>
      <c r="AY16" s="1260"/>
      <c r="AZ16" s="1260"/>
      <c r="BA16" s="1260"/>
      <c r="BB16" s="1260"/>
      <c r="BC16" s="1260"/>
      <c r="BD16" s="1260"/>
      <c r="BE16" s="1260"/>
      <c r="BF16" s="1260"/>
      <c r="BG16" s="1260"/>
      <c r="BH16" s="1260"/>
      <c r="BI16" s="1260"/>
      <c r="BJ16" s="1260"/>
      <c r="BK16" s="1260"/>
      <c r="BL16" s="1260"/>
      <c r="BM16" s="1260"/>
      <c r="BN16" s="1260"/>
      <c r="BO16" s="1260"/>
      <c r="BP16" s="1260"/>
      <c r="BQ16" s="1260"/>
      <c r="BR16" s="1260"/>
      <c r="BS16" s="1260"/>
      <c r="BT16" s="1260"/>
      <c r="BU16" s="1260"/>
      <c r="BV16" s="1260"/>
      <c r="BW16" s="1260"/>
      <c r="BX16" s="1260"/>
      <c r="BY16" s="1260"/>
      <c r="BZ16" s="1260"/>
      <c r="CA16" s="1260"/>
      <c r="CB16" s="1260"/>
      <c r="CC16" s="1260"/>
      <c r="CD16" s="1260"/>
      <c r="CE16" s="1260"/>
      <c r="CF16" s="1260"/>
      <c r="CG16" s="1260"/>
      <c r="CH16" s="1260"/>
      <c r="CI16" s="1260"/>
      <c r="CJ16" s="1260"/>
      <c r="CK16" s="1260"/>
      <c r="CL16" s="1260"/>
      <c r="CM16" s="1260"/>
      <c r="CN16" s="1260"/>
      <c r="CO16" s="1260"/>
      <c r="CP16" s="1260"/>
      <c r="CQ16" s="1260"/>
      <c r="CR16" s="1260"/>
      <c r="CS16" s="1260"/>
      <c r="CT16" s="1260"/>
      <c r="CU16" s="1260"/>
      <c r="CV16" s="1260"/>
      <c r="CW16" s="1260"/>
      <c r="CX16" s="1260"/>
    </row>
    <row r="17" spans="1:102">
      <c r="A17" s="1261" t="s">
        <v>1227</v>
      </c>
      <c r="B17" s="1262"/>
      <c r="C17" s="1263">
        <v>4510</v>
      </c>
      <c r="D17" s="1264"/>
      <c r="E17" s="1265"/>
      <c r="F17" s="1265"/>
      <c r="G17" s="1265"/>
      <c r="H17" s="1265"/>
      <c r="I17" s="1265"/>
      <c r="J17" s="1265"/>
      <c r="K17" s="1265"/>
      <c r="L17" s="1265"/>
      <c r="M17" s="1265"/>
      <c r="N17" s="1265"/>
      <c r="O17" s="1265"/>
      <c r="P17" s="1265"/>
      <c r="Q17" s="1265"/>
      <c r="R17" s="1265"/>
      <c r="S17" s="1265"/>
      <c r="T17" s="1265"/>
      <c r="U17" s="1265"/>
      <c r="V17" s="1266"/>
      <c r="W17" s="1266"/>
      <c r="X17" s="1266"/>
      <c r="Y17" s="1259"/>
      <c r="Z17" s="1260"/>
      <c r="AA17" s="1260"/>
      <c r="AB17" s="1260"/>
      <c r="AC17" s="1260"/>
      <c r="AD17" s="1260"/>
      <c r="AE17" s="1260"/>
      <c r="AF17" s="1260"/>
      <c r="AG17" s="1260"/>
      <c r="AH17" s="1260"/>
      <c r="AI17" s="1260"/>
      <c r="AJ17" s="1260"/>
      <c r="AK17" s="1260"/>
      <c r="AL17" s="1260"/>
      <c r="AM17" s="1260"/>
      <c r="AN17" s="1260"/>
      <c r="AO17" s="1260"/>
      <c r="AP17" s="1260"/>
      <c r="AQ17" s="1260"/>
      <c r="AR17" s="1260"/>
      <c r="AS17" s="1260"/>
      <c r="AT17" s="1260"/>
      <c r="AU17" s="1260"/>
      <c r="AV17" s="1260"/>
      <c r="AW17" s="1260"/>
      <c r="AX17" s="1260"/>
      <c r="AY17" s="1260"/>
      <c r="AZ17" s="1260"/>
      <c r="BA17" s="1260"/>
      <c r="BB17" s="1260"/>
      <c r="BC17" s="1260"/>
      <c r="BD17" s="1260"/>
      <c r="BE17" s="1260"/>
      <c r="BF17" s="1260"/>
      <c r="BG17" s="1260"/>
      <c r="BH17" s="1260"/>
      <c r="BI17" s="1260"/>
      <c r="BJ17" s="1260"/>
      <c r="BK17" s="1260"/>
      <c r="BL17" s="1260"/>
      <c r="BM17" s="1260"/>
      <c r="BN17" s="1260"/>
      <c r="BO17" s="1260"/>
      <c r="BP17" s="1260"/>
      <c r="BQ17" s="1260"/>
      <c r="BR17" s="1260"/>
      <c r="BS17" s="1260"/>
      <c r="BT17" s="1260"/>
      <c r="BU17" s="1260"/>
      <c r="BV17" s="1260"/>
      <c r="BW17" s="1260"/>
      <c r="BX17" s="1260"/>
      <c r="BY17" s="1260"/>
      <c r="BZ17" s="1260"/>
      <c r="CA17" s="1260"/>
      <c r="CB17" s="1260"/>
      <c r="CC17" s="1260"/>
      <c r="CD17" s="1260"/>
      <c r="CE17" s="1260"/>
      <c r="CF17" s="1260"/>
      <c r="CG17" s="1260"/>
      <c r="CH17" s="1260"/>
      <c r="CI17" s="1260"/>
      <c r="CJ17" s="1260"/>
      <c r="CK17" s="1260"/>
      <c r="CL17" s="1260"/>
      <c r="CM17" s="1260"/>
      <c r="CN17" s="1260"/>
      <c r="CO17" s="1260"/>
      <c r="CP17" s="1260"/>
      <c r="CQ17" s="1260"/>
      <c r="CR17" s="1260"/>
      <c r="CS17" s="1260"/>
      <c r="CT17" s="1260"/>
      <c r="CU17" s="1260"/>
      <c r="CV17" s="1260"/>
      <c r="CW17" s="1260"/>
      <c r="CX17" s="1260"/>
    </row>
    <row r="18" spans="1:102">
      <c r="A18" s="1622" t="s">
        <v>1249</v>
      </c>
      <c r="B18" s="1267" t="s">
        <v>1250</v>
      </c>
      <c r="C18" s="1268">
        <v>128380</v>
      </c>
      <c r="D18" s="1269"/>
      <c r="E18" s="1270"/>
      <c r="F18" s="1270"/>
      <c r="G18" s="1270"/>
      <c r="H18" s="1270"/>
      <c r="I18" s="1270"/>
      <c r="J18" s="1270"/>
      <c r="K18" s="1270"/>
      <c r="L18" s="1270"/>
      <c r="M18" s="1270"/>
      <c r="N18" s="1270"/>
      <c r="O18" s="1270"/>
      <c r="P18" s="1270"/>
      <c r="Q18" s="1270"/>
      <c r="R18" s="1270"/>
      <c r="S18" s="1270"/>
      <c r="T18" s="1270"/>
      <c r="U18" s="1270"/>
      <c r="V18" s="1271"/>
      <c r="W18" s="1271"/>
      <c r="X18" s="1271"/>
      <c r="Y18" s="1259"/>
      <c r="Z18" s="1260"/>
      <c r="AA18" s="1260"/>
      <c r="AB18" s="1260"/>
      <c r="AC18" s="1260"/>
      <c r="AD18" s="1260"/>
      <c r="AE18" s="1260"/>
      <c r="AF18" s="1260"/>
      <c r="AG18" s="1260"/>
      <c r="AH18" s="1260"/>
      <c r="AI18" s="1260"/>
      <c r="AJ18" s="1260"/>
      <c r="AK18" s="1260"/>
      <c r="AL18" s="1260"/>
      <c r="AM18" s="1260"/>
      <c r="AN18" s="1260"/>
      <c r="AO18" s="1260"/>
      <c r="AP18" s="1260"/>
      <c r="AQ18" s="1260"/>
      <c r="AR18" s="1260"/>
      <c r="AS18" s="1260"/>
      <c r="AT18" s="1260"/>
      <c r="AU18" s="1260"/>
      <c r="AV18" s="1260"/>
      <c r="AW18" s="1260"/>
      <c r="AX18" s="1260"/>
      <c r="AY18" s="1260"/>
      <c r="AZ18" s="1260"/>
      <c r="BA18" s="1260"/>
      <c r="BB18" s="1260"/>
      <c r="BC18" s="1260"/>
      <c r="BD18" s="1260"/>
      <c r="BE18" s="1260"/>
      <c r="BF18" s="1260"/>
      <c r="BG18" s="1260"/>
      <c r="BH18" s="1260"/>
      <c r="BI18" s="1260"/>
      <c r="BJ18" s="1260"/>
      <c r="BK18" s="1260"/>
      <c r="BL18" s="1260"/>
      <c r="BM18" s="1260"/>
      <c r="BN18" s="1260"/>
      <c r="BO18" s="1260"/>
      <c r="BP18" s="1260"/>
      <c r="BQ18" s="1260"/>
      <c r="BR18" s="1260"/>
      <c r="BS18" s="1260"/>
      <c r="BT18" s="1260"/>
      <c r="BU18" s="1260"/>
      <c r="BV18" s="1260"/>
      <c r="BW18" s="1260"/>
      <c r="BX18" s="1260"/>
      <c r="BY18" s="1260"/>
      <c r="BZ18" s="1260"/>
      <c r="CA18" s="1260"/>
      <c r="CB18" s="1260"/>
      <c r="CC18" s="1260"/>
      <c r="CD18" s="1260"/>
      <c r="CE18" s="1260"/>
      <c r="CF18" s="1260"/>
      <c r="CG18" s="1260"/>
      <c r="CH18" s="1260"/>
      <c r="CI18" s="1260"/>
      <c r="CJ18" s="1260"/>
      <c r="CK18" s="1260"/>
      <c r="CL18" s="1260"/>
      <c r="CM18" s="1260"/>
      <c r="CN18" s="1260"/>
      <c r="CO18" s="1260"/>
      <c r="CP18" s="1260"/>
      <c r="CQ18" s="1260"/>
      <c r="CR18" s="1260"/>
      <c r="CS18" s="1260"/>
      <c r="CT18" s="1260"/>
      <c r="CU18" s="1260"/>
      <c r="CV18" s="1260"/>
      <c r="CW18" s="1260"/>
      <c r="CX18" s="1260"/>
    </row>
    <row r="19" spans="1:102">
      <c r="A19" s="1622"/>
      <c r="B19" s="1267" t="s">
        <v>1251</v>
      </c>
      <c r="C19" s="1268">
        <v>129550</v>
      </c>
      <c r="D19" s="1269"/>
      <c r="E19" s="1270"/>
      <c r="F19" s="1270"/>
      <c r="G19" s="1270"/>
      <c r="H19" s="1270"/>
      <c r="I19" s="1270"/>
      <c r="J19" s="1270"/>
      <c r="K19" s="1270"/>
      <c r="L19" s="1270"/>
      <c r="M19" s="1270"/>
      <c r="N19" s="1270"/>
      <c r="O19" s="1270"/>
      <c r="P19" s="1270"/>
      <c r="Q19" s="1270"/>
      <c r="R19" s="1270"/>
      <c r="S19" s="1270"/>
      <c r="T19" s="1270"/>
      <c r="U19" s="1270"/>
      <c r="V19" s="1271"/>
      <c r="W19" s="1271"/>
      <c r="X19" s="1271"/>
      <c r="Y19" s="1270"/>
    </row>
    <row r="20" spans="1:102">
      <c r="A20" s="1272" t="s">
        <v>1252</v>
      </c>
      <c r="B20" s="1273"/>
      <c r="C20" s="1268">
        <f>+(C19-C18)/2+C18</f>
        <v>128965</v>
      </c>
      <c r="D20" s="1269"/>
      <c r="E20" s="1270"/>
      <c r="F20" s="1270"/>
      <c r="G20" s="1270"/>
      <c r="H20" s="1270"/>
      <c r="I20" s="1270"/>
      <c r="J20" s="1270"/>
      <c r="K20" s="1270"/>
      <c r="L20" s="1270"/>
      <c r="M20" s="1270"/>
      <c r="N20" s="1270"/>
      <c r="O20" s="1270"/>
      <c r="P20" s="1270"/>
      <c r="Q20" s="1270"/>
      <c r="R20" s="1270"/>
      <c r="S20" s="1270"/>
      <c r="T20" s="1270"/>
      <c r="U20" s="1270"/>
      <c r="V20" s="1271"/>
      <c r="W20" s="1271"/>
      <c r="X20" s="1271"/>
      <c r="Y20" s="1270"/>
    </row>
    <row r="21" spans="1:102">
      <c r="A21" s="1272" t="s">
        <v>1253</v>
      </c>
      <c r="B21" s="1273"/>
      <c r="C21" s="1274"/>
      <c r="D21" s="1275">
        <f>IF(D23&gt;D22,(D23-D22)+D$2+D$3,(D22-D23)+D$2+D$4)/1000</f>
        <v>45.265000000000001</v>
      </c>
      <c r="E21" s="1276">
        <f t="shared" ref="E21:G21" si="1">IF(E23&gt;E22,(E23-E22)+E$2+E$3,(E22-E23)+E$2+E$4)/1000</f>
        <v>40.884999999999998</v>
      </c>
      <c r="F21" s="1276">
        <f t="shared" si="1"/>
        <v>39.055</v>
      </c>
      <c r="G21" s="1276">
        <f t="shared" si="1"/>
        <v>30.567</v>
      </c>
      <c r="H21" s="1276">
        <f>IF(H23&gt;H22,(H23-H22)+H$2*1000+H$3*1000,(H22-H23)+H$2*1000+H$4*1000)/1000</f>
        <v>33.564999999999998</v>
      </c>
      <c r="I21" s="1276">
        <f t="shared" ref="I21:X21" si="2">IF(I23&gt;I22,(I23-I22)+I$2*1000+I$3*1000,(I22-I23)+I$2*1000+I$4*1000)/1000</f>
        <v>23.191000000000013</v>
      </c>
      <c r="J21" s="1276">
        <f t="shared" si="2"/>
        <v>12.465</v>
      </c>
      <c r="K21" s="1276">
        <f t="shared" si="2"/>
        <v>20.055</v>
      </c>
      <c r="L21" s="1276">
        <f t="shared" si="2"/>
        <v>7.0129999999999999</v>
      </c>
      <c r="M21" s="1276">
        <f t="shared" si="2"/>
        <v>26.772999999999996</v>
      </c>
      <c r="N21" s="1276">
        <f t="shared" si="2"/>
        <v>46.399000000000001</v>
      </c>
      <c r="O21" s="1276">
        <f t="shared" si="2"/>
        <v>37.863</v>
      </c>
      <c r="P21" s="1276">
        <f t="shared" si="2"/>
        <v>41.662999999999997</v>
      </c>
      <c r="Q21" s="1276">
        <f t="shared" si="2"/>
        <v>48.353000000000016</v>
      </c>
      <c r="R21" s="1276">
        <f t="shared" si="2"/>
        <v>48.363</v>
      </c>
      <c r="S21" s="1276">
        <f t="shared" si="2"/>
        <v>54.363</v>
      </c>
      <c r="T21" s="1276">
        <f t="shared" si="2"/>
        <v>55.363</v>
      </c>
      <c r="U21" s="1276">
        <f t="shared" si="2"/>
        <v>60.363</v>
      </c>
      <c r="V21" s="1277">
        <f t="shared" si="2"/>
        <v>7.0129999999999999</v>
      </c>
      <c r="W21" s="1277">
        <f t="shared" si="2"/>
        <v>48.363</v>
      </c>
      <c r="X21" s="1277">
        <f t="shared" si="2"/>
        <v>30.565000000000001</v>
      </c>
      <c r="Y21" s="1270"/>
    </row>
    <row r="22" spans="1:102">
      <c r="A22" s="1278" t="s">
        <v>1254</v>
      </c>
      <c r="B22" s="1279"/>
      <c r="C22" s="1280"/>
      <c r="D22" s="1200">
        <f>+IF($C17=4510,IF(D$6=4510,$C20,$C20),IF(D$6=4511,$C20+134328,134328+$C20))</f>
        <v>128965</v>
      </c>
      <c r="E22" s="1200">
        <f t="shared" ref="E22:X22" si="3">+IF($C17=4510,IF(E$6=4510,$C20,$C20),IF(E$6=4511,$C20+134328,134328+$C20))</f>
        <v>128965</v>
      </c>
      <c r="F22" s="1200">
        <f t="shared" si="3"/>
        <v>128965</v>
      </c>
      <c r="G22" s="1200">
        <f t="shared" si="3"/>
        <v>128965</v>
      </c>
      <c r="H22" s="1200">
        <f t="shared" si="3"/>
        <v>128965</v>
      </c>
      <c r="I22" s="1200">
        <f t="shared" si="3"/>
        <v>128965</v>
      </c>
      <c r="J22" s="1200">
        <f t="shared" si="3"/>
        <v>128965</v>
      </c>
      <c r="K22" s="1200">
        <f t="shared" si="3"/>
        <v>128965</v>
      </c>
      <c r="L22" s="1200">
        <f t="shared" si="3"/>
        <v>128965</v>
      </c>
      <c r="M22" s="1200">
        <f t="shared" si="3"/>
        <v>128965</v>
      </c>
      <c r="N22" s="1200">
        <f t="shared" si="3"/>
        <v>128965</v>
      </c>
      <c r="O22" s="1200">
        <f t="shared" si="3"/>
        <v>128965</v>
      </c>
      <c r="P22" s="1200">
        <f t="shared" si="3"/>
        <v>128965</v>
      </c>
      <c r="Q22" s="1200">
        <f t="shared" si="3"/>
        <v>128965</v>
      </c>
      <c r="R22" s="1200">
        <f t="shared" si="3"/>
        <v>128965</v>
      </c>
      <c r="S22" s="1200">
        <f t="shared" si="3"/>
        <v>128965</v>
      </c>
      <c r="T22" s="1200">
        <f t="shared" si="3"/>
        <v>128965</v>
      </c>
      <c r="U22" s="1200">
        <f t="shared" si="3"/>
        <v>128965</v>
      </c>
      <c r="V22" s="1281">
        <f t="shared" si="3"/>
        <v>128965</v>
      </c>
      <c r="W22" s="1281">
        <f t="shared" si="3"/>
        <v>128965</v>
      </c>
      <c r="X22" s="1281">
        <f t="shared" si="3"/>
        <v>128965</v>
      </c>
      <c r="Y22" s="1270"/>
    </row>
    <row r="23" spans="1:102">
      <c r="A23" s="1278" t="s">
        <v>1255</v>
      </c>
      <c r="B23" s="1279"/>
      <c r="C23" s="1280"/>
      <c r="D23" s="1200">
        <f>+IF($C17=4510,IF(D$6=4510,D$5,D$5+134328),IF(D$6=4511,D$5+134328,D$5))</f>
        <v>83700</v>
      </c>
      <c r="E23" s="1200">
        <f t="shared" ref="E23:X23" si="4">+IF($C17=4510,IF(E$6=4510,E$5,E$5+134328),IF(E$6=4511,E$5+134328,E$5))</f>
        <v>88080</v>
      </c>
      <c r="F23" s="1200">
        <f t="shared" si="4"/>
        <v>89910</v>
      </c>
      <c r="G23" s="1200">
        <f t="shared" si="4"/>
        <v>98400</v>
      </c>
      <c r="H23" s="1200">
        <f t="shared" si="4"/>
        <v>98400</v>
      </c>
      <c r="I23" s="1200">
        <f t="shared" si="4"/>
        <v>113610</v>
      </c>
      <c r="J23" s="1200">
        <f t="shared" si="4"/>
        <v>116500</v>
      </c>
      <c r="K23" s="1200">
        <f t="shared" si="4"/>
        <v>108910</v>
      </c>
      <c r="L23" s="1200">
        <f t="shared" si="4"/>
        <v>135978</v>
      </c>
      <c r="M23" s="1200">
        <f t="shared" si="4"/>
        <v>154828</v>
      </c>
      <c r="N23" s="1200">
        <f t="shared" si="4"/>
        <v>156528</v>
      </c>
      <c r="O23" s="1200">
        <f t="shared" si="4"/>
        <v>166828</v>
      </c>
      <c r="P23" s="1200">
        <f t="shared" si="4"/>
        <v>170628</v>
      </c>
      <c r="Q23" s="1200">
        <f t="shared" si="4"/>
        <v>173628</v>
      </c>
      <c r="R23" s="1200">
        <f t="shared" si="4"/>
        <v>177328</v>
      </c>
      <c r="S23" s="1200">
        <f t="shared" si="4"/>
        <v>183328</v>
      </c>
      <c r="T23" s="1200">
        <f t="shared" si="4"/>
        <v>184328</v>
      </c>
      <c r="U23" s="1200">
        <f t="shared" si="4"/>
        <v>189328</v>
      </c>
      <c r="V23" s="1281">
        <f t="shared" si="4"/>
        <v>135978</v>
      </c>
      <c r="W23" s="1281">
        <f t="shared" si="4"/>
        <v>177328</v>
      </c>
      <c r="X23" s="1281">
        <f t="shared" si="4"/>
        <v>98400</v>
      </c>
      <c r="Y23" s="1270"/>
    </row>
    <row r="24" spans="1:102" ht="15" customHeight="1">
      <c r="A24" s="1625" t="s">
        <v>1256</v>
      </c>
      <c r="B24" s="1267" t="s">
        <v>1257</v>
      </c>
      <c r="C24" s="1282"/>
      <c r="D24" s="1236"/>
      <c r="E24" s="1237"/>
      <c r="F24" s="1237"/>
      <c r="G24" s="1237"/>
      <c r="H24" s="1237"/>
      <c r="I24" s="1237"/>
      <c r="J24" s="1237"/>
      <c r="K24" s="1237"/>
      <c r="L24" s="1237"/>
      <c r="M24" s="1237"/>
      <c r="N24" s="1237"/>
      <c r="O24" s="1237"/>
      <c r="P24" s="1237"/>
      <c r="Q24" s="1237"/>
      <c r="R24" s="1237"/>
      <c r="S24" s="1237"/>
      <c r="T24" s="1237"/>
      <c r="U24" s="1237"/>
      <c r="V24" s="1283"/>
      <c r="W24" s="1283"/>
      <c r="X24" s="1283"/>
      <c r="Y24" s="1284">
        <f>+SUMPRODUCT(D24:X24,D21:X21)</f>
        <v>0</v>
      </c>
      <c r="Z24" s="1236" t="e">
        <f>$C24*#REF!*#REF!</f>
        <v>#REF!</v>
      </c>
    </row>
    <row r="25" spans="1:102">
      <c r="A25" s="1626"/>
      <c r="B25" s="1267" t="s">
        <v>1258</v>
      </c>
      <c r="C25" s="1282"/>
      <c r="D25" s="1236"/>
      <c r="E25" s="1237"/>
      <c r="F25" s="1237"/>
      <c r="G25" s="1237"/>
      <c r="H25" s="1237"/>
      <c r="I25" s="1237"/>
      <c r="J25" s="1237"/>
      <c r="K25" s="1237"/>
      <c r="L25" s="1237"/>
      <c r="M25" s="1237"/>
      <c r="N25" s="1237"/>
      <c r="O25" s="1237"/>
      <c r="P25" s="1237"/>
      <c r="Q25" s="1237"/>
      <c r="R25" s="1237"/>
      <c r="S25" s="1237"/>
      <c r="T25" s="1237"/>
      <c r="U25" s="1237"/>
      <c r="V25" s="1283"/>
      <c r="W25" s="1283"/>
      <c r="X25" s="1283"/>
      <c r="Y25" s="1284">
        <f>+SUMPRODUCT(D25:X25,D21:X21)</f>
        <v>0</v>
      </c>
      <c r="Z25" s="1236" t="e">
        <f>$C25*#REF!*#REF!</f>
        <v>#REF!</v>
      </c>
    </row>
    <row r="26" spans="1:102">
      <c r="A26" s="1626"/>
      <c r="B26" s="1267" t="s">
        <v>1259</v>
      </c>
      <c r="C26" s="1282"/>
      <c r="D26" s="1236"/>
      <c r="E26" s="1237"/>
      <c r="F26" s="1237"/>
      <c r="G26" s="1237"/>
      <c r="H26" s="1237"/>
      <c r="I26" s="1237"/>
      <c r="J26" s="1237"/>
      <c r="K26" s="1237"/>
      <c r="L26" s="1237"/>
      <c r="M26" s="1237"/>
      <c r="N26" s="1237"/>
      <c r="O26" s="1237"/>
      <c r="P26" s="1237"/>
      <c r="Q26" s="1237"/>
      <c r="R26" s="1237"/>
      <c r="S26" s="1237"/>
      <c r="T26" s="1237"/>
      <c r="U26" s="1237"/>
      <c r="V26" s="1283"/>
      <c r="W26" s="1283"/>
      <c r="X26" s="1283"/>
      <c r="Y26" s="1284">
        <f>+SUMPRODUCT(D26:X26,D21:X21)</f>
        <v>0</v>
      </c>
      <c r="Z26" s="1236" t="e">
        <f>+$C26*#REF!*#REF!</f>
        <v>#REF!</v>
      </c>
    </row>
    <row r="27" spans="1:102">
      <c r="A27" s="1626"/>
      <c r="B27" s="1267" t="s">
        <v>1260</v>
      </c>
      <c r="C27" s="1282"/>
      <c r="D27" s="1236"/>
      <c r="E27" s="1237"/>
      <c r="F27" s="1237"/>
      <c r="G27" s="1237"/>
      <c r="H27" s="1237"/>
      <c r="I27" s="1237"/>
      <c r="J27" s="1237"/>
      <c r="K27" s="1237"/>
      <c r="L27" s="1237"/>
      <c r="M27" s="1237"/>
      <c r="N27" s="1237"/>
      <c r="O27" s="1237"/>
      <c r="P27" s="1237"/>
      <c r="Q27" s="1237"/>
      <c r="R27" s="1237"/>
      <c r="S27" s="1237"/>
      <c r="T27" s="1237"/>
      <c r="U27" s="1237"/>
      <c r="V27" s="1283"/>
      <c r="W27" s="1283"/>
      <c r="X27" s="1283"/>
      <c r="Y27" s="1284">
        <f>+SUMPRODUCT(D27:X27,D21:X21)</f>
        <v>0</v>
      </c>
      <c r="Z27" s="1236" t="e">
        <f>+$C27*#REF!*#REF!</f>
        <v>#REF!</v>
      </c>
    </row>
    <row r="28" spans="1:102">
      <c r="A28" s="1626"/>
      <c r="B28" s="1267" t="s">
        <v>1261</v>
      </c>
      <c r="C28" s="1282"/>
      <c r="D28" s="1236"/>
      <c r="E28" s="1237"/>
      <c r="F28" s="1237"/>
      <c r="G28" s="1237"/>
      <c r="H28" s="1237"/>
      <c r="I28" s="1237"/>
      <c r="J28" s="1237"/>
      <c r="K28" s="1237"/>
      <c r="L28" s="1237"/>
      <c r="M28" s="1237"/>
      <c r="N28" s="1237"/>
      <c r="O28" s="1237"/>
      <c r="P28" s="1237"/>
      <c r="Q28" s="1237"/>
      <c r="R28" s="1237"/>
      <c r="S28" s="1237"/>
      <c r="T28" s="1237"/>
      <c r="U28" s="1237"/>
      <c r="V28" s="1283"/>
      <c r="W28" s="1283"/>
      <c r="X28" s="1283"/>
      <c r="Y28" s="1284">
        <f>+SUMPRODUCT(D28:X28,D21:X21)</f>
        <v>0</v>
      </c>
      <c r="Z28" s="1243" t="e">
        <f>+$C28*#REF!*#REF!</f>
        <v>#REF!</v>
      </c>
    </row>
    <row r="29" spans="1:102" s="1186" customFormat="1">
      <c r="A29" s="1627"/>
      <c r="B29" s="1285" t="s">
        <v>1262</v>
      </c>
      <c r="C29" s="1286"/>
      <c r="D29" s="1287"/>
      <c r="E29" s="1246"/>
      <c r="F29" s="1246"/>
      <c r="G29" s="1246"/>
      <c r="H29" s="1246"/>
      <c r="I29" s="1246"/>
      <c r="J29" s="1246"/>
      <c r="K29" s="1246"/>
      <c r="L29" s="1246"/>
      <c r="M29" s="1246"/>
      <c r="N29" s="1246"/>
      <c r="O29" s="1246"/>
      <c r="P29" s="1246"/>
      <c r="Q29" s="1246"/>
      <c r="R29" s="1246"/>
      <c r="S29" s="1246"/>
      <c r="T29" s="1246"/>
      <c r="U29" s="1246"/>
      <c r="V29" s="1247"/>
      <c r="W29" s="1247"/>
      <c r="X29" s="1247"/>
      <c r="Y29" s="1245">
        <f>+SUMPRODUCT($D29:X29,$D21:X21)</f>
        <v>0</v>
      </c>
      <c r="Z29" s="1287" t="e">
        <f>+$C29*#REF!</f>
        <v>#REF!</v>
      </c>
    </row>
    <row r="30" spans="1:102">
      <c r="A30" s="1288" t="s">
        <v>1247</v>
      </c>
      <c r="B30" s="1289"/>
      <c r="C30" s="1290" t="s">
        <v>1466</v>
      </c>
      <c r="D30" s="1264"/>
      <c r="E30" s="1265"/>
      <c r="F30" s="1265"/>
      <c r="G30" s="1265"/>
      <c r="H30" s="1265"/>
      <c r="I30" s="1265"/>
      <c r="J30" s="1265"/>
      <c r="K30" s="1265"/>
      <c r="L30" s="1265"/>
      <c r="M30" s="1265"/>
      <c r="N30" s="1265"/>
      <c r="O30" s="1265"/>
      <c r="P30" s="1265"/>
      <c r="Q30" s="1265"/>
      <c r="R30" s="1265"/>
      <c r="S30" s="1265"/>
      <c r="T30" s="1265"/>
      <c r="U30" s="1265"/>
      <c r="V30" s="1266"/>
      <c r="W30" s="1266"/>
      <c r="X30" s="1266"/>
      <c r="Y30" s="1291"/>
      <c r="Z30" s="1260"/>
      <c r="AA30" s="1260"/>
      <c r="AB30" s="1260"/>
      <c r="AC30" s="1260"/>
      <c r="AD30" s="1260"/>
      <c r="AE30" s="1260"/>
      <c r="AF30" s="1260"/>
      <c r="AG30" s="1260"/>
      <c r="AH30" s="1260"/>
      <c r="AI30" s="1260"/>
      <c r="AJ30" s="1260"/>
      <c r="AK30" s="1260"/>
      <c r="AL30" s="1260"/>
      <c r="AM30" s="1260"/>
      <c r="AN30" s="1260"/>
      <c r="AO30" s="1260"/>
      <c r="AP30" s="1260"/>
      <c r="AQ30" s="1260"/>
      <c r="AR30" s="1260"/>
      <c r="AS30" s="1260"/>
      <c r="AT30" s="1260"/>
      <c r="AU30" s="1260"/>
      <c r="AV30" s="1260"/>
      <c r="AW30" s="1260"/>
      <c r="AX30" s="1260"/>
      <c r="AY30" s="1260"/>
      <c r="AZ30" s="1260"/>
      <c r="BA30" s="1260"/>
      <c r="BB30" s="1260"/>
      <c r="BC30" s="1260"/>
      <c r="BD30" s="1260"/>
      <c r="BE30" s="1260"/>
      <c r="BF30" s="1260"/>
      <c r="BG30" s="1260"/>
      <c r="BH30" s="1260"/>
      <c r="BI30" s="1260"/>
      <c r="BJ30" s="1260"/>
      <c r="BK30" s="1260"/>
      <c r="BL30" s="1260"/>
      <c r="BM30" s="1260"/>
      <c r="BN30" s="1260"/>
      <c r="BO30" s="1260"/>
      <c r="BP30" s="1260"/>
      <c r="BQ30" s="1260"/>
      <c r="BR30" s="1260"/>
      <c r="BS30" s="1260"/>
      <c r="BT30" s="1260"/>
      <c r="BU30" s="1260"/>
      <c r="BV30" s="1260"/>
      <c r="BW30" s="1260"/>
      <c r="BX30" s="1260"/>
      <c r="BY30" s="1260"/>
      <c r="BZ30" s="1260"/>
      <c r="CA30" s="1260"/>
      <c r="CB30" s="1260"/>
      <c r="CC30" s="1260"/>
      <c r="CD30" s="1260"/>
      <c r="CE30" s="1260"/>
      <c r="CF30" s="1260"/>
      <c r="CG30" s="1260"/>
      <c r="CH30" s="1260"/>
      <c r="CI30" s="1260"/>
      <c r="CJ30" s="1260"/>
      <c r="CK30" s="1260"/>
      <c r="CL30" s="1260"/>
      <c r="CM30" s="1260"/>
      <c r="CN30" s="1260"/>
      <c r="CO30" s="1260"/>
      <c r="CP30" s="1260"/>
      <c r="CQ30" s="1260"/>
      <c r="CR30" s="1260"/>
      <c r="CS30" s="1260"/>
      <c r="CT30" s="1260"/>
      <c r="CU30" s="1260"/>
      <c r="CV30" s="1260"/>
      <c r="CW30" s="1260"/>
      <c r="CX30" s="1260"/>
    </row>
    <row r="31" spans="1:102">
      <c r="A31" s="1261" t="s">
        <v>1227</v>
      </c>
      <c r="B31" s="1262"/>
      <c r="C31" s="1263">
        <v>4510</v>
      </c>
      <c r="D31" s="1264"/>
      <c r="E31" s="1265"/>
      <c r="F31" s="1265"/>
      <c r="G31" s="1265"/>
      <c r="H31" s="1265"/>
      <c r="I31" s="1265"/>
      <c r="J31" s="1265"/>
      <c r="K31" s="1265"/>
      <c r="L31" s="1265"/>
      <c r="M31" s="1265"/>
      <c r="N31" s="1265"/>
      <c r="O31" s="1265"/>
      <c r="P31" s="1265"/>
      <c r="Q31" s="1265"/>
      <c r="R31" s="1265"/>
      <c r="S31" s="1265"/>
      <c r="T31" s="1265"/>
      <c r="U31" s="1265"/>
      <c r="V31" s="1266"/>
      <c r="W31" s="1266"/>
      <c r="X31" s="1266"/>
      <c r="Y31" s="1259"/>
      <c r="Z31" s="1260"/>
      <c r="AA31" s="1260"/>
      <c r="AB31" s="1260"/>
      <c r="AC31" s="1260"/>
      <c r="AD31" s="1260"/>
      <c r="AE31" s="1260"/>
      <c r="AF31" s="1260"/>
      <c r="AG31" s="1260"/>
      <c r="AH31" s="1260"/>
      <c r="AI31" s="1260"/>
      <c r="AJ31" s="1260"/>
      <c r="AK31" s="1260"/>
      <c r="AL31" s="1260"/>
      <c r="AM31" s="1260"/>
      <c r="AN31" s="1260"/>
      <c r="AO31" s="1260"/>
      <c r="AP31" s="1260"/>
      <c r="AQ31" s="1260"/>
      <c r="AR31" s="1260"/>
      <c r="AS31" s="1260"/>
      <c r="AT31" s="1260"/>
      <c r="AU31" s="1260"/>
      <c r="AV31" s="1260"/>
      <c r="AW31" s="1260"/>
      <c r="AX31" s="1260"/>
      <c r="AY31" s="1260"/>
      <c r="AZ31" s="1260"/>
      <c r="BA31" s="1260"/>
      <c r="BB31" s="1260"/>
      <c r="BC31" s="1260"/>
      <c r="BD31" s="1260"/>
      <c r="BE31" s="1260"/>
      <c r="BF31" s="1260"/>
      <c r="BG31" s="1260"/>
      <c r="BH31" s="1260"/>
      <c r="BI31" s="1260"/>
      <c r="BJ31" s="1260"/>
      <c r="BK31" s="1260"/>
      <c r="BL31" s="1260"/>
      <c r="BM31" s="1260"/>
      <c r="BN31" s="1260"/>
      <c r="BO31" s="1260"/>
      <c r="BP31" s="1260"/>
      <c r="BQ31" s="1260"/>
      <c r="BR31" s="1260"/>
      <c r="BS31" s="1260"/>
      <c r="BT31" s="1260"/>
      <c r="BU31" s="1260"/>
      <c r="BV31" s="1260"/>
      <c r="BW31" s="1260"/>
      <c r="BX31" s="1260"/>
      <c r="BY31" s="1260"/>
      <c r="BZ31" s="1260"/>
      <c r="CA31" s="1260"/>
      <c r="CB31" s="1260"/>
      <c r="CC31" s="1260"/>
      <c r="CD31" s="1260"/>
      <c r="CE31" s="1260"/>
      <c r="CF31" s="1260"/>
      <c r="CG31" s="1260"/>
      <c r="CH31" s="1260"/>
      <c r="CI31" s="1260"/>
      <c r="CJ31" s="1260"/>
      <c r="CK31" s="1260"/>
      <c r="CL31" s="1260"/>
      <c r="CM31" s="1260"/>
      <c r="CN31" s="1260"/>
      <c r="CO31" s="1260"/>
      <c r="CP31" s="1260"/>
      <c r="CQ31" s="1260"/>
      <c r="CR31" s="1260"/>
      <c r="CS31" s="1260"/>
      <c r="CT31" s="1260"/>
      <c r="CU31" s="1260"/>
      <c r="CV31" s="1260"/>
      <c r="CW31" s="1260"/>
      <c r="CX31" s="1260"/>
    </row>
    <row r="32" spans="1:102">
      <c r="A32" s="1622" t="s">
        <v>1249</v>
      </c>
      <c r="B32" s="1267" t="s">
        <v>1250</v>
      </c>
      <c r="C32" s="1268">
        <v>124463</v>
      </c>
      <c r="D32" s="1269"/>
      <c r="E32" s="1270"/>
      <c r="F32" s="1270"/>
      <c r="G32" s="1270"/>
      <c r="H32" s="1270"/>
      <c r="I32" s="1270"/>
      <c r="J32" s="1270"/>
      <c r="K32" s="1270"/>
      <c r="L32" s="1270"/>
      <c r="M32" s="1270"/>
      <c r="N32" s="1270"/>
      <c r="O32" s="1270"/>
      <c r="P32" s="1270"/>
      <c r="Q32" s="1270"/>
      <c r="R32" s="1270"/>
      <c r="S32" s="1270"/>
      <c r="T32" s="1270"/>
      <c r="U32" s="1270"/>
      <c r="V32" s="1271"/>
      <c r="W32" s="1271"/>
      <c r="X32" s="1271"/>
      <c r="Y32" s="1259"/>
      <c r="Z32" s="1260"/>
      <c r="AA32" s="1260"/>
      <c r="AB32" s="1260"/>
      <c r="AC32" s="1260"/>
      <c r="AD32" s="1260"/>
      <c r="AE32" s="1260"/>
      <c r="AF32" s="1260"/>
      <c r="AG32" s="1260"/>
      <c r="AH32" s="1260"/>
      <c r="AI32" s="1260"/>
      <c r="AJ32" s="1260"/>
      <c r="AK32" s="1260"/>
      <c r="AL32" s="1260"/>
      <c r="AM32" s="1260"/>
      <c r="AN32" s="1260"/>
      <c r="AO32" s="1260"/>
      <c r="AP32" s="1260"/>
      <c r="AQ32" s="1260"/>
      <c r="AR32" s="1260"/>
      <c r="AS32" s="1260"/>
      <c r="AT32" s="1260"/>
      <c r="AU32" s="1260"/>
      <c r="AV32" s="1260"/>
      <c r="AW32" s="1260"/>
      <c r="AX32" s="1260"/>
      <c r="AY32" s="1260"/>
      <c r="AZ32" s="1260"/>
      <c r="BA32" s="1260"/>
      <c r="BB32" s="1260"/>
      <c r="BC32" s="1260"/>
      <c r="BD32" s="1260"/>
      <c r="BE32" s="1260"/>
      <c r="BF32" s="1260"/>
      <c r="BG32" s="1260"/>
      <c r="BH32" s="1260"/>
      <c r="BI32" s="1260"/>
      <c r="BJ32" s="1260"/>
      <c r="BK32" s="1260"/>
      <c r="BL32" s="1260"/>
      <c r="BM32" s="1260"/>
      <c r="BN32" s="1260"/>
      <c r="BO32" s="1260"/>
      <c r="BP32" s="1260"/>
      <c r="BQ32" s="1260"/>
      <c r="BR32" s="1260"/>
      <c r="BS32" s="1260"/>
      <c r="BT32" s="1260"/>
      <c r="BU32" s="1260"/>
      <c r="BV32" s="1260"/>
      <c r="BW32" s="1260"/>
      <c r="BX32" s="1260"/>
      <c r="BY32" s="1260"/>
      <c r="BZ32" s="1260"/>
      <c r="CA32" s="1260"/>
      <c r="CB32" s="1260"/>
      <c r="CC32" s="1260"/>
      <c r="CD32" s="1260"/>
      <c r="CE32" s="1260"/>
      <c r="CF32" s="1260"/>
      <c r="CG32" s="1260"/>
      <c r="CH32" s="1260"/>
      <c r="CI32" s="1260"/>
      <c r="CJ32" s="1260"/>
      <c r="CK32" s="1260"/>
      <c r="CL32" s="1260"/>
      <c r="CM32" s="1260"/>
      <c r="CN32" s="1260"/>
      <c r="CO32" s="1260"/>
      <c r="CP32" s="1260"/>
      <c r="CQ32" s="1260"/>
      <c r="CR32" s="1260"/>
      <c r="CS32" s="1260"/>
      <c r="CT32" s="1260"/>
      <c r="CU32" s="1260"/>
      <c r="CV32" s="1260"/>
      <c r="CW32" s="1260"/>
      <c r="CX32" s="1260"/>
    </row>
    <row r="33" spans="1:102">
      <c r="A33" s="1622"/>
      <c r="B33" s="1267" t="s">
        <v>1251</v>
      </c>
      <c r="C33" s="1268">
        <v>134356</v>
      </c>
      <c r="D33" s="1269"/>
      <c r="E33" s="1270"/>
      <c r="F33" s="1270"/>
      <c r="G33" s="1270"/>
      <c r="H33" s="1270"/>
      <c r="I33" s="1270"/>
      <c r="J33" s="1270"/>
      <c r="K33" s="1270"/>
      <c r="L33" s="1270"/>
      <c r="M33" s="1270"/>
      <c r="N33" s="1270"/>
      <c r="O33" s="1270"/>
      <c r="P33" s="1270"/>
      <c r="Q33" s="1270"/>
      <c r="R33" s="1270"/>
      <c r="S33" s="1270"/>
      <c r="T33" s="1270"/>
      <c r="U33" s="1270"/>
      <c r="V33" s="1271"/>
      <c r="W33" s="1271"/>
      <c r="X33" s="1271"/>
      <c r="Y33" s="1270"/>
    </row>
    <row r="34" spans="1:102">
      <c r="A34" s="1272" t="s">
        <v>1252</v>
      </c>
      <c r="B34" s="1273"/>
      <c r="C34" s="1268">
        <f>+(C33-C32)/2+C32</f>
        <v>129409.5</v>
      </c>
      <c r="D34" s="1269"/>
      <c r="E34" s="1270"/>
      <c r="F34" s="1270"/>
      <c r="G34" s="1270"/>
      <c r="H34" s="1270"/>
      <c r="I34" s="1270"/>
      <c r="J34" s="1270"/>
      <c r="K34" s="1270"/>
      <c r="L34" s="1270"/>
      <c r="M34" s="1270"/>
      <c r="N34" s="1270"/>
      <c r="O34" s="1270"/>
      <c r="P34" s="1270"/>
      <c r="Q34" s="1270"/>
      <c r="R34" s="1270"/>
      <c r="S34" s="1270"/>
      <c r="T34" s="1270"/>
      <c r="U34" s="1270"/>
      <c r="V34" s="1271"/>
      <c r="W34" s="1271"/>
      <c r="X34" s="1271"/>
      <c r="Y34" s="1270"/>
    </row>
    <row r="35" spans="1:102">
      <c r="A35" s="1272" t="s">
        <v>1253</v>
      </c>
      <c r="B35" s="1273"/>
      <c r="C35" s="1274"/>
      <c r="D35" s="1275">
        <f>IF(D37&gt;D36,(D37-D36)+D$2+D$3,(D36-D37)+D$2+D$4)/1000</f>
        <v>45.709499999999998</v>
      </c>
      <c r="E35" s="1276">
        <f t="shared" ref="E35:G35" si="5">IF(E37&gt;E36,(E37-E36)+E$2+E$3,(E36-E37)+E$2+E$4)/1000</f>
        <v>41.329500000000003</v>
      </c>
      <c r="F35" s="1276">
        <f t="shared" si="5"/>
        <v>39.499499999999998</v>
      </c>
      <c r="G35" s="1276">
        <f t="shared" si="5"/>
        <v>31.011500000000002</v>
      </c>
      <c r="H35" s="1276">
        <f>IF(H37&gt;H36,(H37-H36)+H$2*1000+H$3*1000,(H36-H37)+H$2*1000+H$4*1000)/1000</f>
        <v>34.009500000000003</v>
      </c>
      <c r="I35" s="1276">
        <f t="shared" ref="I35:X35" si="6">IF(I37&gt;I36,(I37-I36)+I$2*1000+I$3*1000,(I36-I37)+I$2*1000+I$4*1000)/1000</f>
        <v>23.635500000000015</v>
      </c>
      <c r="J35" s="1276">
        <f t="shared" si="6"/>
        <v>12.9095</v>
      </c>
      <c r="K35" s="1276">
        <f t="shared" si="6"/>
        <v>20.499500000000001</v>
      </c>
      <c r="L35" s="1276">
        <f t="shared" si="6"/>
        <v>6.5685000000000002</v>
      </c>
      <c r="M35" s="1276">
        <f t="shared" si="6"/>
        <v>26.328499999999995</v>
      </c>
      <c r="N35" s="1276">
        <f t="shared" si="6"/>
        <v>45.954500000000003</v>
      </c>
      <c r="O35" s="1276">
        <f t="shared" si="6"/>
        <v>37.418500000000002</v>
      </c>
      <c r="P35" s="1276">
        <f t="shared" si="6"/>
        <v>41.218499999999999</v>
      </c>
      <c r="Q35" s="1276">
        <f t="shared" si="6"/>
        <v>47.908500000000018</v>
      </c>
      <c r="R35" s="1276">
        <f t="shared" si="6"/>
        <v>47.918500000000002</v>
      </c>
      <c r="S35" s="1276">
        <f t="shared" si="6"/>
        <v>53.918500000000002</v>
      </c>
      <c r="T35" s="1276">
        <f t="shared" si="6"/>
        <v>54.918500000000002</v>
      </c>
      <c r="U35" s="1276">
        <f t="shared" si="6"/>
        <v>59.918500000000002</v>
      </c>
      <c r="V35" s="1277">
        <f t="shared" si="6"/>
        <v>6.5685000000000002</v>
      </c>
      <c r="W35" s="1277">
        <f t="shared" si="6"/>
        <v>47.918500000000002</v>
      </c>
      <c r="X35" s="1277">
        <f t="shared" si="6"/>
        <v>31.009499999999999</v>
      </c>
      <c r="Y35" s="1270"/>
    </row>
    <row r="36" spans="1:102">
      <c r="A36" s="1278" t="s">
        <v>1254</v>
      </c>
      <c r="B36" s="1279"/>
      <c r="C36" s="1280"/>
      <c r="D36" s="1200">
        <f>+IF($C31=4510,IF(D$6=4510,$C34,$C34),IF(D$6=4511,$C34+134328,134328+$C34))</f>
        <v>129409.5</v>
      </c>
      <c r="E36" s="1200">
        <f t="shared" ref="E36:X36" si="7">+IF($C31=4510,IF(E$6=4510,$C34,$C34),IF(E$6=4511,$C34+134328,134328+$C34))</f>
        <v>129409.5</v>
      </c>
      <c r="F36" s="1200">
        <f t="shared" si="7"/>
        <v>129409.5</v>
      </c>
      <c r="G36" s="1200">
        <f t="shared" si="7"/>
        <v>129409.5</v>
      </c>
      <c r="H36" s="1200">
        <f t="shared" si="7"/>
        <v>129409.5</v>
      </c>
      <c r="I36" s="1200">
        <f t="shared" si="7"/>
        <v>129409.5</v>
      </c>
      <c r="J36" s="1200">
        <f t="shared" si="7"/>
        <v>129409.5</v>
      </c>
      <c r="K36" s="1200">
        <f t="shared" si="7"/>
        <v>129409.5</v>
      </c>
      <c r="L36" s="1200">
        <f t="shared" si="7"/>
        <v>129409.5</v>
      </c>
      <c r="M36" s="1200">
        <f t="shared" si="7"/>
        <v>129409.5</v>
      </c>
      <c r="N36" s="1200">
        <f t="shared" si="7"/>
        <v>129409.5</v>
      </c>
      <c r="O36" s="1200">
        <f t="shared" si="7"/>
        <v>129409.5</v>
      </c>
      <c r="P36" s="1200">
        <f t="shared" si="7"/>
        <v>129409.5</v>
      </c>
      <c r="Q36" s="1200">
        <f t="shared" si="7"/>
        <v>129409.5</v>
      </c>
      <c r="R36" s="1200">
        <f t="shared" si="7"/>
        <v>129409.5</v>
      </c>
      <c r="S36" s="1200">
        <f t="shared" si="7"/>
        <v>129409.5</v>
      </c>
      <c r="T36" s="1200">
        <f t="shared" si="7"/>
        <v>129409.5</v>
      </c>
      <c r="U36" s="1200">
        <f t="shared" si="7"/>
        <v>129409.5</v>
      </c>
      <c r="V36" s="1281">
        <f t="shared" si="7"/>
        <v>129409.5</v>
      </c>
      <c r="W36" s="1281">
        <f t="shared" si="7"/>
        <v>129409.5</v>
      </c>
      <c r="X36" s="1281">
        <f t="shared" si="7"/>
        <v>129409.5</v>
      </c>
      <c r="Y36" s="1270"/>
    </row>
    <row r="37" spans="1:102">
      <c r="A37" s="1278" t="s">
        <v>1255</v>
      </c>
      <c r="B37" s="1279"/>
      <c r="C37" s="1280"/>
      <c r="D37" s="1200">
        <f>+IF($C31=4510,IF(D$6=4510,D$5,D$5+134328),IF(D$6=4511,D$5+134328,D$5))</f>
        <v>83700</v>
      </c>
      <c r="E37" s="1200">
        <f t="shared" ref="E37:X37" si="8">+IF($C31=4510,IF(E$6=4510,E$5,E$5+134328),IF(E$6=4511,E$5+134328,E$5))</f>
        <v>88080</v>
      </c>
      <c r="F37" s="1200">
        <f t="shared" si="8"/>
        <v>89910</v>
      </c>
      <c r="G37" s="1200">
        <f t="shared" si="8"/>
        <v>98400</v>
      </c>
      <c r="H37" s="1200">
        <f t="shared" si="8"/>
        <v>98400</v>
      </c>
      <c r="I37" s="1200">
        <f t="shared" si="8"/>
        <v>113610</v>
      </c>
      <c r="J37" s="1200">
        <f t="shared" si="8"/>
        <v>116500</v>
      </c>
      <c r="K37" s="1200">
        <f t="shared" si="8"/>
        <v>108910</v>
      </c>
      <c r="L37" s="1200">
        <f t="shared" si="8"/>
        <v>135978</v>
      </c>
      <c r="M37" s="1200">
        <f t="shared" si="8"/>
        <v>154828</v>
      </c>
      <c r="N37" s="1200">
        <f t="shared" si="8"/>
        <v>156528</v>
      </c>
      <c r="O37" s="1200">
        <f t="shared" si="8"/>
        <v>166828</v>
      </c>
      <c r="P37" s="1200">
        <f t="shared" si="8"/>
        <v>170628</v>
      </c>
      <c r="Q37" s="1200">
        <f t="shared" si="8"/>
        <v>173628</v>
      </c>
      <c r="R37" s="1200">
        <f t="shared" si="8"/>
        <v>177328</v>
      </c>
      <c r="S37" s="1200">
        <f t="shared" si="8"/>
        <v>183328</v>
      </c>
      <c r="T37" s="1200">
        <f t="shared" si="8"/>
        <v>184328</v>
      </c>
      <c r="U37" s="1200">
        <f t="shared" si="8"/>
        <v>189328</v>
      </c>
      <c r="V37" s="1281">
        <f t="shared" si="8"/>
        <v>135978</v>
      </c>
      <c r="W37" s="1281">
        <f t="shared" si="8"/>
        <v>177328</v>
      </c>
      <c r="X37" s="1281">
        <f t="shared" si="8"/>
        <v>98400</v>
      </c>
      <c r="Y37" s="1270"/>
    </row>
    <row r="38" spans="1:102" ht="15" customHeight="1">
      <c r="A38" s="1625" t="s">
        <v>1264</v>
      </c>
      <c r="B38" s="1267" t="s">
        <v>1257</v>
      </c>
      <c r="C38" s="1282">
        <f>+'CANTIDADES Fase II todo'!H25+'CANTIDADES Fase II todo'!H28</f>
        <v>9195.9369999999981</v>
      </c>
      <c r="D38" s="1236"/>
      <c r="E38" s="1237"/>
      <c r="F38" s="1237"/>
      <c r="G38" s="1237"/>
      <c r="H38" s="1237"/>
      <c r="I38" s="1237"/>
      <c r="J38" s="1237"/>
      <c r="K38" s="1237"/>
      <c r="L38" s="1237" t="e">
        <f>$C38*#REF!*#REF!</f>
        <v>#REF!</v>
      </c>
      <c r="M38" s="1237"/>
      <c r="N38" s="1237"/>
      <c r="O38" s="1237"/>
      <c r="P38" s="1237"/>
      <c r="Q38" s="1237"/>
      <c r="R38" s="1237"/>
      <c r="S38" s="1237"/>
      <c r="T38" s="1237"/>
      <c r="U38" s="1237"/>
      <c r="V38" s="1283"/>
      <c r="W38" s="1283"/>
      <c r="X38" s="1283"/>
      <c r="Y38" s="1284" t="e">
        <f>+SUMPRODUCT(D38:X38,D35:X35)</f>
        <v>#REF!</v>
      </c>
      <c r="Z38" s="1236" t="e">
        <f>$C38*#REF!*#REF!</f>
        <v>#REF!</v>
      </c>
    </row>
    <row r="39" spans="1:102">
      <c r="A39" s="1626"/>
      <c r="B39" s="1267" t="s">
        <v>1258</v>
      </c>
      <c r="C39" s="1282">
        <f>+'CANTIDADES Fase II todo'!H26</f>
        <v>9637.4660000000003</v>
      </c>
      <c r="D39" s="1236"/>
      <c r="E39" s="1237"/>
      <c r="F39" s="1237"/>
      <c r="G39" s="1237"/>
      <c r="H39" s="1237"/>
      <c r="I39" s="1237"/>
      <c r="J39" s="1237"/>
      <c r="K39" s="1237"/>
      <c r="L39" s="1237" t="e">
        <f>$C39*#REF!*#REF!</f>
        <v>#REF!</v>
      </c>
      <c r="M39" s="1237"/>
      <c r="N39" s="1237"/>
      <c r="O39" s="1237"/>
      <c r="P39" s="1237"/>
      <c r="Q39" s="1237"/>
      <c r="R39" s="1237"/>
      <c r="S39" s="1237"/>
      <c r="T39" s="1237"/>
      <c r="U39" s="1237"/>
      <c r="V39" s="1283"/>
      <c r="W39" s="1283"/>
      <c r="X39" s="1283"/>
      <c r="Y39" s="1284" t="e">
        <f>+SUMPRODUCT(D39:X39,D35:X35)</f>
        <v>#REF!</v>
      </c>
      <c r="Z39" s="1236" t="e">
        <f>$C39*#REF!*#REF!</f>
        <v>#REF!</v>
      </c>
    </row>
    <row r="40" spans="1:102">
      <c r="A40" s="1626"/>
      <c r="B40" s="1267" t="s">
        <v>1259</v>
      </c>
      <c r="C40" s="1282">
        <f>+'CANTIDADES Fase II todo'!H72</f>
        <v>1185.1463406828743</v>
      </c>
      <c r="D40" s="1236"/>
      <c r="E40" s="1237"/>
      <c r="F40" s="1237"/>
      <c r="G40" s="1237"/>
      <c r="H40" s="1237"/>
      <c r="I40" s="1237"/>
      <c r="J40" s="1237"/>
      <c r="K40" s="1237"/>
      <c r="L40" s="1237"/>
      <c r="M40" s="1237"/>
      <c r="N40" s="1237"/>
      <c r="O40" s="1237"/>
      <c r="P40" s="1237"/>
      <c r="Q40" s="1237"/>
      <c r="R40" s="1237"/>
      <c r="S40" s="1237"/>
      <c r="T40" s="1237"/>
      <c r="U40" s="1237"/>
      <c r="V40" s="1283"/>
      <c r="W40" s="1283"/>
      <c r="X40" s="1283" t="e">
        <f>+$C40*#REF!*#REF!</f>
        <v>#REF!</v>
      </c>
      <c r="Y40" s="1284" t="e">
        <f>+SUMPRODUCT(D40:X40,D35:X35)</f>
        <v>#REF!</v>
      </c>
      <c r="Z40" s="1236" t="e">
        <f>+$C40*#REF!*#REF!</f>
        <v>#REF!</v>
      </c>
    </row>
    <row r="41" spans="1:102">
      <c r="A41" s="1626"/>
      <c r="B41" s="1267" t="s">
        <v>1260</v>
      </c>
      <c r="C41" s="1282">
        <f>+'CANTIDADES Fase II todo'!H83+'CANTIDADES Fase II todo'!H84+'CANTIDADES Fase II todo'!H85</f>
        <v>11308.030499999999</v>
      </c>
      <c r="D41" s="1236"/>
      <c r="E41" s="1237"/>
      <c r="F41" s="1237"/>
      <c r="G41" s="1237"/>
      <c r="H41" s="1237"/>
      <c r="I41" s="1237"/>
      <c r="J41" s="1237"/>
      <c r="K41" s="1237"/>
      <c r="L41" s="1237"/>
      <c r="M41" s="1237"/>
      <c r="N41" s="1237"/>
      <c r="O41" s="1237"/>
      <c r="P41" s="1237"/>
      <c r="Q41" s="1237"/>
      <c r="R41" s="1237"/>
      <c r="S41" s="1237"/>
      <c r="T41" s="1237"/>
      <c r="U41" s="1237"/>
      <c r="V41" s="1283"/>
      <c r="W41" s="1283"/>
      <c r="X41" s="1283" t="e">
        <f>+$C41*#REF!*#REF!</f>
        <v>#REF!</v>
      </c>
      <c r="Y41" s="1284" t="e">
        <f>+SUMPRODUCT(D41:X41,D35:X35)</f>
        <v>#REF!</v>
      </c>
      <c r="Z41" s="1236" t="e">
        <f>+$C41*#REF!*#REF!</f>
        <v>#REF!</v>
      </c>
    </row>
    <row r="42" spans="1:102">
      <c r="A42" s="1626"/>
      <c r="B42" s="1267" t="s">
        <v>1261</v>
      </c>
      <c r="C42" s="1282">
        <f>+'CANTIDADES Fase II todo'!H92+'CANTIDADES Fase II todo'!H93</f>
        <v>7820.7056152777777</v>
      </c>
      <c r="D42" s="1236"/>
      <c r="E42" s="1237"/>
      <c r="F42" s="1237"/>
      <c r="G42" s="1237"/>
      <c r="H42" s="1237"/>
      <c r="I42" s="1237"/>
      <c r="J42" s="1237"/>
      <c r="K42" s="1237"/>
      <c r="L42" s="1237"/>
      <c r="M42" s="1237"/>
      <c r="N42" s="1237"/>
      <c r="O42" s="1237"/>
      <c r="P42" s="1237"/>
      <c r="Q42" s="1237"/>
      <c r="R42" s="1237"/>
      <c r="S42" s="1237"/>
      <c r="T42" s="1237"/>
      <c r="U42" s="1237"/>
      <c r="V42" s="1283"/>
      <c r="W42" s="1283"/>
      <c r="X42" s="1283" t="e">
        <f>+$C42*#REF!*#REF!</f>
        <v>#REF!</v>
      </c>
      <c r="Y42" s="1284" t="e">
        <f>+SUMPRODUCT(D42:X42,D35:X35)</f>
        <v>#REF!</v>
      </c>
      <c r="Z42" s="1243" t="e">
        <f>+$C42*#REF!*#REF!</f>
        <v>#REF!</v>
      </c>
    </row>
    <row r="43" spans="1:102" s="1186" customFormat="1">
      <c r="A43" s="1627"/>
      <c r="B43" s="1285" t="s">
        <v>1262</v>
      </c>
      <c r="C43" s="1286">
        <f>+'CANTIDADES Fase II todo'!H99</f>
        <v>2110.286039814815</v>
      </c>
      <c r="D43" s="1287"/>
      <c r="E43" s="1246"/>
      <c r="F43" s="1246"/>
      <c r="G43" s="1246"/>
      <c r="H43" s="1246"/>
      <c r="I43" s="1246"/>
      <c r="J43" s="1246"/>
      <c r="K43" s="1246"/>
      <c r="L43" s="1246"/>
      <c r="M43" s="1246"/>
      <c r="N43" s="1246"/>
      <c r="O43" s="1246"/>
      <c r="P43" s="1246"/>
      <c r="Q43" s="1246"/>
      <c r="R43" s="1246"/>
      <c r="S43" s="1246"/>
      <c r="T43" s="1246"/>
      <c r="U43" s="1246"/>
      <c r="V43" s="1247"/>
      <c r="W43" s="1247"/>
      <c r="X43" s="1247" t="e">
        <f>+$C43*#REF!</f>
        <v>#REF!</v>
      </c>
      <c r="Y43" s="1245" t="e">
        <f>+SUMPRODUCT(D43:X43,D35:X35)</f>
        <v>#REF!</v>
      </c>
      <c r="Z43" s="1287" t="e">
        <f>+$C43*#REF!</f>
        <v>#REF!</v>
      </c>
    </row>
    <row r="44" spans="1:102">
      <c r="A44" s="1253" t="s">
        <v>1247</v>
      </c>
      <c r="B44" s="1310"/>
      <c r="C44" s="1255" t="s">
        <v>1467</v>
      </c>
      <c r="D44" s="1311"/>
      <c r="E44" s="1257"/>
      <c r="F44" s="1257"/>
      <c r="G44" s="1257"/>
      <c r="H44" s="1257"/>
      <c r="I44" s="1257"/>
      <c r="J44" s="1257"/>
      <c r="K44" s="1257"/>
      <c r="L44" s="1257"/>
      <c r="M44" s="1257"/>
      <c r="N44" s="1257"/>
      <c r="O44" s="1257"/>
      <c r="P44" s="1257"/>
      <c r="Q44" s="1257"/>
      <c r="R44" s="1257"/>
      <c r="S44" s="1257"/>
      <c r="T44" s="1257"/>
      <c r="U44" s="1257"/>
      <c r="V44" s="1258"/>
      <c r="W44" s="1258"/>
      <c r="X44" s="1258"/>
      <c r="Y44" s="1259"/>
      <c r="Z44" s="1260"/>
      <c r="AA44" s="1260"/>
      <c r="AB44" s="1260"/>
      <c r="AC44" s="1260"/>
      <c r="AD44" s="1260"/>
      <c r="AE44" s="1260"/>
      <c r="AF44" s="1260"/>
      <c r="AG44" s="1260"/>
      <c r="AH44" s="1260"/>
      <c r="AI44" s="1260"/>
      <c r="AJ44" s="1260"/>
      <c r="AK44" s="1260"/>
      <c r="AL44" s="1260"/>
      <c r="AM44" s="1260"/>
      <c r="AN44" s="1260"/>
      <c r="AO44" s="1260"/>
      <c r="AP44" s="1260"/>
      <c r="AQ44" s="1260"/>
      <c r="AR44" s="1260"/>
      <c r="AS44" s="1260"/>
      <c r="AT44" s="1260"/>
      <c r="AU44" s="1260"/>
      <c r="AV44" s="1260"/>
      <c r="AW44" s="1260"/>
      <c r="AX44" s="1260"/>
      <c r="AY44" s="1260"/>
      <c r="AZ44" s="1260"/>
      <c r="BA44" s="1260"/>
      <c r="BB44" s="1260"/>
      <c r="BC44" s="1260"/>
      <c r="BD44" s="1260"/>
      <c r="BE44" s="1260"/>
      <c r="BF44" s="1260"/>
      <c r="BG44" s="1260"/>
      <c r="BH44" s="1260"/>
      <c r="BI44" s="1260"/>
      <c r="BJ44" s="1260"/>
      <c r="BK44" s="1260"/>
      <c r="BL44" s="1260"/>
      <c r="BM44" s="1260"/>
      <c r="BN44" s="1260"/>
      <c r="BO44" s="1260"/>
      <c r="BP44" s="1260"/>
      <c r="BQ44" s="1260"/>
      <c r="BR44" s="1260"/>
      <c r="BS44" s="1260"/>
      <c r="BT44" s="1260"/>
      <c r="BU44" s="1260"/>
      <c r="BV44" s="1260"/>
      <c r="BW44" s="1260"/>
      <c r="BX44" s="1260"/>
      <c r="BY44" s="1260"/>
      <c r="BZ44" s="1260"/>
      <c r="CA44" s="1260"/>
      <c r="CB44" s="1260"/>
      <c r="CC44" s="1260"/>
      <c r="CD44" s="1260"/>
      <c r="CE44" s="1260"/>
      <c r="CF44" s="1260"/>
      <c r="CG44" s="1260"/>
      <c r="CH44" s="1260"/>
      <c r="CI44" s="1260"/>
      <c r="CJ44" s="1260"/>
      <c r="CK44" s="1260"/>
      <c r="CL44" s="1260"/>
      <c r="CM44" s="1260"/>
      <c r="CN44" s="1260"/>
      <c r="CO44" s="1260"/>
      <c r="CP44" s="1260"/>
      <c r="CQ44" s="1260"/>
      <c r="CR44" s="1260"/>
      <c r="CS44" s="1260"/>
      <c r="CT44" s="1260"/>
      <c r="CU44" s="1260"/>
      <c r="CV44" s="1260"/>
      <c r="CW44" s="1260"/>
      <c r="CX44" s="1260"/>
    </row>
    <row r="45" spans="1:102">
      <c r="A45" s="1261" t="s">
        <v>1227</v>
      </c>
      <c r="B45" s="1262"/>
      <c r="C45" s="1263">
        <v>4511</v>
      </c>
      <c r="D45" s="1264"/>
      <c r="E45" s="1265"/>
      <c r="F45" s="1265"/>
      <c r="G45" s="1265"/>
      <c r="H45" s="1265"/>
      <c r="I45" s="1265"/>
      <c r="J45" s="1265"/>
      <c r="K45" s="1265"/>
      <c r="L45" s="1265"/>
      <c r="M45" s="1265"/>
      <c r="N45" s="1265"/>
      <c r="O45" s="1265"/>
      <c r="P45" s="1265"/>
      <c r="Q45" s="1265"/>
      <c r="R45" s="1265"/>
      <c r="S45" s="1265"/>
      <c r="T45" s="1265"/>
      <c r="U45" s="1265"/>
      <c r="V45" s="1266"/>
      <c r="W45" s="1266"/>
      <c r="X45" s="1266"/>
      <c r="Y45" s="1259"/>
      <c r="Z45" s="1260"/>
      <c r="AA45" s="1260"/>
      <c r="AB45" s="1260"/>
      <c r="AC45" s="1260"/>
      <c r="AD45" s="1260"/>
      <c r="AE45" s="1260"/>
      <c r="AF45" s="1260"/>
      <c r="AG45" s="1260"/>
      <c r="AH45" s="1260"/>
      <c r="AI45" s="1260"/>
      <c r="AJ45" s="1260"/>
      <c r="AK45" s="1260"/>
      <c r="AL45" s="1260"/>
      <c r="AM45" s="1260"/>
      <c r="AN45" s="1260"/>
      <c r="AO45" s="1260"/>
      <c r="AP45" s="1260"/>
      <c r="AQ45" s="1260"/>
      <c r="AR45" s="1260"/>
      <c r="AS45" s="1260"/>
      <c r="AT45" s="1260"/>
      <c r="AU45" s="1260"/>
      <c r="AV45" s="1260"/>
      <c r="AW45" s="1260"/>
      <c r="AX45" s="1260"/>
      <c r="AY45" s="1260"/>
      <c r="AZ45" s="1260"/>
      <c r="BA45" s="1260"/>
      <c r="BB45" s="1260"/>
      <c r="BC45" s="1260"/>
      <c r="BD45" s="1260"/>
      <c r="BE45" s="1260"/>
      <c r="BF45" s="1260"/>
      <c r="BG45" s="1260"/>
      <c r="BH45" s="1260"/>
      <c r="BI45" s="1260"/>
      <c r="BJ45" s="1260"/>
      <c r="BK45" s="1260"/>
      <c r="BL45" s="1260"/>
      <c r="BM45" s="1260"/>
      <c r="BN45" s="1260"/>
      <c r="BO45" s="1260"/>
      <c r="BP45" s="1260"/>
      <c r="BQ45" s="1260"/>
      <c r="BR45" s="1260"/>
      <c r="BS45" s="1260"/>
      <c r="BT45" s="1260"/>
      <c r="BU45" s="1260"/>
      <c r="BV45" s="1260"/>
      <c r="BW45" s="1260"/>
      <c r="BX45" s="1260"/>
      <c r="BY45" s="1260"/>
      <c r="BZ45" s="1260"/>
      <c r="CA45" s="1260"/>
      <c r="CB45" s="1260"/>
      <c r="CC45" s="1260"/>
      <c r="CD45" s="1260"/>
      <c r="CE45" s="1260"/>
      <c r="CF45" s="1260"/>
      <c r="CG45" s="1260"/>
      <c r="CH45" s="1260"/>
      <c r="CI45" s="1260"/>
      <c r="CJ45" s="1260"/>
      <c r="CK45" s="1260"/>
      <c r="CL45" s="1260"/>
      <c r="CM45" s="1260"/>
      <c r="CN45" s="1260"/>
      <c r="CO45" s="1260"/>
      <c r="CP45" s="1260"/>
      <c r="CQ45" s="1260"/>
      <c r="CR45" s="1260"/>
      <c r="CS45" s="1260"/>
      <c r="CT45" s="1260"/>
      <c r="CU45" s="1260"/>
      <c r="CV45" s="1260"/>
      <c r="CW45" s="1260"/>
      <c r="CX45" s="1260"/>
    </row>
    <row r="46" spans="1:102">
      <c r="A46" s="1622" t="s">
        <v>1249</v>
      </c>
      <c r="B46" s="1267" t="s">
        <v>1250</v>
      </c>
      <c r="C46" s="1268">
        <v>0</v>
      </c>
      <c r="D46" s="1269"/>
      <c r="E46" s="1270"/>
      <c r="F46" s="1270"/>
      <c r="G46" s="1270"/>
      <c r="H46" s="1270"/>
      <c r="I46" s="1270"/>
      <c r="J46" s="1270"/>
      <c r="K46" s="1270"/>
      <c r="L46" s="1270"/>
      <c r="M46" s="1270"/>
      <c r="N46" s="1270"/>
      <c r="O46" s="1270"/>
      <c r="P46" s="1270"/>
      <c r="Q46" s="1270"/>
      <c r="R46" s="1270"/>
      <c r="S46" s="1270"/>
      <c r="T46" s="1270"/>
      <c r="U46" s="1270"/>
      <c r="V46" s="1271"/>
      <c r="W46" s="1271"/>
      <c r="X46" s="1271"/>
      <c r="Y46" s="1259"/>
      <c r="Z46" s="1260"/>
      <c r="AA46" s="1260"/>
      <c r="AB46" s="1260"/>
      <c r="AC46" s="1260"/>
      <c r="AD46" s="1260"/>
      <c r="AE46" s="1260"/>
      <c r="AF46" s="1260"/>
      <c r="AG46" s="1260"/>
      <c r="AH46" s="1260"/>
      <c r="AI46" s="1260"/>
      <c r="AJ46" s="1260"/>
      <c r="AK46" s="1260"/>
      <c r="AL46" s="1260"/>
      <c r="AM46" s="1260"/>
      <c r="AN46" s="1260"/>
      <c r="AO46" s="1260"/>
      <c r="AP46" s="1260"/>
      <c r="AQ46" s="1260"/>
      <c r="AR46" s="1260"/>
      <c r="AS46" s="1260"/>
      <c r="AT46" s="1260"/>
      <c r="AU46" s="1260"/>
      <c r="AV46" s="1260"/>
      <c r="AW46" s="1260"/>
      <c r="AX46" s="1260"/>
      <c r="AY46" s="1260"/>
      <c r="AZ46" s="1260"/>
      <c r="BA46" s="1260"/>
      <c r="BB46" s="1260"/>
      <c r="BC46" s="1260"/>
      <c r="BD46" s="1260"/>
      <c r="BE46" s="1260"/>
      <c r="BF46" s="1260"/>
      <c r="BG46" s="1260"/>
      <c r="BH46" s="1260"/>
      <c r="BI46" s="1260"/>
      <c r="BJ46" s="1260"/>
      <c r="BK46" s="1260"/>
      <c r="BL46" s="1260"/>
      <c r="BM46" s="1260"/>
      <c r="BN46" s="1260"/>
      <c r="BO46" s="1260"/>
      <c r="BP46" s="1260"/>
      <c r="BQ46" s="1260"/>
      <c r="BR46" s="1260"/>
      <c r="BS46" s="1260"/>
      <c r="BT46" s="1260"/>
      <c r="BU46" s="1260"/>
      <c r="BV46" s="1260"/>
      <c r="BW46" s="1260"/>
      <c r="BX46" s="1260"/>
      <c r="BY46" s="1260"/>
      <c r="BZ46" s="1260"/>
      <c r="CA46" s="1260"/>
      <c r="CB46" s="1260"/>
      <c r="CC46" s="1260"/>
      <c r="CD46" s="1260"/>
      <c r="CE46" s="1260"/>
      <c r="CF46" s="1260"/>
      <c r="CG46" s="1260"/>
      <c r="CH46" s="1260"/>
      <c r="CI46" s="1260"/>
      <c r="CJ46" s="1260"/>
      <c r="CK46" s="1260"/>
      <c r="CL46" s="1260"/>
      <c r="CM46" s="1260"/>
      <c r="CN46" s="1260"/>
      <c r="CO46" s="1260"/>
      <c r="CP46" s="1260"/>
      <c r="CQ46" s="1260"/>
      <c r="CR46" s="1260"/>
      <c r="CS46" s="1260"/>
      <c r="CT46" s="1260"/>
      <c r="CU46" s="1260"/>
      <c r="CV46" s="1260"/>
      <c r="CW46" s="1260"/>
      <c r="CX46" s="1260"/>
    </row>
    <row r="47" spans="1:102">
      <c r="A47" s="1622"/>
      <c r="B47" s="1267" t="s">
        <v>1251</v>
      </c>
      <c r="C47" s="1268">
        <v>10000</v>
      </c>
      <c r="D47" s="1269"/>
      <c r="E47" s="1270"/>
      <c r="F47" s="1270"/>
      <c r="G47" s="1270"/>
      <c r="H47" s="1270"/>
      <c r="I47" s="1270"/>
      <c r="J47" s="1270"/>
      <c r="K47" s="1270"/>
      <c r="L47" s="1270"/>
      <c r="M47" s="1270"/>
      <c r="N47" s="1270"/>
      <c r="O47" s="1270"/>
      <c r="P47" s="1270"/>
      <c r="Q47" s="1270"/>
      <c r="R47" s="1270"/>
      <c r="S47" s="1270"/>
      <c r="T47" s="1270"/>
      <c r="U47" s="1270"/>
      <c r="V47" s="1271"/>
      <c r="W47" s="1271"/>
      <c r="X47" s="1271"/>
      <c r="Y47" s="1270"/>
    </row>
    <row r="48" spans="1:102">
      <c r="A48" s="1272" t="s">
        <v>1252</v>
      </c>
      <c r="B48" s="1273"/>
      <c r="C48" s="1268">
        <f>+(C47-C46)/2+C46</f>
        <v>5000</v>
      </c>
      <c r="D48" s="1269"/>
      <c r="E48" s="1270"/>
      <c r="F48" s="1270"/>
      <c r="G48" s="1270"/>
      <c r="H48" s="1270"/>
      <c r="I48" s="1270"/>
      <c r="J48" s="1270"/>
      <c r="K48" s="1270"/>
      <c r="L48" s="1270"/>
      <c r="M48" s="1270"/>
      <c r="N48" s="1270"/>
      <c r="O48" s="1270"/>
      <c r="P48" s="1270"/>
      <c r="Q48" s="1270"/>
      <c r="R48" s="1270"/>
      <c r="S48" s="1270"/>
      <c r="T48" s="1270"/>
      <c r="U48" s="1270"/>
      <c r="V48" s="1271"/>
      <c r="W48" s="1271"/>
      <c r="X48" s="1271"/>
      <c r="Y48" s="1270"/>
    </row>
    <row r="49" spans="1:102">
      <c r="A49" s="1272" t="s">
        <v>1253</v>
      </c>
      <c r="B49" s="1273"/>
      <c r="C49" s="1274"/>
      <c r="D49" s="1275">
        <f>IF(D51&gt;D50,(D51-D50)+D$2+D$3,(D50-D51)+D$2+D$4)/1000</f>
        <v>55.628</v>
      </c>
      <c r="E49" s="1276">
        <f t="shared" ref="E49:G49" si="9">IF(E51&gt;E50,(E51-E50)+E$2+E$3,(E50-E51)+E$2+E$4)/1000</f>
        <v>51.247999999999998</v>
      </c>
      <c r="F49" s="1276">
        <f t="shared" si="9"/>
        <v>49.417999999999999</v>
      </c>
      <c r="G49" s="1276">
        <f t="shared" si="9"/>
        <v>40.93</v>
      </c>
      <c r="H49" s="1276">
        <f>IF(H51&gt;H50,(H51-H50)+H$2*1000+H$3*1000,(H50-H51)+H$2*1000+H$4*1000)/1000</f>
        <v>43.927999999999997</v>
      </c>
      <c r="I49" s="1276">
        <f t="shared" ref="I49:X49" si="10">IF(I51&gt;I50,(I51-I50)+I$2*1000+I$3*1000,(I50-I51)+I$2*1000+I$4*1000)/1000</f>
        <v>33.554000000000016</v>
      </c>
      <c r="J49" s="1276">
        <f t="shared" si="10"/>
        <v>22.827999999999999</v>
      </c>
      <c r="K49" s="1276">
        <f t="shared" si="10"/>
        <v>30.417999999999999</v>
      </c>
      <c r="L49" s="1276">
        <f t="shared" si="10"/>
        <v>3.35</v>
      </c>
      <c r="M49" s="1276">
        <f t="shared" si="10"/>
        <v>16.409999999999997</v>
      </c>
      <c r="N49" s="1276">
        <f t="shared" si="10"/>
        <v>36.036000000000001</v>
      </c>
      <c r="O49" s="1276">
        <f t="shared" si="10"/>
        <v>27.5</v>
      </c>
      <c r="P49" s="1276">
        <f t="shared" si="10"/>
        <v>31.3</v>
      </c>
      <c r="Q49" s="1276">
        <f t="shared" si="10"/>
        <v>37.990000000000016</v>
      </c>
      <c r="R49" s="1276">
        <f t="shared" si="10"/>
        <v>38</v>
      </c>
      <c r="S49" s="1276">
        <f t="shared" si="10"/>
        <v>44</v>
      </c>
      <c r="T49" s="1276">
        <f t="shared" si="10"/>
        <v>45</v>
      </c>
      <c r="U49" s="1276">
        <f t="shared" si="10"/>
        <v>50</v>
      </c>
      <c r="V49" s="1277">
        <f t="shared" si="10"/>
        <v>3.35</v>
      </c>
      <c r="W49" s="1277">
        <f t="shared" si="10"/>
        <v>38</v>
      </c>
      <c r="X49" s="1277">
        <f t="shared" si="10"/>
        <v>40.927999999999997</v>
      </c>
      <c r="Y49" s="1270"/>
    </row>
    <row r="50" spans="1:102">
      <c r="A50" s="1278" t="s">
        <v>1254</v>
      </c>
      <c r="B50" s="1279"/>
      <c r="C50" s="1280"/>
      <c r="D50" s="1200">
        <f>+IF($C45=4510,IF(D$6=4510,$C48,$C48),IF(D$6=4511,$C48+134328,134328+$C48))</f>
        <v>139328</v>
      </c>
      <c r="E50" s="1200">
        <f t="shared" ref="E50:X50" si="11">+IF($C45=4510,IF(E$6=4510,$C48,$C48),IF(E$6=4511,$C48+134328,134328+$C48))</f>
        <v>139328</v>
      </c>
      <c r="F50" s="1200">
        <f t="shared" si="11"/>
        <v>139328</v>
      </c>
      <c r="G50" s="1200">
        <f t="shared" si="11"/>
        <v>139328</v>
      </c>
      <c r="H50" s="1200">
        <f t="shared" si="11"/>
        <v>139328</v>
      </c>
      <c r="I50" s="1200">
        <f t="shared" si="11"/>
        <v>139328</v>
      </c>
      <c r="J50" s="1200">
        <f t="shared" si="11"/>
        <v>139328</v>
      </c>
      <c r="K50" s="1200">
        <f t="shared" si="11"/>
        <v>139328</v>
      </c>
      <c r="L50" s="1200">
        <f t="shared" si="11"/>
        <v>139328</v>
      </c>
      <c r="M50" s="1200">
        <f t="shared" si="11"/>
        <v>139328</v>
      </c>
      <c r="N50" s="1200">
        <f t="shared" si="11"/>
        <v>139328</v>
      </c>
      <c r="O50" s="1200">
        <f t="shared" si="11"/>
        <v>139328</v>
      </c>
      <c r="P50" s="1200">
        <f t="shared" si="11"/>
        <v>139328</v>
      </c>
      <c r="Q50" s="1200">
        <f t="shared" si="11"/>
        <v>139328</v>
      </c>
      <c r="R50" s="1200">
        <f t="shared" si="11"/>
        <v>139328</v>
      </c>
      <c r="S50" s="1200">
        <f t="shared" si="11"/>
        <v>139328</v>
      </c>
      <c r="T50" s="1200">
        <f t="shared" si="11"/>
        <v>139328</v>
      </c>
      <c r="U50" s="1200">
        <f t="shared" si="11"/>
        <v>139328</v>
      </c>
      <c r="V50" s="1281">
        <f t="shared" si="11"/>
        <v>139328</v>
      </c>
      <c r="W50" s="1281">
        <f t="shared" si="11"/>
        <v>139328</v>
      </c>
      <c r="X50" s="1281">
        <f t="shared" si="11"/>
        <v>139328</v>
      </c>
      <c r="Y50" s="1270"/>
    </row>
    <row r="51" spans="1:102">
      <c r="A51" s="1278" t="s">
        <v>1255</v>
      </c>
      <c r="B51" s="1279"/>
      <c r="C51" s="1280"/>
      <c r="D51" s="1200">
        <f>+IF($C45=4510,IF(D$6=4510,D$5,D$5+134328),IF(D$6=4511,D$5+134328,D$5))</f>
        <v>83700</v>
      </c>
      <c r="E51" s="1200">
        <f t="shared" ref="E51:X51" si="12">+IF($C45=4510,IF(E$6=4510,E$5,E$5+134328),IF(E$6=4511,E$5+134328,E$5))</f>
        <v>88080</v>
      </c>
      <c r="F51" s="1200">
        <f t="shared" si="12"/>
        <v>89910</v>
      </c>
      <c r="G51" s="1200">
        <f t="shared" si="12"/>
        <v>98400</v>
      </c>
      <c r="H51" s="1200">
        <f t="shared" si="12"/>
        <v>98400</v>
      </c>
      <c r="I51" s="1200">
        <f t="shared" si="12"/>
        <v>113610</v>
      </c>
      <c r="J51" s="1200">
        <f t="shared" si="12"/>
        <v>116500</v>
      </c>
      <c r="K51" s="1200">
        <f t="shared" si="12"/>
        <v>108910</v>
      </c>
      <c r="L51" s="1200">
        <f t="shared" si="12"/>
        <v>135978</v>
      </c>
      <c r="M51" s="1200">
        <f t="shared" si="12"/>
        <v>154828</v>
      </c>
      <c r="N51" s="1200">
        <f t="shared" si="12"/>
        <v>156528</v>
      </c>
      <c r="O51" s="1200">
        <f t="shared" si="12"/>
        <v>166828</v>
      </c>
      <c r="P51" s="1200">
        <f t="shared" si="12"/>
        <v>170628</v>
      </c>
      <c r="Q51" s="1200">
        <f t="shared" si="12"/>
        <v>173628</v>
      </c>
      <c r="R51" s="1200">
        <f t="shared" si="12"/>
        <v>177328</v>
      </c>
      <c r="S51" s="1200">
        <f t="shared" si="12"/>
        <v>183328</v>
      </c>
      <c r="T51" s="1200">
        <f t="shared" si="12"/>
        <v>184328</v>
      </c>
      <c r="U51" s="1200">
        <f t="shared" si="12"/>
        <v>189328</v>
      </c>
      <c r="V51" s="1281">
        <f t="shared" si="12"/>
        <v>135978</v>
      </c>
      <c r="W51" s="1281">
        <f t="shared" si="12"/>
        <v>177328</v>
      </c>
      <c r="X51" s="1281">
        <f t="shared" si="12"/>
        <v>98400</v>
      </c>
      <c r="Y51" s="1270"/>
    </row>
    <row r="52" spans="1:102" ht="15" customHeight="1">
      <c r="A52" s="1625" t="s">
        <v>1264</v>
      </c>
      <c r="B52" s="1267" t="s">
        <v>1257</v>
      </c>
      <c r="C52" s="1282">
        <f>+'CANTIDADES Fase II todo'!J25+'CANTIDADES Fase II todo'!J28</f>
        <v>180134.06999999998</v>
      </c>
      <c r="D52" s="1236"/>
      <c r="E52" s="1237"/>
      <c r="F52" s="1237"/>
      <c r="G52" s="1237"/>
      <c r="H52" s="1237"/>
      <c r="I52" s="1237"/>
      <c r="J52" s="1237"/>
      <c r="K52" s="1237"/>
      <c r="L52" s="1237" t="e">
        <f>$C52*#REF!*#REF!*0.3</f>
        <v>#REF!</v>
      </c>
      <c r="M52" s="1237" t="e">
        <f>$C52*#REF!*#REF!*0.7</f>
        <v>#REF!</v>
      </c>
      <c r="N52" s="1237"/>
      <c r="O52" s="1237"/>
      <c r="P52" s="1237"/>
      <c r="Q52" s="1237"/>
      <c r="R52" s="1237"/>
      <c r="S52" s="1237"/>
      <c r="T52" s="1237"/>
      <c r="U52" s="1237"/>
      <c r="V52" s="1283"/>
      <c r="W52" s="1283"/>
      <c r="X52" s="1283"/>
      <c r="Y52" s="1284" t="e">
        <f>+SUMPRODUCT(D52:X52,D49:X49)</f>
        <v>#REF!</v>
      </c>
      <c r="Z52" s="1236" t="e">
        <f>$C52*#REF!*#REF!</f>
        <v>#REF!</v>
      </c>
    </row>
    <row r="53" spans="1:102">
      <c r="A53" s="1626"/>
      <c r="B53" s="1267" t="s">
        <v>1258</v>
      </c>
      <c r="C53" s="1282">
        <f>+'CANTIDADES Fase II todo'!J26</f>
        <v>8442.9453958333361</v>
      </c>
      <c r="D53" s="1236"/>
      <c r="E53" s="1237"/>
      <c r="F53" s="1237"/>
      <c r="G53" s="1237"/>
      <c r="H53" s="1237"/>
      <c r="I53" s="1237"/>
      <c r="J53" s="1237"/>
      <c r="K53" s="1237"/>
      <c r="L53" s="1237" t="e">
        <f>$C53*#REF!*#REF!</f>
        <v>#REF!</v>
      </c>
      <c r="M53" s="1237"/>
      <c r="N53" s="1237"/>
      <c r="O53" s="1237"/>
      <c r="P53" s="1237"/>
      <c r="Q53" s="1237"/>
      <c r="R53" s="1237"/>
      <c r="S53" s="1237"/>
      <c r="T53" s="1237"/>
      <c r="U53" s="1237"/>
      <c r="V53" s="1283"/>
      <c r="W53" s="1283"/>
      <c r="X53" s="1283"/>
      <c r="Y53" s="1284" t="e">
        <f>+SUMPRODUCT(D53:X53,D49:X49)</f>
        <v>#REF!</v>
      </c>
      <c r="Z53" s="1236" t="e">
        <f>$C53*#REF!*#REF!</f>
        <v>#REF!</v>
      </c>
    </row>
    <row r="54" spans="1:102">
      <c r="A54" s="1626"/>
      <c r="B54" s="1267" t="s">
        <v>1259</v>
      </c>
      <c r="C54" s="1282">
        <f>+'CANTIDADES Fase II todo'!J72</f>
        <v>1018.8</v>
      </c>
      <c r="D54" s="1236"/>
      <c r="E54" s="1237"/>
      <c r="F54" s="1237"/>
      <c r="G54" s="1237"/>
      <c r="H54" s="1237"/>
      <c r="I54" s="1237"/>
      <c r="J54" s="1237"/>
      <c r="K54" s="1237"/>
      <c r="L54" s="1237"/>
      <c r="M54" s="1237"/>
      <c r="N54" s="1237"/>
      <c r="O54" s="1237"/>
      <c r="P54" s="1237"/>
      <c r="Q54" s="1237"/>
      <c r="R54" s="1237"/>
      <c r="S54" s="1237"/>
      <c r="T54" s="1237"/>
      <c r="U54" s="1237"/>
      <c r="V54" s="1283"/>
      <c r="W54" s="1283" t="e">
        <f>+$C54*#REF!*#REF!</f>
        <v>#REF!</v>
      </c>
      <c r="X54" s="1283"/>
      <c r="Y54" s="1284" t="e">
        <f>+SUMPRODUCT(D54:X54,D49:X49)</f>
        <v>#REF!</v>
      </c>
      <c r="Z54" s="1236" t="e">
        <f>+$C54*#REF!*#REF!</f>
        <v>#REF!</v>
      </c>
    </row>
    <row r="55" spans="1:102">
      <c r="A55" s="1626"/>
      <c r="B55" s="1267" t="s">
        <v>1260</v>
      </c>
      <c r="C55" s="1282">
        <f>+'CANTIDADES Fase II todo'!J83+'CANTIDADES Fase II todo'!J84+'CANTIDADES Fase II todo'!J85</f>
        <v>8040.3905208333344</v>
      </c>
      <c r="D55" s="1236"/>
      <c r="E55" s="1237"/>
      <c r="F55" s="1237"/>
      <c r="G55" s="1237"/>
      <c r="H55" s="1237"/>
      <c r="I55" s="1237"/>
      <c r="J55" s="1237"/>
      <c r="K55" s="1237"/>
      <c r="L55" s="1237"/>
      <c r="M55" s="1237"/>
      <c r="N55" s="1237"/>
      <c r="O55" s="1237"/>
      <c r="P55" s="1237"/>
      <c r="Q55" s="1237"/>
      <c r="R55" s="1237"/>
      <c r="S55" s="1237"/>
      <c r="T55" s="1237"/>
      <c r="U55" s="1237"/>
      <c r="V55" s="1283"/>
      <c r="W55" s="1283" t="e">
        <f>+$C55*#REF!*#REF!</f>
        <v>#REF!</v>
      </c>
      <c r="X55" s="1283"/>
      <c r="Y55" s="1284" t="e">
        <f>+SUMPRODUCT(D55:X55,D49:X49)</f>
        <v>#REF!</v>
      </c>
      <c r="Z55" s="1236" t="e">
        <f>+$C55*#REF!*#REF!</f>
        <v>#REF!</v>
      </c>
    </row>
    <row r="56" spans="1:102">
      <c r="A56" s="1626"/>
      <c r="B56" s="1267" t="s">
        <v>1261</v>
      </c>
      <c r="C56" s="1282">
        <f>+'CANTIDADES Fase II todo'!J92+'CANTIDADES Fase II todo'!J93</f>
        <v>7420.6689807870398</v>
      </c>
      <c r="D56" s="1236"/>
      <c r="E56" s="1237"/>
      <c r="F56" s="1237"/>
      <c r="G56" s="1237"/>
      <c r="H56" s="1237"/>
      <c r="I56" s="1237"/>
      <c r="J56" s="1237"/>
      <c r="K56" s="1237"/>
      <c r="L56" s="1237"/>
      <c r="M56" s="1237"/>
      <c r="N56" s="1237"/>
      <c r="O56" s="1237"/>
      <c r="P56" s="1237"/>
      <c r="Q56" s="1237"/>
      <c r="R56" s="1237"/>
      <c r="S56" s="1237"/>
      <c r="T56" s="1237"/>
      <c r="U56" s="1237"/>
      <c r="V56" s="1283"/>
      <c r="W56" s="1283"/>
      <c r="X56" s="1283" t="e">
        <f>+$C56*#REF!*#REF!</f>
        <v>#REF!</v>
      </c>
      <c r="Y56" s="1284" t="e">
        <f>+SUMPRODUCT(D56:X56,D49:X49)</f>
        <v>#REF!</v>
      </c>
      <c r="Z56" s="1243" t="e">
        <f>+$C56*#REF!*#REF!</f>
        <v>#REF!</v>
      </c>
    </row>
    <row r="57" spans="1:102" s="1186" customFormat="1">
      <c r="A57" s="1627"/>
      <c r="B57" s="1285" t="s">
        <v>1262</v>
      </c>
      <c r="C57" s="1286">
        <f>+'CANTIDADES Fase II todo'!J99</f>
        <v>1164.0210891203706</v>
      </c>
      <c r="D57" s="1287"/>
      <c r="E57" s="1246"/>
      <c r="F57" s="1246"/>
      <c r="G57" s="1246"/>
      <c r="H57" s="1246"/>
      <c r="I57" s="1246"/>
      <c r="J57" s="1246"/>
      <c r="K57" s="1246"/>
      <c r="L57" s="1246"/>
      <c r="M57" s="1246"/>
      <c r="N57" s="1246"/>
      <c r="O57" s="1246"/>
      <c r="P57" s="1246"/>
      <c r="Q57" s="1246"/>
      <c r="R57" s="1246"/>
      <c r="S57" s="1246"/>
      <c r="T57" s="1246"/>
      <c r="U57" s="1246"/>
      <c r="V57" s="1247"/>
      <c r="W57" s="1247"/>
      <c r="X57" s="1247" t="e">
        <f>+$C57*#REF!</f>
        <v>#REF!</v>
      </c>
      <c r="Y57" s="1245" t="e">
        <f>+SUMPRODUCT(D57:X57,D49:X49)</f>
        <v>#REF!</v>
      </c>
      <c r="Z57" s="1287" t="e">
        <f>+$C57*#REF!</f>
        <v>#REF!</v>
      </c>
    </row>
    <row r="58" spans="1:102">
      <c r="A58" s="1253" t="s">
        <v>1247</v>
      </c>
      <c r="B58" s="1310"/>
      <c r="C58" s="1255" t="s">
        <v>1267</v>
      </c>
      <c r="D58" s="1311"/>
      <c r="E58" s="1257"/>
      <c r="F58" s="1257"/>
      <c r="G58" s="1257"/>
      <c r="H58" s="1257"/>
      <c r="I58" s="1257"/>
      <c r="J58" s="1257"/>
      <c r="K58" s="1257"/>
      <c r="L58" s="1257"/>
      <c r="M58" s="1257"/>
      <c r="N58" s="1257"/>
      <c r="O58" s="1257"/>
      <c r="P58" s="1257"/>
      <c r="Q58" s="1257"/>
      <c r="R58" s="1257"/>
      <c r="S58" s="1257"/>
      <c r="T58" s="1257"/>
      <c r="U58" s="1257"/>
      <c r="V58" s="1258"/>
      <c r="W58" s="1258"/>
      <c r="X58" s="1258"/>
      <c r="Y58" s="1259"/>
      <c r="Z58" s="1260"/>
      <c r="AA58" s="1260"/>
      <c r="AB58" s="1260"/>
      <c r="AC58" s="1260"/>
      <c r="AD58" s="1260"/>
      <c r="AE58" s="1260"/>
      <c r="AF58" s="1260"/>
      <c r="AG58" s="1260"/>
      <c r="AH58" s="1260"/>
      <c r="AI58" s="1260"/>
      <c r="AJ58" s="1260"/>
      <c r="AK58" s="1260"/>
      <c r="AL58" s="1260"/>
      <c r="AM58" s="1260"/>
      <c r="AN58" s="1260"/>
      <c r="AO58" s="1260"/>
      <c r="AP58" s="1260"/>
      <c r="AQ58" s="1260"/>
      <c r="AR58" s="1260"/>
      <c r="AS58" s="1260"/>
      <c r="AT58" s="1260"/>
      <c r="AU58" s="1260"/>
      <c r="AV58" s="1260"/>
      <c r="AW58" s="1260"/>
      <c r="AX58" s="1260"/>
      <c r="AY58" s="1260"/>
      <c r="AZ58" s="1260"/>
      <c r="BA58" s="1260"/>
      <c r="BB58" s="1260"/>
      <c r="BC58" s="1260"/>
      <c r="BD58" s="1260"/>
      <c r="BE58" s="1260"/>
      <c r="BF58" s="1260"/>
      <c r="BG58" s="1260"/>
      <c r="BH58" s="1260"/>
      <c r="BI58" s="1260"/>
      <c r="BJ58" s="1260"/>
      <c r="BK58" s="1260"/>
      <c r="BL58" s="1260"/>
      <c r="BM58" s="1260"/>
      <c r="BN58" s="1260"/>
      <c r="BO58" s="1260"/>
      <c r="BP58" s="1260"/>
      <c r="BQ58" s="1260"/>
      <c r="BR58" s="1260"/>
      <c r="BS58" s="1260"/>
      <c r="BT58" s="1260"/>
      <c r="BU58" s="1260"/>
      <c r="BV58" s="1260"/>
      <c r="BW58" s="1260"/>
      <c r="BX58" s="1260"/>
      <c r="BY58" s="1260"/>
      <c r="BZ58" s="1260"/>
      <c r="CA58" s="1260"/>
      <c r="CB58" s="1260"/>
      <c r="CC58" s="1260"/>
      <c r="CD58" s="1260"/>
      <c r="CE58" s="1260"/>
      <c r="CF58" s="1260"/>
      <c r="CG58" s="1260"/>
      <c r="CH58" s="1260"/>
      <c r="CI58" s="1260"/>
      <c r="CJ58" s="1260"/>
      <c r="CK58" s="1260"/>
      <c r="CL58" s="1260"/>
      <c r="CM58" s="1260"/>
      <c r="CN58" s="1260"/>
      <c r="CO58" s="1260"/>
      <c r="CP58" s="1260"/>
      <c r="CQ58" s="1260"/>
      <c r="CR58" s="1260"/>
      <c r="CS58" s="1260"/>
      <c r="CT58" s="1260"/>
      <c r="CU58" s="1260"/>
      <c r="CV58" s="1260"/>
      <c r="CW58" s="1260"/>
      <c r="CX58" s="1260"/>
    </row>
    <row r="59" spans="1:102">
      <c r="A59" s="1261" t="s">
        <v>1227</v>
      </c>
      <c r="B59" s="1262"/>
      <c r="C59" s="1263">
        <v>4511</v>
      </c>
      <c r="D59" s="1264"/>
      <c r="E59" s="1265"/>
      <c r="F59" s="1265"/>
      <c r="G59" s="1265"/>
      <c r="H59" s="1265"/>
      <c r="I59" s="1265"/>
      <c r="J59" s="1265"/>
      <c r="K59" s="1265"/>
      <c r="L59" s="1265"/>
      <c r="M59" s="1265"/>
      <c r="N59" s="1265"/>
      <c r="O59" s="1265"/>
      <c r="P59" s="1265"/>
      <c r="Q59" s="1265"/>
      <c r="R59" s="1265"/>
      <c r="S59" s="1265"/>
      <c r="T59" s="1265"/>
      <c r="U59" s="1265"/>
      <c r="V59" s="1266"/>
      <c r="W59" s="1266"/>
      <c r="X59" s="1266"/>
      <c r="Y59" s="1259"/>
      <c r="Z59" s="1260"/>
      <c r="AA59" s="1260"/>
      <c r="AB59" s="1260"/>
      <c r="AC59" s="1260"/>
      <c r="AD59" s="1260"/>
      <c r="AE59" s="1260"/>
      <c r="AF59" s="1260"/>
      <c r="AG59" s="1260"/>
      <c r="AH59" s="1260"/>
      <c r="AI59" s="1260"/>
      <c r="AJ59" s="1260"/>
      <c r="AK59" s="1260"/>
      <c r="AL59" s="1260"/>
      <c r="AM59" s="1260"/>
      <c r="AN59" s="1260"/>
      <c r="AO59" s="1260"/>
      <c r="AP59" s="1260"/>
      <c r="AQ59" s="1260"/>
      <c r="AR59" s="1260"/>
      <c r="AS59" s="1260"/>
      <c r="AT59" s="1260"/>
      <c r="AU59" s="1260"/>
      <c r="AV59" s="1260"/>
      <c r="AW59" s="1260"/>
      <c r="AX59" s="1260"/>
      <c r="AY59" s="1260"/>
      <c r="AZ59" s="1260"/>
      <c r="BA59" s="1260"/>
      <c r="BB59" s="1260"/>
      <c r="BC59" s="1260"/>
      <c r="BD59" s="1260"/>
      <c r="BE59" s="1260"/>
      <c r="BF59" s="1260"/>
      <c r="BG59" s="1260"/>
      <c r="BH59" s="1260"/>
      <c r="BI59" s="1260"/>
      <c r="BJ59" s="1260"/>
      <c r="BK59" s="1260"/>
      <c r="BL59" s="1260"/>
      <c r="BM59" s="1260"/>
      <c r="BN59" s="1260"/>
      <c r="BO59" s="1260"/>
      <c r="BP59" s="1260"/>
      <c r="BQ59" s="1260"/>
      <c r="BR59" s="1260"/>
      <c r="BS59" s="1260"/>
      <c r="BT59" s="1260"/>
      <c r="BU59" s="1260"/>
      <c r="BV59" s="1260"/>
      <c r="BW59" s="1260"/>
      <c r="BX59" s="1260"/>
      <c r="BY59" s="1260"/>
      <c r="BZ59" s="1260"/>
      <c r="CA59" s="1260"/>
      <c r="CB59" s="1260"/>
      <c r="CC59" s="1260"/>
      <c r="CD59" s="1260"/>
      <c r="CE59" s="1260"/>
      <c r="CF59" s="1260"/>
      <c r="CG59" s="1260"/>
      <c r="CH59" s="1260"/>
      <c r="CI59" s="1260"/>
      <c r="CJ59" s="1260"/>
      <c r="CK59" s="1260"/>
      <c r="CL59" s="1260"/>
      <c r="CM59" s="1260"/>
      <c r="CN59" s="1260"/>
      <c r="CO59" s="1260"/>
      <c r="CP59" s="1260"/>
      <c r="CQ59" s="1260"/>
      <c r="CR59" s="1260"/>
      <c r="CS59" s="1260"/>
      <c r="CT59" s="1260"/>
      <c r="CU59" s="1260"/>
      <c r="CV59" s="1260"/>
      <c r="CW59" s="1260"/>
      <c r="CX59" s="1260"/>
    </row>
    <row r="60" spans="1:102">
      <c r="A60" s="1622" t="s">
        <v>1249</v>
      </c>
      <c r="B60" s="1267" t="s">
        <v>1250</v>
      </c>
      <c r="C60" s="1268">
        <v>11170</v>
      </c>
      <c r="D60" s="1269"/>
      <c r="E60" s="1270"/>
      <c r="F60" s="1270"/>
      <c r="G60" s="1270"/>
      <c r="H60" s="1270"/>
      <c r="I60" s="1270"/>
      <c r="J60" s="1270"/>
      <c r="K60" s="1270"/>
      <c r="L60" s="1270"/>
      <c r="M60" s="1270"/>
      <c r="N60" s="1270"/>
      <c r="O60" s="1270"/>
      <c r="P60" s="1270"/>
      <c r="Q60" s="1270"/>
      <c r="R60" s="1270"/>
      <c r="S60" s="1270"/>
      <c r="T60" s="1270"/>
      <c r="U60" s="1270"/>
      <c r="V60" s="1271"/>
      <c r="W60" s="1271"/>
      <c r="X60" s="1271"/>
      <c r="Y60" s="1259"/>
      <c r="Z60" s="1260"/>
      <c r="AA60" s="1260"/>
      <c r="AB60" s="1260"/>
      <c r="AC60" s="1260"/>
      <c r="AD60" s="1260"/>
      <c r="AE60" s="1260"/>
      <c r="AF60" s="1260"/>
      <c r="AG60" s="1260"/>
      <c r="AH60" s="1260"/>
      <c r="AI60" s="1260"/>
      <c r="AJ60" s="1260"/>
      <c r="AK60" s="1260"/>
      <c r="AL60" s="1260"/>
      <c r="AM60" s="1260"/>
      <c r="AN60" s="1260"/>
      <c r="AO60" s="1260"/>
      <c r="AP60" s="1260"/>
      <c r="AQ60" s="1260"/>
      <c r="AR60" s="1260"/>
      <c r="AS60" s="1260"/>
      <c r="AT60" s="1260"/>
      <c r="AU60" s="1260"/>
      <c r="AV60" s="1260"/>
      <c r="AW60" s="1260"/>
      <c r="AX60" s="1260"/>
      <c r="AY60" s="1260"/>
      <c r="AZ60" s="1260"/>
      <c r="BA60" s="1260"/>
      <c r="BB60" s="1260"/>
      <c r="BC60" s="1260"/>
      <c r="BD60" s="1260"/>
      <c r="BE60" s="1260"/>
      <c r="BF60" s="1260"/>
      <c r="BG60" s="1260"/>
      <c r="BH60" s="1260"/>
      <c r="BI60" s="1260"/>
      <c r="BJ60" s="1260"/>
      <c r="BK60" s="1260"/>
      <c r="BL60" s="1260"/>
      <c r="BM60" s="1260"/>
      <c r="BN60" s="1260"/>
      <c r="BO60" s="1260"/>
      <c r="BP60" s="1260"/>
      <c r="BQ60" s="1260"/>
      <c r="BR60" s="1260"/>
      <c r="BS60" s="1260"/>
      <c r="BT60" s="1260"/>
      <c r="BU60" s="1260"/>
      <c r="BV60" s="1260"/>
      <c r="BW60" s="1260"/>
      <c r="BX60" s="1260"/>
      <c r="BY60" s="1260"/>
      <c r="BZ60" s="1260"/>
      <c r="CA60" s="1260"/>
      <c r="CB60" s="1260"/>
      <c r="CC60" s="1260"/>
      <c r="CD60" s="1260"/>
      <c r="CE60" s="1260"/>
      <c r="CF60" s="1260"/>
      <c r="CG60" s="1260"/>
      <c r="CH60" s="1260"/>
      <c r="CI60" s="1260"/>
      <c r="CJ60" s="1260"/>
      <c r="CK60" s="1260"/>
      <c r="CL60" s="1260"/>
      <c r="CM60" s="1260"/>
      <c r="CN60" s="1260"/>
      <c r="CO60" s="1260"/>
      <c r="CP60" s="1260"/>
      <c r="CQ60" s="1260"/>
      <c r="CR60" s="1260"/>
      <c r="CS60" s="1260"/>
      <c r="CT60" s="1260"/>
      <c r="CU60" s="1260"/>
      <c r="CV60" s="1260"/>
      <c r="CW60" s="1260"/>
      <c r="CX60" s="1260"/>
    </row>
    <row r="61" spans="1:102">
      <c r="A61" s="1622"/>
      <c r="B61" s="1267" t="s">
        <v>1251</v>
      </c>
      <c r="C61" s="1268">
        <v>20000</v>
      </c>
      <c r="D61" s="1269"/>
      <c r="E61" s="1270"/>
      <c r="F61" s="1270"/>
      <c r="G61" s="1270"/>
      <c r="H61" s="1270"/>
      <c r="I61" s="1270"/>
      <c r="J61" s="1270"/>
      <c r="K61" s="1270"/>
      <c r="L61" s="1270"/>
      <c r="M61" s="1270"/>
      <c r="N61" s="1270"/>
      <c r="O61" s="1270"/>
      <c r="P61" s="1270"/>
      <c r="Q61" s="1270"/>
      <c r="R61" s="1270"/>
      <c r="S61" s="1270"/>
      <c r="T61" s="1270"/>
      <c r="U61" s="1270"/>
      <c r="V61" s="1271"/>
      <c r="W61" s="1271"/>
      <c r="X61" s="1271"/>
      <c r="Y61" s="1270"/>
    </row>
    <row r="62" spans="1:102">
      <c r="A62" s="1272" t="s">
        <v>1252</v>
      </c>
      <c r="B62" s="1273"/>
      <c r="C62" s="1268">
        <f>+(C61-C60)/2+C60</f>
        <v>15585</v>
      </c>
      <c r="D62" s="1269"/>
      <c r="E62" s="1270"/>
      <c r="F62" s="1270"/>
      <c r="G62" s="1270"/>
      <c r="H62" s="1270"/>
      <c r="I62" s="1270"/>
      <c r="J62" s="1270"/>
      <c r="K62" s="1270"/>
      <c r="L62" s="1270"/>
      <c r="M62" s="1270"/>
      <c r="N62" s="1270"/>
      <c r="O62" s="1270"/>
      <c r="P62" s="1270"/>
      <c r="Q62" s="1270"/>
      <c r="R62" s="1270"/>
      <c r="S62" s="1270"/>
      <c r="T62" s="1270"/>
      <c r="U62" s="1270"/>
      <c r="V62" s="1271"/>
      <c r="W62" s="1271"/>
      <c r="X62" s="1271"/>
      <c r="Y62" s="1270"/>
    </row>
    <row r="63" spans="1:102">
      <c r="A63" s="1272" t="s">
        <v>1253</v>
      </c>
      <c r="B63" s="1273"/>
      <c r="C63" s="1274"/>
      <c r="D63" s="1295">
        <f>IF(D65&gt;D64,(D65-D64)+D$2+D$3,(D64-D65)+D$2+D$4)/1000</f>
        <v>66.212999999999994</v>
      </c>
      <c r="E63" s="1276">
        <f t="shared" ref="E63:G63" si="13">IF(E65&gt;E64,(E65-E64)+E$2+E$3,(E64-E65)+E$2+E$4)/1000</f>
        <v>61.832999999999998</v>
      </c>
      <c r="F63" s="1276">
        <f t="shared" si="13"/>
        <v>60.003</v>
      </c>
      <c r="G63" s="1276">
        <f t="shared" si="13"/>
        <v>51.515000000000001</v>
      </c>
      <c r="H63" s="1276">
        <f>IF(H65&gt;H64,(H65-H64)+H$2*1000+H$3*1000,(H64-H65)+H$2*1000+H$4*1000)/1000</f>
        <v>54.512999999999998</v>
      </c>
      <c r="I63" s="1276">
        <f t="shared" ref="I63:X63" si="14">IF(I65&gt;I64,(I65-I64)+I$2*1000+I$3*1000,(I64-I65)+I$2*1000+I$4*1000)/1000</f>
        <v>44.139000000000017</v>
      </c>
      <c r="J63" s="1276">
        <f t="shared" si="14"/>
        <v>33.412999999999997</v>
      </c>
      <c r="K63" s="1276">
        <f t="shared" si="14"/>
        <v>41.003</v>
      </c>
      <c r="L63" s="1276">
        <f t="shared" si="14"/>
        <v>13.935</v>
      </c>
      <c r="M63" s="1276">
        <f t="shared" si="14"/>
        <v>5.8249999999999966</v>
      </c>
      <c r="N63" s="1276">
        <f t="shared" si="14"/>
        <v>25.451000000000001</v>
      </c>
      <c r="O63" s="1276">
        <f t="shared" si="14"/>
        <v>16.914999999999999</v>
      </c>
      <c r="P63" s="1276">
        <f t="shared" si="14"/>
        <v>20.715</v>
      </c>
      <c r="Q63" s="1276">
        <f t="shared" si="14"/>
        <v>27.405000000000012</v>
      </c>
      <c r="R63" s="1276">
        <f t="shared" si="14"/>
        <v>27.414999999999999</v>
      </c>
      <c r="S63" s="1276">
        <f t="shared" si="14"/>
        <v>33.414999999999999</v>
      </c>
      <c r="T63" s="1276">
        <f t="shared" si="14"/>
        <v>34.414999999999999</v>
      </c>
      <c r="U63" s="1276">
        <f t="shared" si="14"/>
        <v>39.414999999999999</v>
      </c>
      <c r="V63" s="1277">
        <f t="shared" si="14"/>
        <v>13.935</v>
      </c>
      <c r="W63" s="1277">
        <f t="shared" si="14"/>
        <v>27.414999999999999</v>
      </c>
      <c r="X63" s="1277">
        <f t="shared" si="14"/>
        <v>51.512999999999998</v>
      </c>
      <c r="Y63" s="1270"/>
    </row>
    <row r="64" spans="1:102">
      <c r="A64" s="1278" t="s">
        <v>1254</v>
      </c>
      <c r="B64" s="1279"/>
      <c r="C64" s="1280"/>
      <c r="D64" s="1200">
        <f>+IF($C59=4510,IF(D$6=4510,$C62,$C62),IF(D$6=4511,$C62+134328,134328+$C62))</f>
        <v>149913</v>
      </c>
      <c r="E64" s="1200">
        <f t="shared" ref="E64:X64" si="15">+IF($C59=4510,IF(E$6=4510,$C62,$C62),IF(E$6=4511,$C62+134328,134328+$C62))</f>
        <v>149913</v>
      </c>
      <c r="F64" s="1200">
        <f t="shared" si="15"/>
        <v>149913</v>
      </c>
      <c r="G64" s="1200">
        <f t="shared" si="15"/>
        <v>149913</v>
      </c>
      <c r="H64" s="1200">
        <f t="shared" si="15"/>
        <v>149913</v>
      </c>
      <c r="I64" s="1200">
        <f t="shared" si="15"/>
        <v>149913</v>
      </c>
      <c r="J64" s="1200">
        <f t="shared" si="15"/>
        <v>149913</v>
      </c>
      <c r="K64" s="1200">
        <f t="shared" si="15"/>
        <v>149913</v>
      </c>
      <c r="L64" s="1200">
        <f t="shared" si="15"/>
        <v>149913</v>
      </c>
      <c r="M64" s="1200">
        <f t="shared" si="15"/>
        <v>149913</v>
      </c>
      <c r="N64" s="1200">
        <f t="shared" si="15"/>
        <v>149913</v>
      </c>
      <c r="O64" s="1200">
        <f t="shared" si="15"/>
        <v>149913</v>
      </c>
      <c r="P64" s="1200">
        <f t="shared" si="15"/>
        <v>149913</v>
      </c>
      <c r="Q64" s="1200">
        <f t="shared" si="15"/>
        <v>149913</v>
      </c>
      <c r="R64" s="1200">
        <f t="shared" si="15"/>
        <v>149913</v>
      </c>
      <c r="S64" s="1200">
        <f t="shared" si="15"/>
        <v>149913</v>
      </c>
      <c r="T64" s="1200">
        <f t="shared" si="15"/>
        <v>149913</v>
      </c>
      <c r="U64" s="1200">
        <f t="shared" si="15"/>
        <v>149913</v>
      </c>
      <c r="V64" s="1281">
        <f t="shared" si="15"/>
        <v>149913</v>
      </c>
      <c r="W64" s="1281">
        <f t="shared" si="15"/>
        <v>149913</v>
      </c>
      <c r="X64" s="1281">
        <f t="shared" si="15"/>
        <v>149913</v>
      </c>
      <c r="Y64" s="1270"/>
    </row>
    <row r="65" spans="1:102">
      <c r="A65" s="1278" t="s">
        <v>1255</v>
      </c>
      <c r="B65" s="1279"/>
      <c r="C65" s="1280"/>
      <c r="D65" s="1200">
        <f>+IF($C59=4510,IF(D$6=4510,D$5,D$5+134328),IF(D$6=4511,D$5+134328,D$5))</f>
        <v>83700</v>
      </c>
      <c r="E65" s="1200">
        <f t="shared" ref="E65:X65" si="16">+IF($C59=4510,IF(E$6=4510,E$5,E$5+134328),IF(E$6=4511,E$5+134328,E$5))</f>
        <v>88080</v>
      </c>
      <c r="F65" s="1200">
        <f t="shared" si="16"/>
        <v>89910</v>
      </c>
      <c r="G65" s="1200">
        <f t="shared" si="16"/>
        <v>98400</v>
      </c>
      <c r="H65" s="1200">
        <f t="shared" si="16"/>
        <v>98400</v>
      </c>
      <c r="I65" s="1200">
        <f t="shared" si="16"/>
        <v>113610</v>
      </c>
      <c r="J65" s="1200">
        <f t="shared" si="16"/>
        <v>116500</v>
      </c>
      <c r="K65" s="1200">
        <f t="shared" si="16"/>
        <v>108910</v>
      </c>
      <c r="L65" s="1200">
        <f t="shared" si="16"/>
        <v>135978</v>
      </c>
      <c r="M65" s="1200">
        <f t="shared" si="16"/>
        <v>154828</v>
      </c>
      <c r="N65" s="1200">
        <f t="shared" si="16"/>
        <v>156528</v>
      </c>
      <c r="O65" s="1200">
        <f t="shared" si="16"/>
        <v>166828</v>
      </c>
      <c r="P65" s="1200">
        <f t="shared" si="16"/>
        <v>170628</v>
      </c>
      <c r="Q65" s="1200">
        <f t="shared" si="16"/>
        <v>173628</v>
      </c>
      <c r="R65" s="1200">
        <f t="shared" si="16"/>
        <v>177328</v>
      </c>
      <c r="S65" s="1200">
        <f t="shared" si="16"/>
        <v>183328</v>
      </c>
      <c r="T65" s="1200">
        <f t="shared" si="16"/>
        <v>184328</v>
      </c>
      <c r="U65" s="1200">
        <f t="shared" si="16"/>
        <v>189328</v>
      </c>
      <c r="V65" s="1281">
        <f t="shared" si="16"/>
        <v>135978</v>
      </c>
      <c r="W65" s="1281">
        <f t="shared" si="16"/>
        <v>177328</v>
      </c>
      <c r="X65" s="1281">
        <f t="shared" si="16"/>
        <v>98400</v>
      </c>
      <c r="Y65" s="1270"/>
    </row>
    <row r="66" spans="1:102">
      <c r="A66" s="1623" t="s">
        <v>1266</v>
      </c>
      <c r="B66" s="1267" t="s">
        <v>1257</v>
      </c>
      <c r="C66" s="1282">
        <f>+'CANTIDADES Fase II todo'!M25+'CANTIDADES Fase II todo'!M28</f>
        <v>8752.6319999999996</v>
      </c>
      <c r="D66" s="1236"/>
      <c r="E66" s="1237"/>
      <c r="F66" s="1237"/>
      <c r="G66" s="1237"/>
      <c r="H66" s="1237"/>
      <c r="I66" s="1237"/>
      <c r="J66" s="1237"/>
      <c r="K66" s="1237"/>
      <c r="L66" s="1237"/>
      <c r="M66" s="1237" t="e">
        <f>$C66*#REF!*#REF!</f>
        <v>#REF!</v>
      </c>
      <c r="N66" s="1237"/>
      <c r="O66" s="1237"/>
      <c r="P66" s="1237"/>
      <c r="Q66" s="1237"/>
      <c r="R66" s="1237"/>
      <c r="S66" s="1237"/>
      <c r="T66" s="1237"/>
      <c r="U66" s="1237"/>
      <c r="V66" s="1283"/>
      <c r="W66" s="1283"/>
      <c r="X66" s="1283"/>
      <c r="Y66" s="1284" t="e">
        <f>+SUMPRODUCT(D66:X66,D63:X63)</f>
        <v>#REF!</v>
      </c>
      <c r="Z66" s="1236" t="e">
        <f>$C66*#REF!*#REF!</f>
        <v>#REF!</v>
      </c>
    </row>
    <row r="67" spans="1:102">
      <c r="A67" s="1623"/>
      <c r="B67" s="1267" t="s">
        <v>1258</v>
      </c>
      <c r="C67" s="1282">
        <f>+'CANTIDADES Fase II todo'!M26</f>
        <v>4653.5219999999999</v>
      </c>
      <c r="D67" s="1236"/>
      <c r="E67" s="1237"/>
      <c r="F67" s="1237"/>
      <c r="G67" s="1237"/>
      <c r="H67" s="1237"/>
      <c r="I67" s="1237"/>
      <c r="J67" s="1237"/>
      <c r="K67" s="1237"/>
      <c r="L67" s="1237"/>
      <c r="M67" s="1237" t="e">
        <f>$C67*#REF!*#REF!</f>
        <v>#REF!</v>
      </c>
      <c r="N67" s="1237"/>
      <c r="O67" s="1237"/>
      <c r="P67" s="1237"/>
      <c r="Q67" s="1237"/>
      <c r="R67" s="1237"/>
      <c r="S67" s="1237"/>
      <c r="T67" s="1237"/>
      <c r="U67" s="1237"/>
      <c r="V67" s="1283"/>
      <c r="W67" s="1283"/>
      <c r="X67" s="1283"/>
      <c r="Y67" s="1284" t="e">
        <f>+SUMPRODUCT(D67:X67,D63:X63)</f>
        <v>#REF!</v>
      </c>
      <c r="Z67" s="1236" t="e">
        <f>$C67*#REF!*#REF!</f>
        <v>#REF!</v>
      </c>
    </row>
    <row r="68" spans="1:102">
      <c r="A68" s="1623"/>
      <c r="B68" s="1267" t="s">
        <v>1259</v>
      </c>
      <c r="C68" s="1282">
        <f>+'CANTIDADES Fase II todo'!M72</f>
        <v>53.436</v>
      </c>
      <c r="D68" s="1236"/>
      <c r="E68" s="1237"/>
      <c r="F68" s="1237"/>
      <c r="G68" s="1237"/>
      <c r="H68" s="1237"/>
      <c r="I68" s="1237"/>
      <c r="J68" s="1237"/>
      <c r="K68" s="1237"/>
      <c r="L68" s="1237"/>
      <c r="M68" s="1237"/>
      <c r="N68" s="1237"/>
      <c r="O68" s="1237"/>
      <c r="P68" s="1237"/>
      <c r="Q68" s="1237"/>
      <c r="R68" s="1237"/>
      <c r="S68" s="1237"/>
      <c r="T68" s="1237"/>
      <c r="U68" s="1237"/>
      <c r="V68" s="1283"/>
      <c r="W68" s="1283" t="e">
        <f>+$C68*#REF!*#REF!</f>
        <v>#REF!</v>
      </c>
      <c r="X68" s="1283"/>
      <c r="Y68" s="1284" t="e">
        <f>+SUMPRODUCT(D68:X68,D63:X63)</f>
        <v>#REF!</v>
      </c>
      <c r="Z68" s="1236" t="e">
        <f>+$C68*#REF!*#REF!</f>
        <v>#REF!</v>
      </c>
    </row>
    <row r="69" spans="1:102">
      <c r="A69" s="1623"/>
      <c r="B69" s="1267" t="s">
        <v>1260</v>
      </c>
      <c r="C69" s="1282">
        <f>+'CANTIDADES Fase II todo'!M83+'CANTIDADES Fase II todo'!M84+'CANTIDADES Fase II todo'!M85</f>
        <v>3579.6928000000007</v>
      </c>
      <c r="D69" s="1236"/>
      <c r="E69" s="1237"/>
      <c r="F69" s="1237"/>
      <c r="G69" s="1237"/>
      <c r="H69" s="1237"/>
      <c r="I69" s="1237"/>
      <c r="J69" s="1237"/>
      <c r="K69" s="1237"/>
      <c r="L69" s="1237"/>
      <c r="M69" s="1237"/>
      <c r="N69" s="1237"/>
      <c r="O69" s="1237"/>
      <c r="P69" s="1237"/>
      <c r="Q69" s="1237"/>
      <c r="R69" s="1237"/>
      <c r="S69" s="1237"/>
      <c r="T69" s="1237"/>
      <c r="U69" s="1237"/>
      <c r="V69" s="1283"/>
      <c r="W69" s="1283" t="e">
        <f>+$C69*#REF!*#REF!</f>
        <v>#REF!</v>
      </c>
      <c r="X69" s="1283"/>
      <c r="Y69" s="1284" t="e">
        <f>+SUMPRODUCT(D69:X69,D63:X63)</f>
        <v>#REF!</v>
      </c>
      <c r="Z69" s="1236" t="e">
        <f>+$C69*#REF!*#REF!</f>
        <v>#REF!</v>
      </c>
    </row>
    <row r="70" spans="1:102">
      <c r="A70" s="1624"/>
      <c r="B70" s="1292" t="s">
        <v>1261</v>
      </c>
      <c r="C70" s="1293">
        <f>+'CANTIDADES Fase II todo'!M92+'CANTIDADES Fase II todo'!M93</f>
        <v>959.88967000000002</v>
      </c>
      <c r="D70" s="1243"/>
      <c r="E70" s="1244"/>
      <c r="F70" s="1244"/>
      <c r="G70" s="1244"/>
      <c r="H70" s="1244"/>
      <c r="I70" s="1244"/>
      <c r="J70" s="1244"/>
      <c r="K70" s="1244"/>
      <c r="L70" s="1244"/>
      <c r="M70" s="1244"/>
      <c r="N70" s="1244"/>
      <c r="O70" s="1244"/>
      <c r="P70" s="1244"/>
      <c r="Q70" s="1244"/>
      <c r="R70" s="1244"/>
      <c r="S70" s="1244"/>
      <c r="T70" s="1244"/>
      <c r="U70" s="1244"/>
      <c r="V70" s="1294"/>
      <c r="W70" s="1294"/>
      <c r="X70" s="1294" t="e">
        <f>+$C70*#REF!*#REF!</f>
        <v>#REF!</v>
      </c>
      <c r="Y70" s="1284" t="e">
        <f>+SUMPRODUCT(D70:X70,D63:X63)</f>
        <v>#REF!</v>
      </c>
      <c r="Z70" s="1243" t="e">
        <f>+$C70*#REF!*#REF!</f>
        <v>#REF!</v>
      </c>
    </row>
    <row r="71" spans="1:102">
      <c r="A71" s="1253" t="s">
        <v>1247</v>
      </c>
      <c r="B71" s="1310"/>
      <c r="C71" s="1255" t="s">
        <v>1468</v>
      </c>
      <c r="D71" s="1311"/>
      <c r="E71" s="1257"/>
      <c r="F71" s="1257"/>
      <c r="G71" s="1257"/>
      <c r="H71" s="1257"/>
      <c r="I71" s="1257"/>
      <c r="J71" s="1257"/>
      <c r="K71" s="1257"/>
      <c r="L71" s="1257"/>
      <c r="M71" s="1257"/>
      <c r="N71" s="1257"/>
      <c r="O71" s="1257"/>
      <c r="P71" s="1257"/>
      <c r="Q71" s="1257"/>
      <c r="R71" s="1257"/>
      <c r="S71" s="1257"/>
      <c r="T71" s="1257"/>
      <c r="U71" s="1257"/>
      <c r="V71" s="1258"/>
      <c r="W71" s="1258"/>
      <c r="X71" s="1258"/>
      <c r="Y71" s="1259"/>
      <c r="Z71" s="1260"/>
      <c r="AA71" s="1260"/>
      <c r="AB71" s="1260"/>
      <c r="AC71" s="1260"/>
      <c r="AD71" s="1260"/>
      <c r="AE71" s="1260"/>
      <c r="AF71" s="1260"/>
      <c r="AG71" s="1260"/>
      <c r="AH71" s="1260"/>
      <c r="AI71" s="1260"/>
      <c r="AJ71" s="1260"/>
      <c r="AK71" s="1260"/>
      <c r="AL71" s="1260"/>
      <c r="AM71" s="1260"/>
      <c r="AN71" s="1260"/>
      <c r="AO71" s="1260"/>
      <c r="AP71" s="1260"/>
      <c r="AQ71" s="1260"/>
      <c r="AR71" s="1260"/>
      <c r="AS71" s="1260"/>
      <c r="AT71" s="1260"/>
      <c r="AU71" s="1260"/>
      <c r="AV71" s="1260"/>
      <c r="AW71" s="1260"/>
      <c r="AX71" s="1260"/>
      <c r="AY71" s="1260"/>
      <c r="AZ71" s="1260"/>
      <c r="BA71" s="1260"/>
      <c r="BB71" s="1260"/>
      <c r="BC71" s="1260"/>
      <c r="BD71" s="1260"/>
      <c r="BE71" s="1260"/>
      <c r="BF71" s="1260"/>
      <c r="BG71" s="1260"/>
      <c r="BH71" s="1260"/>
      <c r="BI71" s="1260"/>
      <c r="BJ71" s="1260"/>
      <c r="BK71" s="1260"/>
      <c r="BL71" s="1260"/>
      <c r="BM71" s="1260"/>
      <c r="BN71" s="1260"/>
      <c r="BO71" s="1260"/>
      <c r="BP71" s="1260"/>
      <c r="BQ71" s="1260"/>
      <c r="BR71" s="1260"/>
      <c r="BS71" s="1260"/>
      <c r="BT71" s="1260"/>
      <c r="BU71" s="1260"/>
      <c r="BV71" s="1260"/>
      <c r="BW71" s="1260"/>
      <c r="BX71" s="1260"/>
      <c r="BY71" s="1260"/>
      <c r="BZ71" s="1260"/>
      <c r="CA71" s="1260"/>
      <c r="CB71" s="1260"/>
      <c r="CC71" s="1260"/>
      <c r="CD71" s="1260"/>
      <c r="CE71" s="1260"/>
      <c r="CF71" s="1260"/>
      <c r="CG71" s="1260"/>
      <c r="CH71" s="1260"/>
      <c r="CI71" s="1260"/>
      <c r="CJ71" s="1260"/>
      <c r="CK71" s="1260"/>
      <c r="CL71" s="1260"/>
      <c r="CM71" s="1260"/>
      <c r="CN71" s="1260"/>
      <c r="CO71" s="1260"/>
      <c r="CP71" s="1260"/>
      <c r="CQ71" s="1260"/>
      <c r="CR71" s="1260"/>
      <c r="CS71" s="1260"/>
      <c r="CT71" s="1260"/>
      <c r="CU71" s="1260"/>
      <c r="CV71" s="1260"/>
      <c r="CW71" s="1260"/>
      <c r="CX71" s="1260"/>
    </row>
    <row r="72" spans="1:102">
      <c r="A72" s="1261" t="s">
        <v>1227</v>
      </c>
      <c r="B72" s="1262"/>
      <c r="C72" s="1263">
        <v>4511</v>
      </c>
      <c r="D72" s="1264"/>
      <c r="E72" s="1265"/>
      <c r="F72" s="1265"/>
      <c r="G72" s="1265"/>
      <c r="H72" s="1265"/>
      <c r="I72" s="1265"/>
      <c r="J72" s="1265"/>
      <c r="K72" s="1265"/>
      <c r="L72" s="1265"/>
      <c r="M72" s="1265"/>
      <c r="N72" s="1265"/>
      <c r="O72" s="1265"/>
      <c r="P72" s="1265"/>
      <c r="Q72" s="1265"/>
      <c r="R72" s="1265"/>
      <c r="S72" s="1265"/>
      <c r="T72" s="1265"/>
      <c r="U72" s="1265"/>
      <c r="V72" s="1266"/>
      <c r="W72" s="1266"/>
      <c r="X72" s="1266"/>
      <c r="Y72" s="1259"/>
      <c r="Z72" s="1260"/>
      <c r="AA72" s="1260"/>
      <c r="AB72" s="1260"/>
      <c r="AC72" s="1260"/>
      <c r="AD72" s="1260"/>
      <c r="AE72" s="1260"/>
      <c r="AF72" s="1260"/>
      <c r="AG72" s="1260"/>
      <c r="AH72" s="1260"/>
      <c r="AI72" s="1260"/>
      <c r="AJ72" s="1260"/>
      <c r="AK72" s="1260"/>
      <c r="AL72" s="1260"/>
      <c r="AM72" s="1260"/>
      <c r="AN72" s="1260"/>
      <c r="AO72" s="1260"/>
      <c r="AP72" s="1260"/>
      <c r="AQ72" s="1260"/>
      <c r="AR72" s="1260"/>
      <c r="AS72" s="1260"/>
      <c r="AT72" s="1260"/>
      <c r="AU72" s="1260"/>
      <c r="AV72" s="1260"/>
      <c r="AW72" s="1260"/>
      <c r="AX72" s="1260"/>
      <c r="AY72" s="1260"/>
      <c r="AZ72" s="1260"/>
      <c r="BA72" s="1260"/>
      <c r="BB72" s="1260"/>
      <c r="BC72" s="1260"/>
      <c r="BD72" s="1260"/>
      <c r="BE72" s="1260"/>
      <c r="BF72" s="1260"/>
      <c r="BG72" s="1260"/>
      <c r="BH72" s="1260"/>
      <c r="BI72" s="1260"/>
      <c r="BJ72" s="1260"/>
      <c r="BK72" s="1260"/>
      <c r="BL72" s="1260"/>
      <c r="BM72" s="1260"/>
      <c r="BN72" s="1260"/>
      <c r="BO72" s="1260"/>
      <c r="BP72" s="1260"/>
      <c r="BQ72" s="1260"/>
      <c r="BR72" s="1260"/>
      <c r="BS72" s="1260"/>
      <c r="BT72" s="1260"/>
      <c r="BU72" s="1260"/>
      <c r="BV72" s="1260"/>
      <c r="BW72" s="1260"/>
      <c r="BX72" s="1260"/>
      <c r="BY72" s="1260"/>
      <c r="BZ72" s="1260"/>
      <c r="CA72" s="1260"/>
      <c r="CB72" s="1260"/>
      <c r="CC72" s="1260"/>
      <c r="CD72" s="1260"/>
      <c r="CE72" s="1260"/>
      <c r="CF72" s="1260"/>
      <c r="CG72" s="1260"/>
      <c r="CH72" s="1260"/>
      <c r="CI72" s="1260"/>
      <c r="CJ72" s="1260"/>
      <c r="CK72" s="1260"/>
      <c r="CL72" s="1260"/>
      <c r="CM72" s="1260"/>
      <c r="CN72" s="1260"/>
      <c r="CO72" s="1260"/>
      <c r="CP72" s="1260"/>
      <c r="CQ72" s="1260"/>
      <c r="CR72" s="1260"/>
      <c r="CS72" s="1260"/>
      <c r="CT72" s="1260"/>
      <c r="CU72" s="1260"/>
      <c r="CV72" s="1260"/>
      <c r="CW72" s="1260"/>
      <c r="CX72" s="1260"/>
    </row>
    <row r="73" spans="1:102">
      <c r="A73" s="1622" t="s">
        <v>1249</v>
      </c>
      <c r="B73" s="1267" t="s">
        <v>1250</v>
      </c>
      <c r="C73" s="1268">
        <v>10000</v>
      </c>
      <c r="D73" s="1269"/>
      <c r="E73" s="1270"/>
      <c r="F73" s="1270"/>
      <c r="G73" s="1270"/>
      <c r="H73" s="1270"/>
      <c r="I73" s="1270"/>
      <c r="J73" s="1270"/>
      <c r="K73" s="1270"/>
      <c r="L73" s="1270"/>
      <c r="M73" s="1270"/>
      <c r="N73" s="1270"/>
      <c r="O73" s="1270"/>
      <c r="P73" s="1270"/>
      <c r="Q73" s="1270"/>
      <c r="R73" s="1270"/>
      <c r="S73" s="1270"/>
      <c r="T73" s="1270"/>
      <c r="U73" s="1270"/>
      <c r="V73" s="1271"/>
      <c r="W73" s="1271"/>
      <c r="X73" s="1271"/>
      <c r="Y73" s="1259"/>
      <c r="Z73" s="1260"/>
      <c r="AA73" s="1260"/>
      <c r="AB73" s="1260"/>
      <c r="AC73" s="1260"/>
      <c r="AD73" s="1260"/>
      <c r="AE73" s="1260"/>
      <c r="AF73" s="1260"/>
      <c r="AG73" s="1260"/>
      <c r="AH73" s="1260"/>
      <c r="AI73" s="1260"/>
      <c r="AJ73" s="1260"/>
      <c r="AK73" s="1260"/>
      <c r="AL73" s="1260"/>
      <c r="AM73" s="1260"/>
      <c r="AN73" s="1260"/>
      <c r="AO73" s="1260"/>
      <c r="AP73" s="1260"/>
      <c r="AQ73" s="1260"/>
      <c r="AR73" s="1260"/>
      <c r="AS73" s="1260"/>
      <c r="AT73" s="1260"/>
      <c r="AU73" s="1260"/>
      <c r="AV73" s="1260"/>
      <c r="AW73" s="1260"/>
      <c r="AX73" s="1260"/>
      <c r="AY73" s="1260"/>
      <c r="AZ73" s="1260"/>
      <c r="BA73" s="1260"/>
      <c r="BB73" s="1260"/>
      <c r="BC73" s="1260"/>
      <c r="BD73" s="1260"/>
      <c r="BE73" s="1260"/>
      <c r="BF73" s="1260"/>
      <c r="BG73" s="1260"/>
      <c r="BH73" s="1260"/>
      <c r="BI73" s="1260"/>
      <c r="BJ73" s="1260"/>
      <c r="BK73" s="1260"/>
      <c r="BL73" s="1260"/>
      <c r="BM73" s="1260"/>
      <c r="BN73" s="1260"/>
      <c r="BO73" s="1260"/>
      <c r="BP73" s="1260"/>
      <c r="BQ73" s="1260"/>
      <c r="BR73" s="1260"/>
      <c r="BS73" s="1260"/>
      <c r="BT73" s="1260"/>
      <c r="BU73" s="1260"/>
      <c r="BV73" s="1260"/>
      <c r="BW73" s="1260"/>
      <c r="BX73" s="1260"/>
      <c r="BY73" s="1260"/>
      <c r="BZ73" s="1260"/>
      <c r="CA73" s="1260"/>
      <c r="CB73" s="1260"/>
      <c r="CC73" s="1260"/>
      <c r="CD73" s="1260"/>
      <c r="CE73" s="1260"/>
      <c r="CF73" s="1260"/>
      <c r="CG73" s="1260"/>
      <c r="CH73" s="1260"/>
      <c r="CI73" s="1260"/>
      <c r="CJ73" s="1260"/>
      <c r="CK73" s="1260"/>
      <c r="CL73" s="1260"/>
      <c r="CM73" s="1260"/>
      <c r="CN73" s="1260"/>
      <c r="CO73" s="1260"/>
      <c r="CP73" s="1260"/>
      <c r="CQ73" s="1260"/>
      <c r="CR73" s="1260"/>
      <c r="CS73" s="1260"/>
      <c r="CT73" s="1260"/>
      <c r="CU73" s="1260"/>
      <c r="CV73" s="1260"/>
      <c r="CW73" s="1260"/>
      <c r="CX73" s="1260"/>
    </row>
    <row r="74" spans="1:102">
      <c r="A74" s="1622"/>
      <c r="B74" s="1267" t="s">
        <v>1251</v>
      </c>
      <c r="C74" s="1268">
        <v>19480</v>
      </c>
      <c r="D74" s="1269"/>
      <c r="E74" s="1270"/>
      <c r="F74" s="1270"/>
      <c r="G74" s="1270"/>
      <c r="H74" s="1270"/>
      <c r="I74" s="1270"/>
      <c r="J74" s="1270"/>
      <c r="K74" s="1270"/>
      <c r="L74" s="1270"/>
      <c r="M74" s="1270"/>
      <c r="N74" s="1270"/>
      <c r="O74" s="1270"/>
      <c r="P74" s="1270"/>
      <c r="Q74" s="1270"/>
      <c r="R74" s="1270"/>
      <c r="S74" s="1270"/>
      <c r="T74" s="1270"/>
      <c r="U74" s="1270"/>
      <c r="V74" s="1271"/>
      <c r="W74" s="1271"/>
      <c r="X74" s="1271"/>
      <c r="Y74" s="1270"/>
    </row>
    <row r="75" spans="1:102">
      <c r="A75" s="1272" t="s">
        <v>1252</v>
      </c>
      <c r="B75" s="1273"/>
      <c r="C75" s="1268">
        <f>+(C74-C73)/2+C73</f>
        <v>14740</v>
      </c>
      <c r="D75" s="1269"/>
      <c r="E75" s="1270"/>
      <c r="F75" s="1270"/>
      <c r="G75" s="1270"/>
      <c r="H75" s="1270"/>
      <c r="I75" s="1270"/>
      <c r="J75" s="1270"/>
      <c r="K75" s="1270"/>
      <c r="L75" s="1270"/>
      <c r="M75" s="1270"/>
      <c r="N75" s="1270"/>
      <c r="O75" s="1270"/>
      <c r="P75" s="1270"/>
      <c r="Q75" s="1270"/>
      <c r="R75" s="1270"/>
      <c r="S75" s="1270"/>
      <c r="T75" s="1270"/>
      <c r="U75" s="1270"/>
      <c r="V75" s="1271"/>
      <c r="W75" s="1271"/>
      <c r="X75" s="1271"/>
      <c r="Y75" s="1270"/>
    </row>
    <row r="76" spans="1:102">
      <c r="A76" s="1272" t="s">
        <v>1253</v>
      </c>
      <c r="B76" s="1273"/>
      <c r="C76" s="1274"/>
      <c r="D76" s="1295">
        <f>IF(D78&gt;D77,(D78-D77)+D$2+D$3,(D77-D78)+D$2+D$4)/1000</f>
        <v>65.367999999999995</v>
      </c>
      <c r="E76" s="1276">
        <f t="shared" ref="E76:G76" si="17">IF(E78&gt;E77,(E78-E77)+E$2+E$3,(E77-E78)+E$2+E$4)/1000</f>
        <v>60.988</v>
      </c>
      <c r="F76" s="1276">
        <f t="shared" si="17"/>
        <v>59.158000000000001</v>
      </c>
      <c r="G76" s="1276">
        <f t="shared" si="17"/>
        <v>50.67</v>
      </c>
      <c r="H76" s="1276">
        <f>IF(H78&gt;H77,(H78-H77)+H$2*1000+H$3*1000,(H77-H78)+H$2*1000+H$4*1000)/1000</f>
        <v>53.667999999999999</v>
      </c>
      <c r="I76" s="1276">
        <f t="shared" ref="I76:X76" si="18">IF(I78&gt;I77,(I78-I77)+I$2*1000+I$3*1000,(I77-I78)+I$2*1000+I$4*1000)/1000</f>
        <v>43.294000000000011</v>
      </c>
      <c r="J76" s="1276">
        <f t="shared" si="18"/>
        <v>32.567999999999998</v>
      </c>
      <c r="K76" s="1276">
        <f t="shared" si="18"/>
        <v>40.158000000000001</v>
      </c>
      <c r="L76" s="1276">
        <f t="shared" si="18"/>
        <v>13.09</v>
      </c>
      <c r="M76" s="1276">
        <f t="shared" si="18"/>
        <v>6.6699999999999964</v>
      </c>
      <c r="N76" s="1276">
        <f t="shared" si="18"/>
        <v>26.295999999999999</v>
      </c>
      <c r="O76" s="1276">
        <f t="shared" si="18"/>
        <v>17.760000000000002</v>
      </c>
      <c r="P76" s="1276">
        <f t="shared" si="18"/>
        <v>21.56</v>
      </c>
      <c r="Q76" s="1276">
        <f t="shared" si="18"/>
        <v>28.250000000000011</v>
      </c>
      <c r="R76" s="1276">
        <f t="shared" si="18"/>
        <v>28.26</v>
      </c>
      <c r="S76" s="1276">
        <f t="shared" si="18"/>
        <v>34.26</v>
      </c>
      <c r="T76" s="1276">
        <f t="shared" si="18"/>
        <v>35.26</v>
      </c>
      <c r="U76" s="1276">
        <f t="shared" si="18"/>
        <v>40.26</v>
      </c>
      <c r="V76" s="1277">
        <f t="shared" si="18"/>
        <v>13.09</v>
      </c>
      <c r="W76" s="1277">
        <f t="shared" si="18"/>
        <v>28.26</v>
      </c>
      <c r="X76" s="1277">
        <f t="shared" si="18"/>
        <v>50.667999999999999</v>
      </c>
      <c r="Y76" s="1270"/>
    </row>
    <row r="77" spans="1:102">
      <c r="A77" s="1278" t="s">
        <v>1254</v>
      </c>
      <c r="B77" s="1279"/>
      <c r="C77" s="1280"/>
      <c r="D77" s="1200">
        <f>+IF($C72=4510,IF(D$6=4510,$C75,$C75),IF(D$6=4511,$C75+134328,134328+$C75))</f>
        <v>149068</v>
      </c>
      <c r="E77" s="1200">
        <f t="shared" ref="E77:X77" si="19">+IF($C72=4510,IF(E$6=4510,$C75,$C75),IF(E$6=4511,$C75+134328,134328+$C75))</f>
        <v>149068</v>
      </c>
      <c r="F77" s="1200">
        <f t="shared" si="19"/>
        <v>149068</v>
      </c>
      <c r="G77" s="1200">
        <f t="shared" si="19"/>
        <v>149068</v>
      </c>
      <c r="H77" s="1200">
        <f t="shared" si="19"/>
        <v>149068</v>
      </c>
      <c r="I77" s="1200">
        <f t="shared" si="19"/>
        <v>149068</v>
      </c>
      <c r="J77" s="1200">
        <f t="shared" si="19"/>
        <v>149068</v>
      </c>
      <c r="K77" s="1200">
        <f t="shared" si="19"/>
        <v>149068</v>
      </c>
      <c r="L77" s="1200">
        <f t="shared" si="19"/>
        <v>149068</v>
      </c>
      <c r="M77" s="1200">
        <f t="shared" si="19"/>
        <v>149068</v>
      </c>
      <c r="N77" s="1200">
        <f t="shared" si="19"/>
        <v>149068</v>
      </c>
      <c r="O77" s="1200">
        <f t="shared" si="19"/>
        <v>149068</v>
      </c>
      <c r="P77" s="1200">
        <f t="shared" si="19"/>
        <v>149068</v>
      </c>
      <c r="Q77" s="1200">
        <f t="shared" si="19"/>
        <v>149068</v>
      </c>
      <c r="R77" s="1200">
        <f t="shared" si="19"/>
        <v>149068</v>
      </c>
      <c r="S77" s="1200">
        <f t="shared" si="19"/>
        <v>149068</v>
      </c>
      <c r="T77" s="1200">
        <f t="shared" si="19"/>
        <v>149068</v>
      </c>
      <c r="U77" s="1200">
        <f t="shared" si="19"/>
        <v>149068</v>
      </c>
      <c r="V77" s="1281">
        <f t="shared" si="19"/>
        <v>149068</v>
      </c>
      <c r="W77" s="1281">
        <f t="shared" si="19"/>
        <v>149068</v>
      </c>
      <c r="X77" s="1281">
        <f t="shared" si="19"/>
        <v>149068</v>
      </c>
      <c r="Y77" s="1270"/>
    </row>
    <row r="78" spans="1:102">
      <c r="A78" s="1278" t="s">
        <v>1255</v>
      </c>
      <c r="B78" s="1279"/>
      <c r="C78" s="1280"/>
      <c r="D78" s="1200">
        <f>+IF($C72=4510,IF(D$6=4510,D$5,D$5+134328),IF(D$6=4511,D$5+134328,D$5))</f>
        <v>83700</v>
      </c>
      <c r="E78" s="1200">
        <f t="shared" ref="E78:X78" si="20">+IF($C72=4510,IF(E$6=4510,E$5,E$5+134328),IF(E$6=4511,E$5+134328,E$5))</f>
        <v>88080</v>
      </c>
      <c r="F78" s="1200">
        <f t="shared" si="20"/>
        <v>89910</v>
      </c>
      <c r="G78" s="1200">
        <f t="shared" si="20"/>
        <v>98400</v>
      </c>
      <c r="H78" s="1200">
        <f t="shared" si="20"/>
        <v>98400</v>
      </c>
      <c r="I78" s="1200">
        <f t="shared" si="20"/>
        <v>113610</v>
      </c>
      <c r="J78" s="1200">
        <f t="shared" si="20"/>
        <v>116500</v>
      </c>
      <c r="K78" s="1200">
        <f t="shared" si="20"/>
        <v>108910</v>
      </c>
      <c r="L78" s="1200">
        <f t="shared" si="20"/>
        <v>135978</v>
      </c>
      <c r="M78" s="1200">
        <f t="shared" si="20"/>
        <v>154828</v>
      </c>
      <c r="N78" s="1200">
        <f t="shared" si="20"/>
        <v>156528</v>
      </c>
      <c r="O78" s="1200">
        <f t="shared" si="20"/>
        <v>166828</v>
      </c>
      <c r="P78" s="1200">
        <f t="shared" si="20"/>
        <v>170628</v>
      </c>
      <c r="Q78" s="1200">
        <f t="shared" si="20"/>
        <v>173628</v>
      </c>
      <c r="R78" s="1200">
        <f t="shared" si="20"/>
        <v>177328</v>
      </c>
      <c r="S78" s="1200">
        <f t="shared" si="20"/>
        <v>183328</v>
      </c>
      <c r="T78" s="1200">
        <f t="shared" si="20"/>
        <v>184328</v>
      </c>
      <c r="U78" s="1200">
        <f t="shared" si="20"/>
        <v>189328</v>
      </c>
      <c r="V78" s="1281">
        <f t="shared" si="20"/>
        <v>135978</v>
      </c>
      <c r="W78" s="1281">
        <f t="shared" si="20"/>
        <v>177328</v>
      </c>
      <c r="X78" s="1281">
        <f t="shared" si="20"/>
        <v>98400</v>
      </c>
      <c r="Y78" s="1270"/>
    </row>
    <row r="79" spans="1:102" ht="15" customHeight="1">
      <c r="A79" s="1625" t="s">
        <v>1264</v>
      </c>
      <c r="B79" s="1267" t="s">
        <v>1257</v>
      </c>
      <c r="C79" s="1282">
        <f>+'CANTIDADES Fase II todo'!P25+'CANTIDADES Fase II todo'!P28</f>
        <v>0</v>
      </c>
      <c r="D79" s="1236"/>
      <c r="E79" s="1237"/>
      <c r="F79" s="1237"/>
      <c r="G79" s="1237"/>
      <c r="H79" s="1237"/>
      <c r="I79" s="1237"/>
      <c r="J79" s="1237"/>
      <c r="K79" s="1237"/>
      <c r="L79" s="1237"/>
      <c r="M79" s="1237"/>
      <c r="N79" s="1237"/>
      <c r="O79" s="1237"/>
      <c r="P79" s="1237"/>
      <c r="Q79" s="1237"/>
      <c r="R79" s="1237"/>
      <c r="S79" s="1237"/>
      <c r="T79" s="1237"/>
      <c r="U79" s="1237"/>
      <c r="V79" s="1283"/>
      <c r="W79" s="1283"/>
      <c r="X79" s="1283"/>
      <c r="Y79" s="1284">
        <f>+SUMPRODUCT(D79:X79,D76:X76)</f>
        <v>0</v>
      </c>
      <c r="Z79" s="1236" t="e">
        <f>$C79*#REF!*#REF!</f>
        <v>#REF!</v>
      </c>
    </row>
    <row r="80" spans="1:102">
      <c r="A80" s="1626"/>
      <c r="B80" s="1267" t="s">
        <v>1258</v>
      </c>
      <c r="C80" s="1282">
        <f>+'CANTIDADES Fase II todo'!P26</f>
        <v>0</v>
      </c>
      <c r="D80" s="1236"/>
      <c r="E80" s="1237"/>
      <c r="F80" s="1237"/>
      <c r="G80" s="1237"/>
      <c r="H80" s="1237"/>
      <c r="I80" s="1237"/>
      <c r="J80" s="1237"/>
      <c r="K80" s="1237"/>
      <c r="L80" s="1237"/>
      <c r="M80" s="1237"/>
      <c r="N80" s="1237"/>
      <c r="O80" s="1237"/>
      <c r="P80" s="1237"/>
      <c r="Q80" s="1237"/>
      <c r="R80" s="1237"/>
      <c r="S80" s="1237"/>
      <c r="T80" s="1237"/>
      <c r="U80" s="1237"/>
      <c r="V80" s="1283"/>
      <c r="W80" s="1283"/>
      <c r="X80" s="1283"/>
      <c r="Y80" s="1284">
        <f>+SUMPRODUCT(D80:X80,D76:X76)</f>
        <v>0</v>
      </c>
      <c r="Z80" s="1236" t="e">
        <f>$C80*#REF!*#REF!</f>
        <v>#REF!</v>
      </c>
    </row>
    <row r="81" spans="1:102">
      <c r="A81" s="1626"/>
      <c r="B81" s="1267" t="s">
        <v>1259</v>
      </c>
      <c r="C81" s="1282">
        <f>+'CANTIDADES Fase II todo'!P72</f>
        <v>640.64799999999991</v>
      </c>
      <c r="D81" s="1236"/>
      <c r="E81" s="1237"/>
      <c r="F81" s="1237"/>
      <c r="G81" s="1237"/>
      <c r="H81" s="1237"/>
      <c r="I81" s="1237"/>
      <c r="J81" s="1237"/>
      <c r="K81" s="1237"/>
      <c r="L81" s="1237"/>
      <c r="M81" s="1237"/>
      <c r="N81" s="1237"/>
      <c r="O81" s="1237"/>
      <c r="P81" s="1237"/>
      <c r="Q81" s="1237"/>
      <c r="R81" s="1237"/>
      <c r="S81" s="1237"/>
      <c r="T81" s="1237"/>
      <c r="U81" s="1237"/>
      <c r="V81" s="1283"/>
      <c r="W81" s="1283" t="e">
        <f>+$C81*#REF!*#REF!</f>
        <v>#REF!</v>
      </c>
      <c r="X81" s="1283"/>
      <c r="Y81" s="1284" t="e">
        <f>+SUMPRODUCT(D81:X81,D76:X76)</f>
        <v>#REF!</v>
      </c>
      <c r="Z81" s="1236" t="e">
        <f>+$C81*#REF!*#REF!</f>
        <v>#REF!</v>
      </c>
    </row>
    <row r="82" spans="1:102">
      <c r="A82" s="1626"/>
      <c r="B82" s="1267" t="s">
        <v>1260</v>
      </c>
      <c r="C82" s="1282">
        <f>+'CANTIDADES Fase II todo'!P83+'CANTIDADES Fase II todo'!P84+'CANTIDADES Fase II todo'!P85</f>
        <v>14299.518749999999</v>
      </c>
      <c r="D82" s="1236"/>
      <c r="E82" s="1237"/>
      <c r="F82" s="1237"/>
      <c r="G82" s="1237"/>
      <c r="H82" s="1237"/>
      <c r="I82" s="1237"/>
      <c r="J82" s="1237"/>
      <c r="K82" s="1237"/>
      <c r="L82" s="1237"/>
      <c r="M82" s="1237"/>
      <c r="N82" s="1237"/>
      <c r="O82" s="1237"/>
      <c r="P82" s="1237"/>
      <c r="Q82" s="1237"/>
      <c r="R82" s="1237"/>
      <c r="S82" s="1237"/>
      <c r="T82" s="1237"/>
      <c r="U82" s="1237"/>
      <c r="V82" s="1283"/>
      <c r="W82" s="1283" t="e">
        <f>+$C82*#REF!*#REF!</f>
        <v>#REF!</v>
      </c>
      <c r="X82" s="1283"/>
      <c r="Y82" s="1284" t="e">
        <f>+SUMPRODUCT(D82:X82,D76:X76)</f>
        <v>#REF!</v>
      </c>
      <c r="Z82" s="1236" t="e">
        <f>+$C82*#REF!*#REF!</f>
        <v>#REF!</v>
      </c>
    </row>
    <row r="83" spans="1:102">
      <c r="A83" s="1626"/>
      <c r="B83" s="1267" t="s">
        <v>1261</v>
      </c>
      <c r="C83" s="1282">
        <f>+'CANTIDADES Fase II todo'!P92+'CANTIDADES Fase II todo'!P93</f>
        <v>2504.4929999999999</v>
      </c>
      <c r="D83" s="1236"/>
      <c r="E83" s="1237"/>
      <c r="F83" s="1237"/>
      <c r="G83" s="1237"/>
      <c r="H83" s="1237"/>
      <c r="I83" s="1237"/>
      <c r="J83" s="1237"/>
      <c r="K83" s="1237"/>
      <c r="L83" s="1237"/>
      <c r="M83" s="1237"/>
      <c r="N83" s="1237"/>
      <c r="O83" s="1237"/>
      <c r="P83" s="1237"/>
      <c r="Q83" s="1237"/>
      <c r="R83" s="1237"/>
      <c r="S83" s="1237"/>
      <c r="T83" s="1237"/>
      <c r="U83" s="1237"/>
      <c r="V83" s="1283"/>
      <c r="W83" s="1283"/>
      <c r="X83" s="1283" t="e">
        <f>+$C83*#REF!*#REF!</f>
        <v>#REF!</v>
      </c>
      <c r="Y83" s="1284" t="e">
        <f>+SUMPRODUCT(D83:X83,D76:X76)</f>
        <v>#REF!</v>
      </c>
      <c r="Z83" s="1243" t="e">
        <f>+$C83*#REF!*#REF!</f>
        <v>#REF!</v>
      </c>
    </row>
    <row r="84" spans="1:102" s="1186" customFormat="1">
      <c r="A84" s="1627"/>
      <c r="B84" s="1285" t="s">
        <v>1262</v>
      </c>
      <c r="C84" s="1286">
        <f>+'CANTIDADES Fase II todo'!P99</f>
        <v>0</v>
      </c>
      <c r="D84" s="1287"/>
      <c r="E84" s="1246"/>
      <c r="F84" s="1246"/>
      <c r="G84" s="1246"/>
      <c r="H84" s="1246"/>
      <c r="I84" s="1246"/>
      <c r="J84" s="1246"/>
      <c r="K84" s="1246"/>
      <c r="L84" s="1246"/>
      <c r="M84" s="1246"/>
      <c r="N84" s="1246"/>
      <c r="O84" s="1246"/>
      <c r="P84" s="1246"/>
      <c r="Q84" s="1246"/>
      <c r="R84" s="1246"/>
      <c r="S84" s="1246"/>
      <c r="T84" s="1246"/>
      <c r="U84" s="1246"/>
      <c r="V84" s="1247"/>
      <c r="W84" s="1247"/>
      <c r="X84" s="1247" t="e">
        <f>+$C84*#REF!</f>
        <v>#REF!</v>
      </c>
      <c r="Y84" s="1245" t="e">
        <f>+SUMPRODUCT(D84:X84,D76:X76)</f>
        <v>#REF!</v>
      </c>
      <c r="Z84" s="1287" t="e">
        <f>+$C84*#REF!</f>
        <v>#REF!</v>
      </c>
    </row>
    <row r="85" spans="1:102">
      <c r="A85" s="1253" t="s">
        <v>1247</v>
      </c>
      <c r="B85" s="1310"/>
      <c r="C85" s="1255" t="s">
        <v>1268</v>
      </c>
      <c r="D85" s="1311"/>
      <c r="E85" s="1257"/>
      <c r="F85" s="1257"/>
      <c r="G85" s="1257"/>
      <c r="H85" s="1257"/>
      <c r="I85" s="1257"/>
      <c r="J85" s="1257"/>
      <c r="K85" s="1257"/>
      <c r="L85" s="1257"/>
      <c r="M85" s="1257"/>
      <c r="N85" s="1257"/>
      <c r="O85" s="1257"/>
      <c r="P85" s="1257"/>
      <c r="Q85" s="1257"/>
      <c r="R85" s="1257"/>
      <c r="S85" s="1257"/>
      <c r="T85" s="1257"/>
      <c r="U85" s="1257"/>
      <c r="V85" s="1258"/>
      <c r="W85" s="1258"/>
      <c r="X85" s="1258"/>
      <c r="Y85" s="1259"/>
      <c r="Z85" s="1260"/>
      <c r="AA85" s="1260"/>
      <c r="AB85" s="1260"/>
      <c r="AC85" s="1260"/>
      <c r="AD85" s="1260"/>
      <c r="AE85" s="1260"/>
      <c r="AF85" s="1260"/>
      <c r="AG85" s="1260"/>
      <c r="AH85" s="1260"/>
      <c r="AI85" s="1260"/>
      <c r="AJ85" s="1260"/>
      <c r="AK85" s="1260"/>
      <c r="AL85" s="1260"/>
      <c r="AM85" s="1260"/>
      <c r="AN85" s="1260"/>
      <c r="AO85" s="1260"/>
      <c r="AP85" s="1260"/>
      <c r="AQ85" s="1260"/>
      <c r="AR85" s="1260"/>
      <c r="AS85" s="1260"/>
      <c r="AT85" s="1260"/>
      <c r="AU85" s="1260"/>
      <c r="AV85" s="1260"/>
      <c r="AW85" s="1260"/>
      <c r="AX85" s="1260"/>
      <c r="AY85" s="1260"/>
      <c r="AZ85" s="1260"/>
      <c r="BA85" s="1260"/>
      <c r="BB85" s="1260"/>
      <c r="BC85" s="1260"/>
      <c r="BD85" s="1260"/>
      <c r="BE85" s="1260"/>
      <c r="BF85" s="1260"/>
      <c r="BG85" s="1260"/>
      <c r="BH85" s="1260"/>
      <c r="BI85" s="1260"/>
      <c r="BJ85" s="1260"/>
      <c r="BK85" s="1260"/>
      <c r="BL85" s="1260"/>
      <c r="BM85" s="1260"/>
      <c r="BN85" s="1260"/>
      <c r="BO85" s="1260"/>
      <c r="BP85" s="1260"/>
      <c r="BQ85" s="1260"/>
      <c r="BR85" s="1260"/>
      <c r="BS85" s="1260"/>
      <c r="BT85" s="1260"/>
      <c r="BU85" s="1260"/>
      <c r="BV85" s="1260"/>
      <c r="BW85" s="1260"/>
      <c r="BX85" s="1260"/>
      <c r="BY85" s="1260"/>
      <c r="BZ85" s="1260"/>
      <c r="CA85" s="1260"/>
      <c r="CB85" s="1260"/>
      <c r="CC85" s="1260"/>
      <c r="CD85" s="1260"/>
      <c r="CE85" s="1260"/>
      <c r="CF85" s="1260"/>
      <c r="CG85" s="1260"/>
      <c r="CH85" s="1260"/>
      <c r="CI85" s="1260"/>
      <c r="CJ85" s="1260"/>
      <c r="CK85" s="1260"/>
      <c r="CL85" s="1260"/>
      <c r="CM85" s="1260"/>
      <c r="CN85" s="1260"/>
      <c r="CO85" s="1260"/>
      <c r="CP85" s="1260"/>
      <c r="CQ85" s="1260"/>
      <c r="CR85" s="1260"/>
      <c r="CS85" s="1260"/>
      <c r="CT85" s="1260"/>
      <c r="CU85" s="1260"/>
      <c r="CV85" s="1260"/>
      <c r="CW85" s="1260"/>
      <c r="CX85" s="1260"/>
    </row>
    <row r="86" spans="1:102">
      <c r="A86" s="1261" t="s">
        <v>1227</v>
      </c>
      <c r="B86" s="1262"/>
      <c r="C86" s="1263">
        <v>4511</v>
      </c>
      <c r="D86" s="1264"/>
      <c r="E86" s="1265"/>
      <c r="F86" s="1265"/>
      <c r="G86" s="1265"/>
      <c r="H86" s="1265"/>
      <c r="I86" s="1265"/>
      <c r="J86" s="1265"/>
      <c r="K86" s="1265"/>
      <c r="L86" s="1265"/>
      <c r="M86" s="1265"/>
      <c r="N86" s="1265"/>
      <c r="O86" s="1265"/>
      <c r="P86" s="1265"/>
      <c r="Q86" s="1265"/>
      <c r="R86" s="1265"/>
      <c r="S86" s="1265"/>
      <c r="T86" s="1265"/>
      <c r="U86" s="1265"/>
      <c r="V86" s="1266"/>
      <c r="W86" s="1266"/>
      <c r="X86" s="1266"/>
      <c r="Y86" s="1259"/>
      <c r="Z86" s="1260"/>
      <c r="AA86" s="1260"/>
      <c r="AB86" s="1260"/>
      <c r="AC86" s="1260"/>
      <c r="AD86" s="1260"/>
      <c r="AE86" s="1260"/>
      <c r="AF86" s="1260"/>
      <c r="AG86" s="1260"/>
      <c r="AH86" s="1260"/>
      <c r="AI86" s="1260"/>
      <c r="AJ86" s="1260"/>
      <c r="AK86" s="1260"/>
      <c r="AL86" s="1260"/>
      <c r="AM86" s="1260"/>
      <c r="AN86" s="1260"/>
      <c r="AO86" s="1260"/>
      <c r="AP86" s="1260"/>
      <c r="AQ86" s="1260"/>
      <c r="AR86" s="1260"/>
      <c r="AS86" s="1260"/>
      <c r="AT86" s="1260"/>
      <c r="AU86" s="1260"/>
      <c r="AV86" s="1260"/>
      <c r="AW86" s="1260"/>
      <c r="AX86" s="1260"/>
      <c r="AY86" s="1260"/>
      <c r="AZ86" s="1260"/>
      <c r="BA86" s="1260"/>
      <c r="BB86" s="1260"/>
      <c r="BC86" s="1260"/>
      <c r="BD86" s="1260"/>
      <c r="BE86" s="1260"/>
      <c r="BF86" s="1260"/>
      <c r="BG86" s="1260"/>
      <c r="BH86" s="1260"/>
      <c r="BI86" s="1260"/>
      <c r="BJ86" s="1260"/>
      <c r="BK86" s="1260"/>
      <c r="BL86" s="1260"/>
      <c r="BM86" s="1260"/>
      <c r="BN86" s="1260"/>
      <c r="BO86" s="1260"/>
      <c r="BP86" s="1260"/>
      <c r="BQ86" s="1260"/>
      <c r="BR86" s="1260"/>
      <c r="BS86" s="1260"/>
      <c r="BT86" s="1260"/>
      <c r="BU86" s="1260"/>
      <c r="BV86" s="1260"/>
      <c r="BW86" s="1260"/>
      <c r="BX86" s="1260"/>
      <c r="BY86" s="1260"/>
      <c r="BZ86" s="1260"/>
      <c r="CA86" s="1260"/>
      <c r="CB86" s="1260"/>
      <c r="CC86" s="1260"/>
      <c r="CD86" s="1260"/>
      <c r="CE86" s="1260"/>
      <c r="CF86" s="1260"/>
      <c r="CG86" s="1260"/>
      <c r="CH86" s="1260"/>
      <c r="CI86" s="1260"/>
      <c r="CJ86" s="1260"/>
      <c r="CK86" s="1260"/>
      <c r="CL86" s="1260"/>
      <c r="CM86" s="1260"/>
      <c r="CN86" s="1260"/>
      <c r="CO86" s="1260"/>
      <c r="CP86" s="1260"/>
      <c r="CQ86" s="1260"/>
      <c r="CR86" s="1260"/>
      <c r="CS86" s="1260"/>
      <c r="CT86" s="1260"/>
      <c r="CU86" s="1260"/>
      <c r="CV86" s="1260"/>
      <c r="CW86" s="1260"/>
      <c r="CX86" s="1260"/>
    </row>
    <row r="87" spans="1:102">
      <c r="A87" s="1622" t="s">
        <v>1249</v>
      </c>
      <c r="B87" s="1267" t="s">
        <v>1250</v>
      </c>
      <c r="C87" s="1268">
        <v>41595</v>
      </c>
      <c r="D87" s="1269"/>
      <c r="E87" s="1270"/>
      <c r="F87" s="1270"/>
      <c r="G87" s="1270"/>
      <c r="H87" s="1270"/>
      <c r="I87" s="1270"/>
      <c r="J87" s="1270"/>
      <c r="K87" s="1270"/>
      <c r="L87" s="1270"/>
      <c r="M87" s="1270"/>
      <c r="N87" s="1270"/>
      <c r="O87" s="1270"/>
      <c r="P87" s="1270"/>
      <c r="Q87" s="1270"/>
      <c r="R87" s="1270"/>
      <c r="S87" s="1270"/>
      <c r="T87" s="1270"/>
      <c r="U87" s="1270"/>
      <c r="V87" s="1271"/>
      <c r="W87" s="1271"/>
      <c r="X87" s="1271"/>
      <c r="Y87" s="1259"/>
      <c r="Z87" s="1260"/>
      <c r="AA87" s="1260"/>
      <c r="AB87" s="1260"/>
      <c r="AC87" s="1260"/>
      <c r="AD87" s="1260"/>
      <c r="AE87" s="1260"/>
      <c r="AF87" s="1260"/>
      <c r="AG87" s="1260"/>
      <c r="AH87" s="1260"/>
      <c r="AI87" s="1260"/>
      <c r="AJ87" s="1260"/>
      <c r="AK87" s="1260"/>
      <c r="AL87" s="1260"/>
      <c r="AM87" s="1260"/>
      <c r="AN87" s="1260"/>
      <c r="AO87" s="1260"/>
      <c r="AP87" s="1260"/>
      <c r="AQ87" s="1260"/>
      <c r="AR87" s="1260"/>
      <c r="AS87" s="1260"/>
      <c r="AT87" s="1260"/>
      <c r="AU87" s="1260"/>
      <c r="AV87" s="1260"/>
      <c r="AW87" s="1260"/>
      <c r="AX87" s="1260"/>
      <c r="AY87" s="1260"/>
      <c r="AZ87" s="1260"/>
      <c r="BA87" s="1260"/>
      <c r="BB87" s="1260"/>
      <c r="BC87" s="1260"/>
      <c r="BD87" s="1260"/>
      <c r="BE87" s="1260"/>
      <c r="BF87" s="1260"/>
      <c r="BG87" s="1260"/>
      <c r="BH87" s="1260"/>
      <c r="BI87" s="1260"/>
      <c r="BJ87" s="1260"/>
      <c r="BK87" s="1260"/>
      <c r="BL87" s="1260"/>
      <c r="BM87" s="1260"/>
      <c r="BN87" s="1260"/>
      <c r="BO87" s="1260"/>
      <c r="BP87" s="1260"/>
      <c r="BQ87" s="1260"/>
      <c r="BR87" s="1260"/>
      <c r="BS87" s="1260"/>
      <c r="BT87" s="1260"/>
      <c r="BU87" s="1260"/>
      <c r="BV87" s="1260"/>
      <c r="BW87" s="1260"/>
      <c r="BX87" s="1260"/>
      <c r="BY87" s="1260"/>
      <c r="BZ87" s="1260"/>
      <c r="CA87" s="1260"/>
      <c r="CB87" s="1260"/>
      <c r="CC87" s="1260"/>
      <c r="CD87" s="1260"/>
      <c r="CE87" s="1260"/>
      <c r="CF87" s="1260"/>
      <c r="CG87" s="1260"/>
      <c r="CH87" s="1260"/>
      <c r="CI87" s="1260"/>
      <c r="CJ87" s="1260"/>
      <c r="CK87" s="1260"/>
      <c r="CL87" s="1260"/>
      <c r="CM87" s="1260"/>
      <c r="CN87" s="1260"/>
      <c r="CO87" s="1260"/>
      <c r="CP87" s="1260"/>
      <c r="CQ87" s="1260"/>
      <c r="CR87" s="1260"/>
      <c r="CS87" s="1260"/>
      <c r="CT87" s="1260"/>
      <c r="CU87" s="1260"/>
      <c r="CV87" s="1260"/>
      <c r="CW87" s="1260"/>
      <c r="CX87" s="1260"/>
    </row>
    <row r="88" spans="1:102">
      <c r="A88" s="1622"/>
      <c r="B88" s="1267" t="s">
        <v>1251</v>
      </c>
      <c r="C88" s="1268">
        <v>47030</v>
      </c>
      <c r="D88" s="1269"/>
      <c r="E88" s="1270"/>
      <c r="F88" s="1270"/>
      <c r="G88" s="1270"/>
      <c r="H88" s="1270"/>
      <c r="I88" s="1270"/>
      <c r="J88" s="1270"/>
      <c r="K88" s="1270"/>
      <c r="L88" s="1270"/>
      <c r="M88" s="1270"/>
      <c r="N88" s="1270"/>
      <c r="O88" s="1270"/>
      <c r="P88" s="1270"/>
      <c r="Q88" s="1270"/>
      <c r="R88" s="1270"/>
      <c r="S88" s="1270"/>
      <c r="T88" s="1270"/>
      <c r="U88" s="1270"/>
      <c r="V88" s="1271"/>
      <c r="W88" s="1271"/>
      <c r="X88" s="1271"/>
      <c r="Y88" s="1270"/>
    </row>
    <row r="89" spans="1:102">
      <c r="A89" s="1272" t="s">
        <v>1252</v>
      </c>
      <c r="B89" s="1273"/>
      <c r="C89" s="1268">
        <f>+(C88-C87)/2+C87</f>
        <v>44312.5</v>
      </c>
      <c r="D89" s="1269"/>
      <c r="E89" s="1270"/>
      <c r="F89" s="1270"/>
      <c r="G89" s="1270"/>
      <c r="H89" s="1270"/>
      <c r="I89" s="1270"/>
      <c r="J89" s="1270"/>
      <c r="K89" s="1270"/>
      <c r="L89" s="1270"/>
      <c r="M89" s="1270"/>
      <c r="N89" s="1270"/>
      <c r="O89" s="1270"/>
      <c r="P89" s="1270"/>
      <c r="Q89" s="1270"/>
      <c r="R89" s="1270"/>
      <c r="S89" s="1270"/>
      <c r="T89" s="1270"/>
      <c r="U89" s="1270"/>
      <c r="V89" s="1271"/>
      <c r="W89" s="1271"/>
      <c r="X89" s="1271"/>
      <c r="Y89" s="1270"/>
    </row>
    <row r="90" spans="1:102">
      <c r="A90" s="1272" t="s">
        <v>1253</v>
      </c>
      <c r="B90" s="1273"/>
      <c r="C90" s="1274"/>
      <c r="D90" s="1275">
        <f>IF(D92&gt;D91,(D92-D91)+D$2+D$3,(D91-D92)+D$2+D$4)/1000</f>
        <v>94.9405</v>
      </c>
      <c r="E90" s="1276">
        <f t="shared" ref="E90:G90" si="21">IF(E92&gt;E91,(E92-E91)+E$2+E$3,(E91-E92)+E$2+E$4)/1000</f>
        <v>90.560500000000005</v>
      </c>
      <c r="F90" s="1276">
        <f t="shared" si="21"/>
        <v>88.730500000000006</v>
      </c>
      <c r="G90" s="1276">
        <f t="shared" si="21"/>
        <v>80.242500000000007</v>
      </c>
      <c r="H90" s="1276">
        <f>IF(H92&gt;H91,(H92-H91)+H$2*1000+H$3*1000,(H91-H92)+H$2*1000+H$4*1000)/1000</f>
        <v>83.240499999999997</v>
      </c>
      <c r="I90" s="1276">
        <f t="shared" ref="I90:X90" si="22">IF(I92&gt;I91,(I92-I91)+I$2*1000+I$3*1000,(I91-I92)+I$2*1000+I$4*1000)/1000</f>
        <v>72.866500000000016</v>
      </c>
      <c r="J90" s="1276">
        <f t="shared" si="22"/>
        <v>62.140500000000003</v>
      </c>
      <c r="K90" s="1276">
        <f t="shared" si="22"/>
        <v>69.730500000000006</v>
      </c>
      <c r="L90" s="1276">
        <f t="shared" si="22"/>
        <v>42.662500000000001</v>
      </c>
      <c r="M90" s="1276">
        <f t="shared" si="22"/>
        <v>23.8125</v>
      </c>
      <c r="N90" s="1276">
        <f t="shared" si="22"/>
        <v>24.112500000000001</v>
      </c>
      <c r="O90" s="1276">
        <f t="shared" si="22"/>
        <v>11.8125</v>
      </c>
      <c r="P90" s="1276">
        <f t="shared" si="22"/>
        <v>18.7605</v>
      </c>
      <c r="Q90" s="1276">
        <f t="shared" si="22"/>
        <v>5.0125000000000002</v>
      </c>
      <c r="R90" s="1276">
        <f t="shared" si="22"/>
        <v>1.3125</v>
      </c>
      <c r="S90" s="1276">
        <f t="shared" si="22"/>
        <v>4.6875</v>
      </c>
      <c r="T90" s="1276">
        <f t="shared" si="22"/>
        <v>5.6875</v>
      </c>
      <c r="U90" s="1276">
        <f t="shared" si="22"/>
        <v>10.6875</v>
      </c>
      <c r="V90" s="1277">
        <f t="shared" si="22"/>
        <v>42.662500000000001</v>
      </c>
      <c r="W90" s="1277">
        <f t="shared" si="22"/>
        <v>1.3125</v>
      </c>
      <c r="X90" s="1277">
        <f t="shared" si="22"/>
        <v>80.240499999999997</v>
      </c>
      <c r="Y90" s="1270"/>
    </row>
    <row r="91" spans="1:102">
      <c r="A91" s="1278" t="s">
        <v>1254</v>
      </c>
      <c r="B91" s="1279"/>
      <c r="C91" s="1280"/>
      <c r="D91" s="1200">
        <f>+IF($C86=4510,IF(D$6=4510,$C89,$C89),IF(D$6=4511,$C89+134328,134328+$C89))</f>
        <v>178640.5</v>
      </c>
      <c r="E91" s="1200">
        <f t="shared" ref="E91:X91" si="23">+IF($C86=4510,IF(E$6=4510,$C89,$C89),IF(E$6=4511,$C89+134328,134328+$C89))</f>
        <v>178640.5</v>
      </c>
      <c r="F91" s="1200">
        <f t="shared" si="23"/>
        <v>178640.5</v>
      </c>
      <c r="G91" s="1200">
        <f t="shared" si="23"/>
        <v>178640.5</v>
      </c>
      <c r="H91" s="1200">
        <f t="shared" si="23"/>
        <v>178640.5</v>
      </c>
      <c r="I91" s="1200">
        <f t="shared" si="23"/>
        <v>178640.5</v>
      </c>
      <c r="J91" s="1200">
        <f t="shared" si="23"/>
        <v>178640.5</v>
      </c>
      <c r="K91" s="1200">
        <f t="shared" si="23"/>
        <v>178640.5</v>
      </c>
      <c r="L91" s="1200">
        <f t="shared" si="23"/>
        <v>178640.5</v>
      </c>
      <c r="M91" s="1200">
        <f t="shared" si="23"/>
        <v>178640.5</v>
      </c>
      <c r="N91" s="1200">
        <f t="shared" si="23"/>
        <v>178640.5</v>
      </c>
      <c r="O91" s="1200">
        <f t="shared" si="23"/>
        <v>178640.5</v>
      </c>
      <c r="P91" s="1200">
        <f t="shared" si="23"/>
        <v>178640.5</v>
      </c>
      <c r="Q91" s="1200">
        <f t="shared" si="23"/>
        <v>178640.5</v>
      </c>
      <c r="R91" s="1200">
        <f t="shared" si="23"/>
        <v>178640.5</v>
      </c>
      <c r="S91" s="1200">
        <f t="shared" si="23"/>
        <v>178640.5</v>
      </c>
      <c r="T91" s="1200">
        <f t="shared" si="23"/>
        <v>178640.5</v>
      </c>
      <c r="U91" s="1200">
        <f t="shared" si="23"/>
        <v>178640.5</v>
      </c>
      <c r="V91" s="1281">
        <f t="shared" si="23"/>
        <v>178640.5</v>
      </c>
      <c r="W91" s="1281">
        <f t="shared" si="23"/>
        <v>178640.5</v>
      </c>
      <c r="X91" s="1281">
        <f t="shared" si="23"/>
        <v>178640.5</v>
      </c>
      <c r="Y91" s="1270"/>
    </row>
    <row r="92" spans="1:102">
      <c r="A92" s="1278" t="s">
        <v>1255</v>
      </c>
      <c r="B92" s="1279"/>
      <c r="C92" s="1280"/>
      <c r="D92" s="1200">
        <f>+IF($C86=4510,IF(D$6=4510,D$5,D$5+134328),IF(D$6=4511,D$5+134328,D$5))</f>
        <v>83700</v>
      </c>
      <c r="E92" s="1200">
        <f t="shared" ref="E92:X92" si="24">+IF($C86=4510,IF(E$6=4510,E$5,E$5+134328),IF(E$6=4511,E$5+134328,E$5))</f>
        <v>88080</v>
      </c>
      <c r="F92" s="1200">
        <f t="shared" si="24"/>
        <v>89910</v>
      </c>
      <c r="G92" s="1200">
        <f t="shared" si="24"/>
        <v>98400</v>
      </c>
      <c r="H92" s="1200">
        <f t="shared" si="24"/>
        <v>98400</v>
      </c>
      <c r="I92" s="1200">
        <f t="shared" si="24"/>
        <v>113610</v>
      </c>
      <c r="J92" s="1200">
        <f t="shared" si="24"/>
        <v>116500</v>
      </c>
      <c r="K92" s="1200">
        <f t="shared" si="24"/>
        <v>108910</v>
      </c>
      <c r="L92" s="1200">
        <f t="shared" si="24"/>
        <v>135978</v>
      </c>
      <c r="M92" s="1200">
        <f t="shared" si="24"/>
        <v>154828</v>
      </c>
      <c r="N92" s="1200">
        <f t="shared" si="24"/>
        <v>156528</v>
      </c>
      <c r="O92" s="1200">
        <f t="shared" si="24"/>
        <v>166828</v>
      </c>
      <c r="P92" s="1200">
        <f t="shared" si="24"/>
        <v>170628</v>
      </c>
      <c r="Q92" s="1200">
        <f t="shared" si="24"/>
        <v>173628</v>
      </c>
      <c r="R92" s="1200">
        <f t="shared" si="24"/>
        <v>177328</v>
      </c>
      <c r="S92" s="1200">
        <f t="shared" si="24"/>
        <v>183328</v>
      </c>
      <c r="T92" s="1200">
        <f t="shared" si="24"/>
        <v>184328</v>
      </c>
      <c r="U92" s="1200">
        <f t="shared" si="24"/>
        <v>189328</v>
      </c>
      <c r="V92" s="1281">
        <f t="shared" si="24"/>
        <v>135978</v>
      </c>
      <c r="W92" s="1281">
        <f t="shared" si="24"/>
        <v>177328</v>
      </c>
      <c r="X92" s="1281">
        <f t="shared" si="24"/>
        <v>98400</v>
      </c>
      <c r="Y92" s="1270"/>
    </row>
    <row r="93" spans="1:102">
      <c r="A93" s="1623" t="s">
        <v>1266</v>
      </c>
      <c r="B93" s="1267" t="s">
        <v>1257</v>
      </c>
      <c r="C93" s="1282">
        <f>+'CANTIDADES Fase II todo'!S25+'CANTIDADES Fase II todo'!S28</f>
        <v>21018.089999994641</v>
      </c>
      <c r="D93" s="1236"/>
      <c r="E93" s="1237"/>
      <c r="F93" s="1237"/>
      <c r="G93" s="1237"/>
      <c r="H93" s="1237"/>
      <c r="I93" s="1237"/>
      <c r="J93" s="1237"/>
      <c r="K93" s="1237"/>
      <c r="L93" s="1237"/>
      <c r="M93" s="1237"/>
      <c r="N93" s="1237"/>
      <c r="O93" s="1237"/>
      <c r="P93" s="1237"/>
      <c r="Q93" s="1237"/>
      <c r="R93" s="1237" t="e">
        <f>$C93*#REF!*#REF!</f>
        <v>#REF!</v>
      </c>
      <c r="S93" s="1237"/>
      <c r="T93" s="1237"/>
      <c r="U93" s="1237"/>
      <c r="V93" s="1283"/>
      <c r="W93" s="1283"/>
      <c r="X93" s="1283"/>
      <c r="Y93" s="1284" t="e">
        <f>+SUMPRODUCT(D93:X93,D90:X90)</f>
        <v>#REF!</v>
      </c>
      <c r="Z93" s="1236" t="e">
        <f>$C93*#REF!*#REF!</f>
        <v>#REF!</v>
      </c>
      <c r="AB93" s="1296"/>
    </row>
    <row r="94" spans="1:102">
      <c r="A94" s="1623"/>
      <c r="B94" s="1267" t="s">
        <v>1258</v>
      </c>
      <c r="C94" s="1282">
        <f>+'CANTIDADES Fase II todo'!S26</f>
        <v>9670.1614999970298</v>
      </c>
      <c r="D94" s="1236"/>
      <c r="E94" s="1237"/>
      <c r="F94" s="1237"/>
      <c r="G94" s="1237"/>
      <c r="H94" s="1237"/>
      <c r="I94" s="1237"/>
      <c r="J94" s="1237"/>
      <c r="K94" s="1237"/>
      <c r="L94" s="1237"/>
      <c r="M94" s="1237"/>
      <c r="N94" s="1237"/>
      <c r="O94" s="1237"/>
      <c r="P94" s="1237"/>
      <c r="Q94" s="1237"/>
      <c r="R94" s="1237" t="e">
        <f>$C94*#REF!*#REF!</f>
        <v>#REF!</v>
      </c>
      <c r="S94" s="1237"/>
      <c r="T94" s="1237"/>
      <c r="U94" s="1237"/>
      <c r="V94" s="1283"/>
      <c r="W94" s="1283"/>
      <c r="X94" s="1283"/>
      <c r="Y94" s="1284" t="e">
        <f>+SUMPRODUCT(D94:X94,D90:X90)</f>
        <v>#REF!</v>
      </c>
      <c r="Z94" s="1236" t="e">
        <f>$C94*#REF!*#REF!</f>
        <v>#REF!</v>
      </c>
    </row>
    <row r="95" spans="1:102">
      <c r="A95" s="1623"/>
      <c r="B95" s="1267" t="s">
        <v>1259</v>
      </c>
      <c r="C95" s="1282">
        <f>+'CANTIDADES Fase II todo'!S72</f>
        <v>288</v>
      </c>
      <c r="D95" s="1236"/>
      <c r="E95" s="1237"/>
      <c r="F95" s="1237"/>
      <c r="G95" s="1237"/>
      <c r="H95" s="1237"/>
      <c r="I95" s="1237"/>
      <c r="J95" s="1237"/>
      <c r="K95" s="1237"/>
      <c r="L95" s="1237"/>
      <c r="M95" s="1237"/>
      <c r="N95" s="1237"/>
      <c r="O95" s="1237"/>
      <c r="P95" s="1237"/>
      <c r="Q95" s="1237"/>
      <c r="R95" s="1237"/>
      <c r="S95" s="1237"/>
      <c r="T95" s="1237"/>
      <c r="U95" s="1237"/>
      <c r="V95" s="1283"/>
      <c r="W95" s="1283" t="e">
        <f>+$C95*#REF!*#REF!</f>
        <v>#REF!</v>
      </c>
      <c r="X95" s="1283"/>
      <c r="Y95" s="1284" t="e">
        <f>+SUMPRODUCT(D95:X95,D90:X90)</f>
        <v>#REF!</v>
      </c>
      <c r="Z95" s="1236" t="e">
        <f>+$C95*#REF!*#REF!</f>
        <v>#REF!</v>
      </c>
    </row>
    <row r="96" spans="1:102">
      <c r="A96" s="1623"/>
      <c r="B96" s="1267" t="s">
        <v>1260</v>
      </c>
      <c r="C96" s="1282">
        <f>+'CANTIDADES Fase II todo'!S83+'CANTIDADES Fase II todo'!S84+'CANTIDADES Fase II todo'!S85</f>
        <v>11977.836799995866</v>
      </c>
      <c r="D96" s="1236"/>
      <c r="E96" s="1237"/>
      <c r="F96" s="1237"/>
      <c r="G96" s="1237"/>
      <c r="H96" s="1237"/>
      <c r="I96" s="1237"/>
      <c r="J96" s="1237"/>
      <c r="K96" s="1237"/>
      <c r="L96" s="1237"/>
      <c r="M96" s="1237"/>
      <c r="N96" s="1237"/>
      <c r="O96" s="1237"/>
      <c r="P96" s="1237"/>
      <c r="Q96" s="1237"/>
      <c r="R96" s="1237"/>
      <c r="S96" s="1237"/>
      <c r="T96" s="1237"/>
      <c r="U96" s="1237"/>
      <c r="V96" s="1283"/>
      <c r="W96" s="1283" t="e">
        <f>+$C96*#REF!*#REF!</f>
        <v>#REF!</v>
      </c>
      <c r="X96" s="1283"/>
      <c r="Y96" s="1284" t="e">
        <f>+SUMPRODUCT(D96:X96,D90:X90)</f>
        <v>#REF!</v>
      </c>
      <c r="Z96" s="1236" t="e">
        <f>+$C96*#REF!*#REF!</f>
        <v>#REF!</v>
      </c>
    </row>
    <row r="97" spans="1:102">
      <c r="A97" s="1624"/>
      <c r="B97" s="1292" t="s">
        <v>1261</v>
      </c>
      <c r="C97" s="1293">
        <f>+'CANTIDADES Fase II todo'!S92+'CANTIDADES Fase II todo'!S93</f>
        <v>3401.3586999990903</v>
      </c>
      <c r="D97" s="1243"/>
      <c r="E97" s="1244"/>
      <c r="F97" s="1244"/>
      <c r="G97" s="1244"/>
      <c r="H97" s="1244"/>
      <c r="I97" s="1244"/>
      <c r="J97" s="1244"/>
      <c r="K97" s="1244"/>
      <c r="L97" s="1244"/>
      <c r="M97" s="1244"/>
      <c r="N97" s="1244"/>
      <c r="O97" s="1244"/>
      <c r="P97" s="1244"/>
      <c r="Q97" s="1244"/>
      <c r="R97" s="1244"/>
      <c r="S97" s="1244"/>
      <c r="T97" s="1244"/>
      <c r="U97" s="1244"/>
      <c r="V97" s="1294"/>
      <c r="W97" s="1294"/>
      <c r="X97" s="1294" t="e">
        <f>+$C97*#REF!*#REF!</f>
        <v>#REF!</v>
      </c>
      <c r="Y97" s="1284" t="e">
        <f>+SUMPRODUCT(D97:X97,D90:X90)</f>
        <v>#REF!</v>
      </c>
      <c r="Z97" s="1243" t="e">
        <f>+$C97*#REF!*#REF!</f>
        <v>#REF!</v>
      </c>
    </row>
    <row r="98" spans="1:102">
      <c r="A98" s="1253" t="s">
        <v>1247</v>
      </c>
      <c r="B98" s="1310"/>
      <c r="C98" s="1255" t="s">
        <v>1469</v>
      </c>
      <c r="D98" s="1311"/>
      <c r="E98" s="1257"/>
      <c r="F98" s="1257"/>
      <c r="G98" s="1257"/>
      <c r="H98" s="1257"/>
      <c r="I98" s="1257"/>
      <c r="J98" s="1257"/>
      <c r="K98" s="1257"/>
      <c r="L98" s="1257"/>
      <c r="M98" s="1257"/>
      <c r="N98" s="1257"/>
      <c r="O98" s="1257"/>
      <c r="P98" s="1257"/>
      <c r="Q98" s="1257"/>
      <c r="R98" s="1257"/>
      <c r="S98" s="1257"/>
      <c r="T98" s="1257"/>
      <c r="U98" s="1257"/>
      <c r="V98" s="1258"/>
      <c r="W98" s="1258"/>
      <c r="X98" s="1258"/>
      <c r="Y98" s="1259"/>
      <c r="Z98" s="1260"/>
      <c r="AA98" s="1260"/>
      <c r="AB98" s="1260"/>
      <c r="AC98" s="1260"/>
      <c r="AD98" s="1260"/>
      <c r="AE98" s="1260"/>
      <c r="AF98" s="1260"/>
      <c r="AG98" s="1260"/>
      <c r="AH98" s="1260"/>
      <c r="AI98" s="1260"/>
      <c r="AJ98" s="1260"/>
      <c r="AK98" s="1260"/>
      <c r="AL98" s="1260"/>
      <c r="AM98" s="1260"/>
      <c r="AN98" s="1260"/>
      <c r="AO98" s="1260"/>
      <c r="AP98" s="1260"/>
      <c r="AQ98" s="1260"/>
      <c r="AR98" s="1260"/>
      <c r="AS98" s="1260"/>
      <c r="AT98" s="1260"/>
      <c r="AU98" s="1260"/>
      <c r="AV98" s="1260"/>
      <c r="AW98" s="1260"/>
      <c r="AX98" s="1260"/>
      <c r="AY98" s="1260"/>
      <c r="AZ98" s="1260"/>
      <c r="BA98" s="1260"/>
      <c r="BB98" s="1260"/>
      <c r="BC98" s="1260"/>
      <c r="BD98" s="1260"/>
      <c r="BE98" s="1260"/>
      <c r="BF98" s="1260"/>
      <c r="BG98" s="1260"/>
      <c r="BH98" s="1260"/>
      <c r="BI98" s="1260"/>
      <c r="BJ98" s="1260"/>
      <c r="BK98" s="1260"/>
      <c r="BL98" s="1260"/>
      <c r="BM98" s="1260"/>
      <c r="BN98" s="1260"/>
      <c r="BO98" s="1260"/>
      <c r="BP98" s="1260"/>
      <c r="BQ98" s="1260"/>
      <c r="BR98" s="1260"/>
      <c r="BS98" s="1260"/>
      <c r="BT98" s="1260"/>
      <c r="BU98" s="1260"/>
      <c r="BV98" s="1260"/>
      <c r="BW98" s="1260"/>
      <c r="BX98" s="1260"/>
      <c r="BY98" s="1260"/>
      <c r="BZ98" s="1260"/>
      <c r="CA98" s="1260"/>
      <c r="CB98" s="1260"/>
      <c r="CC98" s="1260"/>
      <c r="CD98" s="1260"/>
      <c r="CE98" s="1260"/>
      <c r="CF98" s="1260"/>
      <c r="CG98" s="1260"/>
      <c r="CH98" s="1260"/>
      <c r="CI98" s="1260"/>
      <c r="CJ98" s="1260"/>
      <c r="CK98" s="1260"/>
      <c r="CL98" s="1260"/>
      <c r="CM98" s="1260"/>
      <c r="CN98" s="1260"/>
      <c r="CO98" s="1260"/>
      <c r="CP98" s="1260"/>
      <c r="CQ98" s="1260"/>
      <c r="CR98" s="1260"/>
      <c r="CS98" s="1260"/>
      <c r="CT98" s="1260"/>
      <c r="CU98" s="1260"/>
      <c r="CV98" s="1260"/>
      <c r="CW98" s="1260"/>
      <c r="CX98" s="1260"/>
    </row>
    <row r="99" spans="1:102">
      <c r="A99" s="1261" t="s">
        <v>1227</v>
      </c>
      <c r="B99" s="1262"/>
      <c r="C99" s="1263">
        <v>4511</v>
      </c>
      <c r="D99" s="1264"/>
      <c r="E99" s="1265"/>
      <c r="F99" s="1265"/>
      <c r="G99" s="1265"/>
      <c r="H99" s="1265"/>
      <c r="I99" s="1265"/>
      <c r="J99" s="1265"/>
      <c r="K99" s="1265"/>
      <c r="L99" s="1265"/>
      <c r="M99" s="1265"/>
      <c r="N99" s="1265"/>
      <c r="O99" s="1265"/>
      <c r="P99" s="1265"/>
      <c r="Q99" s="1265"/>
      <c r="R99" s="1265"/>
      <c r="S99" s="1265"/>
      <c r="T99" s="1265"/>
      <c r="U99" s="1265"/>
      <c r="V99" s="1266"/>
      <c r="W99" s="1266"/>
      <c r="X99" s="1266"/>
      <c r="Y99" s="1259"/>
      <c r="Z99" s="1260"/>
      <c r="AA99" s="1260"/>
      <c r="AB99" s="1260"/>
      <c r="AC99" s="1260"/>
      <c r="AD99" s="1260"/>
      <c r="AE99" s="1260"/>
      <c r="AF99" s="1260"/>
      <c r="AG99" s="1260"/>
      <c r="AH99" s="1260"/>
      <c r="AI99" s="1260"/>
      <c r="AJ99" s="1260"/>
      <c r="AK99" s="1260"/>
      <c r="AL99" s="1260"/>
      <c r="AM99" s="1260"/>
      <c r="AN99" s="1260"/>
      <c r="AO99" s="1260"/>
      <c r="AP99" s="1260"/>
      <c r="AQ99" s="1260"/>
      <c r="AR99" s="1260"/>
      <c r="AS99" s="1260"/>
      <c r="AT99" s="1260"/>
      <c r="AU99" s="1260"/>
      <c r="AV99" s="1260"/>
      <c r="AW99" s="1260"/>
      <c r="AX99" s="1260"/>
      <c r="AY99" s="1260"/>
      <c r="AZ99" s="1260"/>
      <c r="BA99" s="1260"/>
      <c r="BB99" s="1260"/>
      <c r="BC99" s="1260"/>
      <c r="BD99" s="1260"/>
      <c r="BE99" s="1260"/>
      <c r="BF99" s="1260"/>
      <c r="BG99" s="1260"/>
      <c r="BH99" s="1260"/>
      <c r="BI99" s="1260"/>
      <c r="BJ99" s="1260"/>
      <c r="BK99" s="1260"/>
      <c r="BL99" s="1260"/>
      <c r="BM99" s="1260"/>
      <c r="BN99" s="1260"/>
      <c r="BO99" s="1260"/>
      <c r="BP99" s="1260"/>
      <c r="BQ99" s="1260"/>
      <c r="BR99" s="1260"/>
      <c r="BS99" s="1260"/>
      <c r="BT99" s="1260"/>
      <c r="BU99" s="1260"/>
      <c r="BV99" s="1260"/>
      <c r="BW99" s="1260"/>
      <c r="BX99" s="1260"/>
      <c r="BY99" s="1260"/>
      <c r="BZ99" s="1260"/>
      <c r="CA99" s="1260"/>
      <c r="CB99" s="1260"/>
      <c r="CC99" s="1260"/>
      <c r="CD99" s="1260"/>
      <c r="CE99" s="1260"/>
      <c r="CF99" s="1260"/>
      <c r="CG99" s="1260"/>
      <c r="CH99" s="1260"/>
      <c r="CI99" s="1260"/>
      <c r="CJ99" s="1260"/>
      <c r="CK99" s="1260"/>
      <c r="CL99" s="1260"/>
      <c r="CM99" s="1260"/>
      <c r="CN99" s="1260"/>
      <c r="CO99" s="1260"/>
      <c r="CP99" s="1260"/>
      <c r="CQ99" s="1260"/>
      <c r="CR99" s="1260"/>
      <c r="CS99" s="1260"/>
      <c r="CT99" s="1260"/>
      <c r="CU99" s="1260"/>
      <c r="CV99" s="1260"/>
      <c r="CW99" s="1260"/>
      <c r="CX99" s="1260"/>
    </row>
    <row r="100" spans="1:102">
      <c r="A100" s="1622" t="s">
        <v>1249</v>
      </c>
      <c r="B100" s="1267" t="s">
        <v>1250</v>
      </c>
      <c r="C100" s="1268">
        <v>40000</v>
      </c>
      <c r="D100" s="1269"/>
      <c r="E100" s="1270"/>
      <c r="F100" s="1270"/>
      <c r="G100" s="1270"/>
      <c r="H100" s="1270"/>
      <c r="I100" s="1270"/>
      <c r="J100" s="1270"/>
      <c r="K100" s="1270"/>
      <c r="L100" s="1270"/>
      <c r="M100" s="1270"/>
      <c r="N100" s="1270"/>
      <c r="O100" s="1270"/>
      <c r="P100" s="1270"/>
      <c r="Q100" s="1270"/>
      <c r="R100" s="1270"/>
      <c r="S100" s="1270"/>
      <c r="T100" s="1270"/>
      <c r="U100" s="1270"/>
      <c r="V100" s="1271"/>
      <c r="W100" s="1271"/>
      <c r="X100" s="1271"/>
      <c r="Y100" s="1259"/>
      <c r="Z100" s="1260"/>
      <c r="AA100" s="1260"/>
      <c r="AB100" s="1260"/>
      <c r="AC100" s="1260"/>
      <c r="AD100" s="1260"/>
      <c r="AE100" s="1260"/>
      <c r="AF100" s="1260"/>
      <c r="AG100" s="1260"/>
      <c r="AH100" s="1260"/>
      <c r="AI100" s="1260"/>
      <c r="AJ100" s="1260"/>
      <c r="AK100" s="1260"/>
      <c r="AL100" s="1260"/>
      <c r="AM100" s="1260"/>
      <c r="AN100" s="1260"/>
      <c r="AO100" s="1260"/>
      <c r="AP100" s="1260"/>
      <c r="AQ100" s="1260"/>
      <c r="AR100" s="1260"/>
      <c r="AS100" s="1260"/>
      <c r="AT100" s="1260"/>
      <c r="AU100" s="1260"/>
      <c r="AV100" s="1260"/>
      <c r="AW100" s="1260"/>
      <c r="AX100" s="1260"/>
      <c r="AY100" s="1260"/>
      <c r="AZ100" s="1260"/>
      <c r="BA100" s="1260"/>
      <c r="BB100" s="1260"/>
      <c r="BC100" s="1260"/>
      <c r="BD100" s="1260"/>
      <c r="BE100" s="1260"/>
      <c r="BF100" s="1260"/>
      <c r="BG100" s="1260"/>
      <c r="BH100" s="1260"/>
      <c r="BI100" s="1260"/>
      <c r="BJ100" s="1260"/>
      <c r="BK100" s="1260"/>
      <c r="BL100" s="1260"/>
      <c r="BM100" s="1260"/>
      <c r="BN100" s="1260"/>
      <c r="BO100" s="1260"/>
      <c r="BP100" s="1260"/>
      <c r="BQ100" s="1260"/>
      <c r="BR100" s="1260"/>
      <c r="BS100" s="1260"/>
      <c r="BT100" s="1260"/>
      <c r="BU100" s="1260"/>
      <c r="BV100" s="1260"/>
      <c r="BW100" s="1260"/>
      <c r="BX100" s="1260"/>
      <c r="BY100" s="1260"/>
      <c r="BZ100" s="1260"/>
      <c r="CA100" s="1260"/>
      <c r="CB100" s="1260"/>
      <c r="CC100" s="1260"/>
      <c r="CD100" s="1260"/>
      <c r="CE100" s="1260"/>
      <c r="CF100" s="1260"/>
      <c r="CG100" s="1260"/>
      <c r="CH100" s="1260"/>
      <c r="CI100" s="1260"/>
      <c r="CJ100" s="1260"/>
      <c r="CK100" s="1260"/>
      <c r="CL100" s="1260"/>
      <c r="CM100" s="1260"/>
      <c r="CN100" s="1260"/>
      <c r="CO100" s="1260"/>
      <c r="CP100" s="1260"/>
      <c r="CQ100" s="1260"/>
      <c r="CR100" s="1260"/>
      <c r="CS100" s="1260"/>
      <c r="CT100" s="1260"/>
      <c r="CU100" s="1260"/>
      <c r="CV100" s="1260"/>
      <c r="CW100" s="1260"/>
      <c r="CX100" s="1260"/>
    </row>
    <row r="101" spans="1:102">
      <c r="A101" s="1622"/>
      <c r="B101" s="1267" t="s">
        <v>1251</v>
      </c>
      <c r="C101" s="1268">
        <v>47030</v>
      </c>
      <c r="D101" s="1269"/>
      <c r="E101" s="1270"/>
      <c r="F101" s="1270"/>
      <c r="G101" s="1270"/>
      <c r="H101" s="1270"/>
      <c r="I101" s="1270"/>
      <c r="J101" s="1270"/>
      <c r="K101" s="1270"/>
      <c r="L101" s="1270"/>
      <c r="M101" s="1270"/>
      <c r="N101" s="1270"/>
      <c r="O101" s="1270"/>
      <c r="P101" s="1270"/>
      <c r="Q101" s="1270"/>
      <c r="R101" s="1270"/>
      <c r="S101" s="1270"/>
      <c r="T101" s="1270"/>
      <c r="U101" s="1270"/>
      <c r="V101" s="1271"/>
      <c r="W101" s="1271"/>
      <c r="X101" s="1271"/>
      <c r="Y101" s="1270"/>
    </row>
    <row r="102" spans="1:102">
      <c r="A102" s="1272" t="s">
        <v>1252</v>
      </c>
      <c r="B102" s="1273"/>
      <c r="C102" s="1268">
        <f>+(C101-C100)/2+C100</f>
        <v>43515</v>
      </c>
      <c r="D102" s="1269"/>
      <c r="E102" s="1270"/>
      <c r="F102" s="1270"/>
      <c r="G102" s="1270"/>
      <c r="H102" s="1270"/>
      <c r="I102" s="1270"/>
      <c r="J102" s="1270"/>
      <c r="K102" s="1270"/>
      <c r="L102" s="1270"/>
      <c r="M102" s="1270"/>
      <c r="N102" s="1270"/>
      <c r="O102" s="1270"/>
      <c r="P102" s="1270"/>
      <c r="Q102" s="1270"/>
      <c r="R102" s="1270"/>
      <c r="S102" s="1270"/>
      <c r="T102" s="1270"/>
      <c r="U102" s="1270"/>
      <c r="V102" s="1271"/>
      <c r="W102" s="1271"/>
      <c r="X102" s="1271"/>
      <c r="Y102" s="1270"/>
    </row>
    <row r="103" spans="1:102">
      <c r="A103" s="1272" t="s">
        <v>1253</v>
      </c>
      <c r="B103" s="1273"/>
      <c r="C103" s="1274"/>
      <c r="D103" s="1275">
        <f>IF(D105&gt;D104,(D105-D104)+D$2+D$3,(D104-D105)+D$2+D$4)/1000</f>
        <v>94.143000000000001</v>
      </c>
      <c r="E103" s="1276">
        <f t="shared" ref="E103:G103" si="25">IF(E105&gt;E104,(E105-E104)+E$2+E$3,(E104-E105)+E$2+E$4)/1000</f>
        <v>89.763000000000005</v>
      </c>
      <c r="F103" s="1276">
        <f t="shared" si="25"/>
        <v>87.933000000000007</v>
      </c>
      <c r="G103" s="1276">
        <f t="shared" si="25"/>
        <v>79.444999999999993</v>
      </c>
      <c r="H103" s="1276">
        <f>IF(H105&gt;H104,(H105-H104)+H$2*1000+H$3*1000,(H104-H105)+H$2*1000+H$4*1000)/1000</f>
        <v>82.442999999999998</v>
      </c>
      <c r="I103" s="1276">
        <f t="shared" ref="I103:X103" si="26">IF(I105&gt;I104,(I105-I104)+I$2*1000+I$3*1000,(I104-I105)+I$2*1000+I$4*1000)/1000</f>
        <v>72.069000000000017</v>
      </c>
      <c r="J103" s="1276">
        <f t="shared" si="26"/>
        <v>61.343000000000004</v>
      </c>
      <c r="K103" s="1276">
        <f t="shared" si="26"/>
        <v>68.933000000000007</v>
      </c>
      <c r="L103" s="1276">
        <f t="shared" si="26"/>
        <v>41.865000000000002</v>
      </c>
      <c r="M103" s="1276">
        <f t="shared" si="26"/>
        <v>23.015000000000001</v>
      </c>
      <c r="N103" s="1276">
        <f t="shared" si="26"/>
        <v>23.315000000000001</v>
      </c>
      <c r="O103" s="1276">
        <f t="shared" si="26"/>
        <v>11.015000000000001</v>
      </c>
      <c r="P103" s="1276">
        <f t="shared" si="26"/>
        <v>17.963000000000001</v>
      </c>
      <c r="Q103" s="1276">
        <f t="shared" si="26"/>
        <v>4.2149999999999999</v>
      </c>
      <c r="R103" s="1276">
        <f t="shared" si="26"/>
        <v>0.51500000000000001</v>
      </c>
      <c r="S103" s="1276">
        <f t="shared" si="26"/>
        <v>5.4850000000000003</v>
      </c>
      <c r="T103" s="1276">
        <f t="shared" si="26"/>
        <v>6.4850000000000003</v>
      </c>
      <c r="U103" s="1276">
        <f t="shared" si="26"/>
        <v>11.484999999999999</v>
      </c>
      <c r="V103" s="1277">
        <f t="shared" si="26"/>
        <v>41.865000000000002</v>
      </c>
      <c r="W103" s="1277">
        <f t="shared" si="26"/>
        <v>0.51500000000000001</v>
      </c>
      <c r="X103" s="1277">
        <f t="shared" si="26"/>
        <v>79.442999999999998</v>
      </c>
      <c r="Y103" s="1270"/>
    </row>
    <row r="104" spans="1:102">
      <c r="A104" s="1278" t="s">
        <v>1254</v>
      </c>
      <c r="B104" s="1279"/>
      <c r="C104" s="1280"/>
      <c r="D104" s="1200">
        <f>+IF($C99=4510,IF(D$6=4510,$C102,$C102),IF(D$6=4511,$C102+134328,134328+$C102))</f>
        <v>177843</v>
      </c>
      <c r="E104" s="1200">
        <f t="shared" ref="E104:X104" si="27">+IF($C99=4510,IF(E$6=4510,$C102,$C102),IF(E$6=4511,$C102+134328,134328+$C102))</f>
        <v>177843</v>
      </c>
      <c r="F104" s="1200">
        <f t="shared" si="27"/>
        <v>177843</v>
      </c>
      <c r="G104" s="1200">
        <f t="shared" si="27"/>
        <v>177843</v>
      </c>
      <c r="H104" s="1200">
        <f t="shared" si="27"/>
        <v>177843</v>
      </c>
      <c r="I104" s="1200">
        <f t="shared" si="27"/>
        <v>177843</v>
      </c>
      <c r="J104" s="1200">
        <f t="shared" si="27"/>
        <v>177843</v>
      </c>
      <c r="K104" s="1200">
        <f t="shared" si="27"/>
        <v>177843</v>
      </c>
      <c r="L104" s="1200">
        <f t="shared" si="27"/>
        <v>177843</v>
      </c>
      <c r="M104" s="1200">
        <f t="shared" si="27"/>
        <v>177843</v>
      </c>
      <c r="N104" s="1200">
        <f t="shared" si="27"/>
        <v>177843</v>
      </c>
      <c r="O104" s="1200">
        <f t="shared" si="27"/>
        <v>177843</v>
      </c>
      <c r="P104" s="1200">
        <f t="shared" si="27"/>
        <v>177843</v>
      </c>
      <c r="Q104" s="1200">
        <f t="shared" si="27"/>
        <v>177843</v>
      </c>
      <c r="R104" s="1200">
        <f t="shared" si="27"/>
        <v>177843</v>
      </c>
      <c r="S104" s="1200">
        <f t="shared" si="27"/>
        <v>177843</v>
      </c>
      <c r="T104" s="1200">
        <f t="shared" si="27"/>
        <v>177843</v>
      </c>
      <c r="U104" s="1200">
        <f t="shared" si="27"/>
        <v>177843</v>
      </c>
      <c r="V104" s="1281">
        <f t="shared" si="27"/>
        <v>177843</v>
      </c>
      <c r="W104" s="1281">
        <f t="shared" si="27"/>
        <v>177843</v>
      </c>
      <c r="X104" s="1281">
        <f t="shared" si="27"/>
        <v>177843</v>
      </c>
      <c r="Y104" s="1270"/>
    </row>
    <row r="105" spans="1:102">
      <c r="A105" s="1278" t="s">
        <v>1255</v>
      </c>
      <c r="B105" s="1279"/>
      <c r="C105" s="1280"/>
      <c r="D105" s="1200">
        <f>+IF($C99=4510,IF(D$6=4510,D$5,D$5+134328),IF(D$6=4511,D$5+134328,D$5))</f>
        <v>83700</v>
      </c>
      <c r="E105" s="1200">
        <f t="shared" ref="E105:X105" si="28">+IF($C99=4510,IF(E$6=4510,E$5,E$5+134328),IF(E$6=4511,E$5+134328,E$5))</f>
        <v>88080</v>
      </c>
      <c r="F105" s="1200">
        <f t="shared" si="28"/>
        <v>89910</v>
      </c>
      <c r="G105" s="1200">
        <f t="shared" si="28"/>
        <v>98400</v>
      </c>
      <c r="H105" s="1200">
        <f t="shared" si="28"/>
        <v>98400</v>
      </c>
      <c r="I105" s="1200">
        <f t="shared" si="28"/>
        <v>113610</v>
      </c>
      <c r="J105" s="1200">
        <f t="shared" si="28"/>
        <v>116500</v>
      </c>
      <c r="K105" s="1200">
        <f t="shared" si="28"/>
        <v>108910</v>
      </c>
      <c r="L105" s="1200">
        <f t="shared" si="28"/>
        <v>135978</v>
      </c>
      <c r="M105" s="1200">
        <f t="shared" si="28"/>
        <v>154828</v>
      </c>
      <c r="N105" s="1200">
        <f t="shared" si="28"/>
        <v>156528</v>
      </c>
      <c r="O105" s="1200">
        <f t="shared" si="28"/>
        <v>166828</v>
      </c>
      <c r="P105" s="1200">
        <f t="shared" si="28"/>
        <v>170628</v>
      </c>
      <c r="Q105" s="1200">
        <f t="shared" si="28"/>
        <v>173628</v>
      </c>
      <c r="R105" s="1200">
        <f t="shared" si="28"/>
        <v>177328</v>
      </c>
      <c r="S105" s="1200">
        <f t="shared" si="28"/>
        <v>183328</v>
      </c>
      <c r="T105" s="1200">
        <f t="shared" si="28"/>
        <v>184328</v>
      </c>
      <c r="U105" s="1200">
        <f t="shared" si="28"/>
        <v>189328</v>
      </c>
      <c r="V105" s="1281">
        <f t="shared" si="28"/>
        <v>135978</v>
      </c>
      <c r="W105" s="1281">
        <f t="shared" si="28"/>
        <v>177328</v>
      </c>
      <c r="X105" s="1281">
        <f t="shared" si="28"/>
        <v>98400</v>
      </c>
      <c r="Y105" s="1270"/>
    </row>
    <row r="106" spans="1:102" ht="15" customHeight="1">
      <c r="A106" s="1625" t="s">
        <v>1264</v>
      </c>
      <c r="B106" s="1267" t="s">
        <v>1257</v>
      </c>
      <c r="C106" s="1282">
        <f>+'CANTIDADES Fase II todo'!V25+'CANTIDADES Fase II todo'!V28</f>
        <v>0</v>
      </c>
      <c r="D106" s="1236"/>
      <c r="E106" s="1237"/>
      <c r="F106" s="1237"/>
      <c r="G106" s="1237"/>
      <c r="H106" s="1237"/>
      <c r="I106" s="1237"/>
      <c r="J106" s="1237"/>
      <c r="K106" s="1237"/>
      <c r="L106" s="1237"/>
      <c r="M106" s="1237"/>
      <c r="N106" s="1237"/>
      <c r="O106" s="1237"/>
      <c r="P106" s="1237"/>
      <c r="Q106" s="1237"/>
      <c r="R106" s="1237" t="e">
        <f>$C106*#REF!*#REF!</f>
        <v>#REF!</v>
      </c>
      <c r="S106" s="1237"/>
      <c r="T106" s="1237"/>
      <c r="U106" s="1237"/>
      <c r="V106" s="1283"/>
      <c r="W106" s="1283"/>
      <c r="X106" s="1283"/>
      <c r="Y106" s="1284" t="e">
        <f>+SUMPRODUCT(D106:X106,D103:X103)</f>
        <v>#REF!</v>
      </c>
      <c r="Z106" s="1236" t="e">
        <f>$C106*#REF!*#REF!</f>
        <v>#REF!</v>
      </c>
      <c r="AB106" s="1296"/>
    </row>
    <row r="107" spans="1:102">
      <c r="A107" s="1626"/>
      <c r="B107" s="1267" t="s">
        <v>1258</v>
      </c>
      <c r="C107" s="1282">
        <f>+'CANTIDADES Fase II todo'!V26</f>
        <v>0</v>
      </c>
      <c r="D107" s="1236"/>
      <c r="E107" s="1237"/>
      <c r="F107" s="1237"/>
      <c r="G107" s="1237"/>
      <c r="H107" s="1237"/>
      <c r="I107" s="1237"/>
      <c r="J107" s="1237"/>
      <c r="K107" s="1237"/>
      <c r="L107" s="1237"/>
      <c r="M107" s="1237"/>
      <c r="N107" s="1237"/>
      <c r="O107" s="1237"/>
      <c r="P107" s="1237"/>
      <c r="Q107" s="1237"/>
      <c r="R107" s="1237" t="e">
        <f>$C107*#REF!*#REF!</f>
        <v>#REF!</v>
      </c>
      <c r="S107" s="1237"/>
      <c r="T107" s="1237"/>
      <c r="U107" s="1237"/>
      <c r="V107" s="1283"/>
      <c r="W107" s="1283"/>
      <c r="X107" s="1283"/>
      <c r="Y107" s="1284" t="e">
        <f>+SUMPRODUCT(D107:X107,D103:X103)</f>
        <v>#REF!</v>
      </c>
      <c r="Z107" s="1236" t="e">
        <f>$C107*#REF!*#REF!</f>
        <v>#REF!</v>
      </c>
    </row>
    <row r="108" spans="1:102">
      <c r="A108" s="1626"/>
      <c r="B108" s="1267" t="s">
        <v>1259</v>
      </c>
      <c r="C108" s="1282">
        <f>+'CANTIDADES Fase II todo'!V72</f>
        <v>376.5</v>
      </c>
      <c r="D108" s="1236"/>
      <c r="E108" s="1237"/>
      <c r="F108" s="1237"/>
      <c r="G108" s="1237"/>
      <c r="H108" s="1237"/>
      <c r="I108" s="1237"/>
      <c r="J108" s="1237"/>
      <c r="K108" s="1237"/>
      <c r="L108" s="1237"/>
      <c r="M108" s="1237"/>
      <c r="N108" s="1237"/>
      <c r="O108" s="1237"/>
      <c r="P108" s="1237"/>
      <c r="Q108" s="1237"/>
      <c r="R108" s="1237"/>
      <c r="S108" s="1237"/>
      <c r="T108" s="1237"/>
      <c r="U108" s="1237"/>
      <c r="V108" s="1283"/>
      <c r="W108" s="1283" t="e">
        <f>+$C108*#REF!*#REF!</f>
        <v>#REF!</v>
      </c>
      <c r="X108" s="1283"/>
      <c r="Y108" s="1284" t="e">
        <f>+SUMPRODUCT(D108:X108,D103:X103)</f>
        <v>#REF!</v>
      </c>
      <c r="Z108" s="1236" t="e">
        <f>+$C108*#REF!*#REF!</f>
        <v>#REF!</v>
      </c>
    </row>
    <row r="109" spans="1:102">
      <c r="A109" s="1626"/>
      <c r="B109" s="1267" t="s">
        <v>1260</v>
      </c>
      <c r="C109" s="1282">
        <f>+'CANTIDADES Fase II todo'!V83+'CANTIDADES Fase II todo'!V84+'CANTIDADES Fase II todo'!V85</f>
        <v>8174.3750000032196</v>
      </c>
      <c r="D109" s="1236"/>
      <c r="E109" s="1237"/>
      <c r="F109" s="1237"/>
      <c r="G109" s="1237"/>
      <c r="H109" s="1237"/>
      <c r="I109" s="1237"/>
      <c r="J109" s="1237"/>
      <c r="K109" s="1237"/>
      <c r="L109" s="1237"/>
      <c r="M109" s="1237"/>
      <c r="N109" s="1237"/>
      <c r="O109" s="1237"/>
      <c r="P109" s="1237"/>
      <c r="Q109" s="1237"/>
      <c r="R109" s="1237"/>
      <c r="S109" s="1237"/>
      <c r="T109" s="1237"/>
      <c r="U109" s="1237"/>
      <c r="V109" s="1283"/>
      <c r="W109" s="1283" t="e">
        <f>+$C109*#REF!*#REF!</f>
        <v>#REF!</v>
      </c>
      <c r="X109" s="1283"/>
      <c r="Y109" s="1284" t="e">
        <f>+SUMPRODUCT(D109:X109,D103:X103)</f>
        <v>#REF!</v>
      </c>
      <c r="Z109" s="1236" t="e">
        <f>+$C109*#REF!*#REF!</f>
        <v>#REF!</v>
      </c>
    </row>
    <row r="110" spans="1:102">
      <c r="A110" s="1626"/>
      <c r="B110" s="1267" t="s">
        <v>1261</v>
      </c>
      <c r="C110" s="1282">
        <f>+'CANTIDADES Fase II todo'!V92+'CANTIDADES Fase II todo'!V93</f>
        <v>2831.8500000003214</v>
      </c>
      <c r="D110" s="1236"/>
      <c r="E110" s="1237"/>
      <c r="F110" s="1237"/>
      <c r="G110" s="1237"/>
      <c r="H110" s="1237"/>
      <c r="I110" s="1237"/>
      <c r="J110" s="1237"/>
      <c r="K110" s="1237"/>
      <c r="L110" s="1237"/>
      <c r="M110" s="1237"/>
      <c r="N110" s="1237"/>
      <c r="O110" s="1237"/>
      <c r="P110" s="1237"/>
      <c r="Q110" s="1237"/>
      <c r="R110" s="1237"/>
      <c r="S110" s="1237"/>
      <c r="T110" s="1237"/>
      <c r="U110" s="1237"/>
      <c r="V110" s="1283"/>
      <c r="W110" s="1283"/>
      <c r="X110" s="1283" t="e">
        <f>+$C110*#REF!*#REF!</f>
        <v>#REF!</v>
      </c>
      <c r="Y110" s="1284" t="e">
        <f>+SUMPRODUCT(D110:X110,D103:X103)</f>
        <v>#REF!</v>
      </c>
      <c r="Z110" s="1243" t="e">
        <f>+$C110*#REF!*#REF!</f>
        <v>#REF!</v>
      </c>
    </row>
    <row r="111" spans="1:102" s="1186" customFormat="1">
      <c r="A111" s="1627"/>
      <c r="B111" s="1285" t="s">
        <v>1262</v>
      </c>
      <c r="C111" s="1286">
        <f>+'CANTIDADES Fase II todo'!V99</f>
        <v>1156.375</v>
      </c>
      <c r="D111" s="1287"/>
      <c r="E111" s="1246"/>
      <c r="F111" s="1246"/>
      <c r="G111" s="1246"/>
      <c r="H111" s="1246"/>
      <c r="I111" s="1246"/>
      <c r="J111" s="1246"/>
      <c r="K111" s="1246"/>
      <c r="L111" s="1246"/>
      <c r="M111" s="1246"/>
      <c r="N111" s="1246"/>
      <c r="O111" s="1246"/>
      <c r="P111" s="1246"/>
      <c r="Q111" s="1246"/>
      <c r="R111" s="1246"/>
      <c r="S111" s="1246"/>
      <c r="T111" s="1246"/>
      <c r="U111" s="1246"/>
      <c r="V111" s="1247"/>
      <c r="W111" s="1247"/>
      <c r="X111" s="1247" t="e">
        <f>+$C111*#REF!</f>
        <v>#REF!</v>
      </c>
      <c r="Y111" s="1245" t="e">
        <f>+SUMPRODUCT(D111:X111,D103:X103)</f>
        <v>#REF!</v>
      </c>
      <c r="Z111" s="1287" t="e">
        <f>+$C111*#REF!</f>
        <v>#REF!</v>
      </c>
    </row>
    <row r="112" spans="1:102">
      <c r="A112" s="1187"/>
    </row>
    <row r="113" spans="2:25">
      <c r="B113" s="1267" t="s">
        <v>1257</v>
      </c>
      <c r="C113" s="1296">
        <f t="shared" ref="C113:C118" si="29">+SUMIFS($C$24:$C$110,$B$24:$B$110,B113)</f>
        <v>219100.72899999464</v>
      </c>
      <c r="D113" s="1298"/>
      <c r="E113" s="1299"/>
      <c r="F113" s="1299"/>
      <c r="G113" s="1299"/>
      <c r="H113" s="1299"/>
      <c r="I113" s="1299"/>
      <c r="J113" s="1299"/>
      <c r="K113" s="1299"/>
      <c r="L113" s="1299"/>
      <c r="M113" s="1299"/>
      <c r="N113" s="1299"/>
      <c r="O113" s="1299"/>
      <c r="P113" s="1299"/>
      <c r="Q113" s="1299"/>
      <c r="R113" s="1299"/>
      <c r="S113" s="1299"/>
      <c r="T113" s="1299"/>
      <c r="U113" s="1299"/>
      <c r="V113" s="1300"/>
      <c r="W113" s="1300"/>
      <c r="X113" s="1300"/>
      <c r="Y113" s="1270"/>
    </row>
    <row r="114" spans="2:25">
      <c r="B114" s="1267" t="s">
        <v>1258</v>
      </c>
      <c r="C114" s="1296">
        <f t="shared" si="29"/>
        <v>32404.094895830367</v>
      </c>
    </row>
    <row r="115" spans="2:25">
      <c r="B115" s="1267" t="s">
        <v>1259</v>
      </c>
      <c r="C115" s="1296">
        <f t="shared" si="29"/>
        <v>3562.5303406828743</v>
      </c>
    </row>
    <row r="116" spans="2:25">
      <c r="B116" s="1267" t="s">
        <v>1260</v>
      </c>
      <c r="C116" s="1296">
        <f t="shared" si="29"/>
        <v>57379.844370832419</v>
      </c>
    </row>
    <row r="117" spans="2:25">
      <c r="B117" s="1267" t="s">
        <v>1261</v>
      </c>
      <c r="C117" s="1296">
        <f t="shared" si="29"/>
        <v>24938.965966064232</v>
      </c>
    </row>
    <row r="118" spans="2:25">
      <c r="B118" s="1285" t="s">
        <v>1262</v>
      </c>
      <c r="C118" s="1296">
        <f t="shared" si="29"/>
        <v>3274.3071289351856</v>
      </c>
    </row>
  </sheetData>
  <mergeCells count="31">
    <mergeCell ref="A1:C1"/>
    <mergeCell ref="Y1:Y12"/>
    <mergeCell ref="A2:C2"/>
    <mergeCell ref="A3:B4"/>
    <mergeCell ref="A5:C5"/>
    <mergeCell ref="A6:C6"/>
    <mergeCell ref="A7:C7"/>
    <mergeCell ref="A8:C8"/>
    <mergeCell ref="G8:H8"/>
    <mergeCell ref="M8:N8"/>
    <mergeCell ref="A46:A47"/>
    <mergeCell ref="A9:C9"/>
    <mergeCell ref="A10:C10"/>
    <mergeCell ref="A11:C11"/>
    <mergeCell ref="A12:C12"/>
    <mergeCell ref="A13:C13"/>
    <mergeCell ref="A14:C14"/>
    <mergeCell ref="A15:C15"/>
    <mergeCell ref="A18:A19"/>
    <mergeCell ref="A24:A29"/>
    <mergeCell ref="A32:A33"/>
    <mergeCell ref="A38:A43"/>
    <mergeCell ref="A93:A97"/>
    <mergeCell ref="A100:A101"/>
    <mergeCell ref="A106:A111"/>
    <mergeCell ref="A52:A57"/>
    <mergeCell ref="A60:A61"/>
    <mergeCell ref="A66:A70"/>
    <mergeCell ref="A73:A74"/>
    <mergeCell ref="A79:A84"/>
    <mergeCell ref="A87:A88"/>
  </mergeCells>
  <conditionalFormatting sqref="D21:U21">
    <cfRule type="colorScale" priority="11">
      <colorScale>
        <cfvo type="min"/>
        <cfvo type="percentile" val="50"/>
        <cfvo type="max"/>
        <color rgb="FF63BE7B"/>
        <color rgb="FFFFEB84"/>
        <color rgb="FFF8696B"/>
      </colorScale>
    </cfRule>
  </conditionalFormatting>
  <conditionalFormatting sqref="D35:U35">
    <cfRule type="colorScale" priority="10">
      <colorScale>
        <cfvo type="min"/>
        <cfvo type="percentile" val="50"/>
        <cfvo type="max"/>
        <color rgb="FF63BE7B"/>
        <color rgb="FFFFEB84"/>
        <color rgb="FFF8696B"/>
      </colorScale>
    </cfRule>
  </conditionalFormatting>
  <conditionalFormatting sqref="D49:U49">
    <cfRule type="colorScale" priority="9">
      <colorScale>
        <cfvo type="min"/>
        <cfvo type="percentile" val="50"/>
        <cfvo type="max"/>
        <color rgb="FF63BE7B"/>
        <color rgb="FFFFEB84"/>
        <color rgb="FFF8696B"/>
      </colorScale>
    </cfRule>
  </conditionalFormatting>
  <conditionalFormatting sqref="D63:U63">
    <cfRule type="colorScale" priority="8">
      <colorScale>
        <cfvo type="min"/>
        <cfvo type="percentile" val="50"/>
        <cfvo type="max"/>
        <color rgb="FF63BE7B"/>
        <color rgb="FFFFEB84"/>
        <color rgb="FFF8696B"/>
      </colorScale>
    </cfRule>
  </conditionalFormatting>
  <conditionalFormatting sqref="D103:U103">
    <cfRule type="colorScale" priority="7">
      <colorScale>
        <cfvo type="min"/>
        <cfvo type="percentile" val="50"/>
        <cfvo type="max"/>
        <color rgb="FF63BE7B"/>
        <color rgb="FFFFEB84"/>
        <color rgb="FFF8696B"/>
      </colorScale>
    </cfRule>
  </conditionalFormatting>
  <conditionalFormatting sqref="D13">
    <cfRule type="cellIs" dxfId="53" priority="6" operator="greaterThan">
      <formula>D10*0.9</formula>
    </cfRule>
  </conditionalFormatting>
  <conditionalFormatting sqref="E14:U14">
    <cfRule type="cellIs" priority="5" operator="greaterThan">
      <formula>E11*0.8</formula>
    </cfRule>
  </conditionalFormatting>
  <conditionalFormatting sqref="D76:U76">
    <cfRule type="colorScale" priority="4">
      <colorScale>
        <cfvo type="min"/>
        <cfvo type="percentile" val="50"/>
        <cfvo type="max"/>
        <color rgb="FF63BE7B"/>
        <color rgb="FFFFEB84"/>
        <color rgb="FFF8696B"/>
      </colorScale>
    </cfRule>
  </conditionalFormatting>
  <conditionalFormatting sqref="D90:U90">
    <cfRule type="colorScale" priority="3">
      <colorScale>
        <cfvo type="min"/>
        <cfvo type="percentile" val="50"/>
        <cfvo type="max"/>
        <color rgb="FF63BE7B"/>
        <color rgb="FFFFEB84"/>
        <color rgb="FFF8696B"/>
      </colorScale>
    </cfRule>
  </conditionalFormatting>
  <conditionalFormatting sqref="D14:U14">
    <cfRule type="cellIs" dxfId="52" priority="2" operator="greaterThan">
      <formula>0</formula>
    </cfRule>
  </conditionalFormatting>
  <conditionalFormatting sqref="E13:U13">
    <cfRule type="cellIs" dxfId="51" priority="1" operator="greaterThan">
      <formula>E10*0.9</formula>
    </cfRule>
  </conditionalFormatting>
  <pageMargins left="0.7" right="0.7" top="0.75" bottom="0.75" header="0.3" footer="0.3"/>
  <pageSetup scale="2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DI144"/>
  <sheetViews>
    <sheetView view="pageBreakPreview" zoomScale="80" zoomScaleNormal="85" zoomScaleSheetLayoutView="80" workbookViewId="0">
      <pane xSplit="3" ySplit="15" topLeftCell="X16" activePane="bottomRight" state="frozen"/>
      <selection activeCell="A214" sqref="A1:XFD1048576"/>
      <selection pane="topRight" activeCell="A214" sqref="A1:XFD1048576"/>
      <selection pane="bottomLeft" activeCell="A214" sqref="A1:XFD1048576"/>
      <selection pane="bottomRight" activeCell="AE10" sqref="AE10"/>
    </sheetView>
  </sheetViews>
  <sheetFormatPr baseColWidth="10" defaultColWidth="11.42578125" defaultRowHeight="15"/>
  <cols>
    <col min="1" max="1" width="11.85546875" style="1185" customWidth="1"/>
    <col min="2" max="2" width="15" style="1185" customWidth="1"/>
    <col min="3" max="3" width="15.28515625" style="1185" customWidth="1"/>
    <col min="4" max="5" width="11.28515625" style="1392" customWidth="1"/>
    <col min="6" max="9" width="14.42578125" style="1185" customWidth="1"/>
    <col min="10" max="10" width="14.42578125" style="1393" customWidth="1"/>
    <col min="11" max="16" width="14.42578125" style="1185" customWidth="1"/>
    <col min="17" max="17" width="14.42578125" style="1393" customWidth="1"/>
    <col min="18" max="29" width="14.42578125" style="1185" customWidth="1"/>
    <col min="30" max="30" width="21.5703125" style="1319" customWidth="1"/>
    <col min="31" max="31" width="22" style="1319" customWidth="1"/>
    <col min="32" max="32" width="17.28515625" style="1319" customWidth="1"/>
    <col min="33" max="33" width="21.28515625" style="1319" customWidth="1"/>
    <col min="34" max="34" width="21.5703125" style="1319" customWidth="1"/>
    <col min="35" max="35" width="9.85546875" style="1185" bestFit="1" customWidth="1"/>
    <col min="36" max="16384" width="11.42578125" style="1185"/>
  </cols>
  <sheetData>
    <row r="1" spans="1:113" s="1193" customFormat="1" ht="45">
      <c r="A1" s="1630" t="s">
        <v>1199</v>
      </c>
      <c r="B1" s="1631"/>
      <c r="C1" s="1632"/>
      <c r="D1" s="1320" t="s">
        <v>1270</v>
      </c>
      <c r="E1" s="1430" t="s">
        <v>1271</v>
      </c>
      <c r="F1" s="1190" t="s">
        <v>1272</v>
      </c>
      <c r="G1" s="1190" t="s">
        <v>1273</v>
      </c>
      <c r="H1" s="1190" t="s">
        <v>1274</v>
      </c>
      <c r="I1" s="1190" t="s">
        <v>1275</v>
      </c>
      <c r="J1" s="1322" t="s">
        <v>1276</v>
      </c>
      <c r="K1" s="1190" t="s">
        <v>1277</v>
      </c>
      <c r="L1" s="1190" t="s">
        <v>1278</v>
      </c>
      <c r="M1" s="1190" t="s">
        <v>1279</v>
      </c>
      <c r="N1" s="1190" t="s">
        <v>1280</v>
      </c>
      <c r="O1" s="1190" t="s">
        <v>1281</v>
      </c>
      <c r="P1" s="1190" t="s">
        <v>1282</v>
      </c>
      <c r="Q1" s="1429" t="s">
        <v>1283</v>
      </c>
      <c r="R1" s="1190" t="s">
        <v>1284</v>
      </c>
      <c r="S1" s="1190" t="s">
        <v>1285</v>
      </c>
      <c r="T1" s="1190" t="s">
        <v>1286</v>
      </c>
      <c r="U1" s="1190" t="s">
        <v>1287</v>
      </c>
      <c r="V1" s="1190" t="s">
        <v>1288</v>
      </c>
      <c r="W1" s="1190" t="s">
        <v>1289</v>
      </c>
      <c r="X1" s="1427" t="s">
        <v>1290</v>
      </c>
      <c r="Y1" s="1429" t="s">
        <v>1291</v>
      </c>
      <c r="Z1" s="1427" t="s">
        <v>1292</v>
      </c>
      <c r="AA1" s="1190" t="s">
        <v>1293</v>
      </c>
      <c r="AB1" s="1190" t="s">
        <v>1294</v>
      </c>
      <c r="AC1" s="1190" t="s">
        <v>1295</v>
      </c>
      <c r="AD1" s="1301" t="s">
        <v>1296</v>
      </c>
      <c r="AE1" s="1301" t="s">
        <v>1297</v>
      </c>
      <c r="AF1" s="1301" t="s">
        <v>1298</v>
      </c>
      <c r="AG1" s="1431" t="s">
        <v>1299</v>
      </c>
      <c r="AH1" s="1301" t="s">
        <v>1300</v>
      </c>
      <c r="AI1" s="1633" t="s">
        <v>1221</v>
      </c>
    </row>
    <row r="2" spans="1:113" s="957" customFormat="1">
      <c r="A2" s="1636" t="s">
        <v>1222</v>
      </c>
      <c r="B2" s="1637"/>
      <c r="C2" s="1638"/>
      <c r="D2" s="1323"/>
      <c r="E2" s="1324"/>
      <c r="F2" s="1195"/>
      <c r="G2" s="1195">
        <v>1</v>
      </c>
      <c r="H2" s="1195"/>
      <c r="I2" s="1195">
        <v>1</v>
      </c>
      <c r="J2" s="1325"/>
      <c r="K2" s="1195"/>
      <c r="L2" s="1195"/>
      <c r="M2" s="1195">
        <v>4.5</v>
      </c>
      <c r="N2" s="1195"/>
      <c r="O2" s="1195"/>
      <c r="P2" s="1195">
        <v>0.5</v>
      </c>
      <c r="Q2" s="1325"/>
      <c r="R2" s="1195">
        <v>1.3</v>
      </c>
      <c r="S2" s="1195">
        <v>3</v>
      </c>
      <c r="T2" s="1195">
        <v>1.8</v>
      </c>
      <c r="U2" s="1195">
        <v>1.4</v>
      </c>
      <c r="V2" s="1195">
        <v>2.2999999999999998</v>
      </c>
      <c r="W2" s="1195"/>
      <c r="X2" s="1195"/>
      <c r="Y2" s="1195">
        <v>1</v>
      </c>
      <c r="Z2" s="1195">
        <v>3.8</v>
      </c>
      <c r="AA2" s="1195">
        <v>1.2</v>
      </c>
      <c r="AB2" s="1195"/>
      <c r="AC2" s="1195">
        <v>6.5</v>
      </c>
      <c r="AD2" s="1302"/>
      <c r="AE2" s="1302"/>
      <c r="AF2" s="1302"/>
      <c r="AG2" s="1302"/>
      <c r="AH2" s="1302">
        <v>6</v>
      </c>
      <c r="AI2" s="1634"/>
    </row>
    <row r="3" spans="1:113" s="957" customFormat="1" ht="15" customHeight="1">
      <c r="A3" s="1639" t="s">
        <v>1223</v>
      </c>
      <c r="B3" s="1640"/>
      <c r="C3" s="1198" t="s">
        <v>1224</v>
      </c>
      <c r="D3" s="1323"/>
      <c r="E3" s="1324"/>
      <c r="F3" s="1195"/>
      <c r="G3" s="1195"/>
      <c r="H3" s="1195"/>
      <c r="I3" s="1195"/>
      <c r="J3" s="1325"/>
      <c r="K3" s="1195"/>
      <c r="L3" s="1195"/>
      <c r="M3" s="1195"/>
      <c r="N3" s="1199"/>
      <c r="O3" s="1195"/>
      <c r="P3" s="1195"/>
      <c r="Q3" s="1325"/>
      <c r="R3" s="1195"/>
      <c r="S3" s="1195"/>
      <c r="T3" s="1195"/>
      <c r="U3" s="1199"/>
      <c r="V3" s="1195"/>
      <c r="W3" s="1195"/>
      <c r="X3" s="1195"/>
      <c r="Y3" s="1195"/>
      <c r="Z3" s="1195"/>
      <c r="AA3" s="1195"/>
      <c r="AB3" s="1195"/>
      <c r="AC3" s="1195"/>
      <c r="AD3" s="1302"/>
      <c r="AE3" s="1302"/>
      <c r="AF3" s="1302"/>
      <c r="AG3" s="1302"/>
      <c r="AH3" s="1302"/>
      <c r="AI3" s="1634"/>
    </row>
    <row r="4" spans="1:113" s="957" customFormat="1">
      <c r="A4" s="1639"/>
      <c r="B4" s="1640"/>
      <c r="C4" s="1198" t="s">
        <v>1225</v>
      </c>
      <c r="D4" s="1323"/>
      <c r="E4" s="1324"/>
      <c r="F4" s="1195"/>
      <c r="G4" s="1195"/>
      <c r="H4" s="1195"/>
      <c r="I4" s="1195"/>
      <c r="J4" s="1325"/>
      <c r="K4" s="1195"/>
      <c r="L4" s="1195"/>
      <c r="M4" s="1195"/>
      <c r="N4" s="1195"/>
      <c r="O4" s="1195"/>
      <c r="P4" s="1195"/>
      <c r="Q4" s="1325"/>
      <c r="R4" s="1195"/>
      <c r="S4" s="1195"/>
      <c r="T4" s="1195"/>
      <c r="U4" s="1195"/>
      <c r="V4" s="1195"/>
      <c r="W4" s="1195"/>
      <c r="X4" s="1195"/>
      <c r="Y4" s="1195"/>
      <c r="Z4" s="1195"/>
      <c r="AA4" s="1195"/>
      <c r="AB4" s="1195"/>
      <c r="AC4" s="1195"/>
      <c r="AD4" s="1302"/>
      <c r="AE4" s="1302"/>
      <c r="AF4" s="1302"/>
      <c r="AG4" s="1302"/>
      <c r="AH4" s="1302"/>
      <c r="AI4" s="1634"/>
    </row>
    <row r="5" spans="1:113" s="957" customFormat="1">
      <c r="A5" s="1636" t="s">
        <v>1226</v>
      </c>
      <c r="B5" s="1637"/>
      <c r="C5" s="1638"/>
      <c r="D5" s="1326">
        <v>85950</v>
      </c>
      <c r="E5" s="1327">
        <v>85500</v>
      </c>
      <c r="F5" s="1201">
        <v>5200</v>
      </c>
      <c r="G5" s="1201">
        <v>9930</v>
      </c>
      <c r="H5" s="1201">
        <v>8900</v>
      </c>
      <c r="I5" s="1201">
        <v>9000</v>
      </c>
      <c r="J5" s="1328">
        <v>15500</v>
      </c>
      <c r="K5" s="1201">
        <v>16000</v>
      </c>
      <c r="L5" s="1201">
        <v>23200</v>
      </c>
      <c r="M5" s="1201">
        <v>25800</v>
      </c>
      <c r="N5" s="1201">
        <v>43400</v>
      </c>
      <c r="O5" s="1201">
        <v>45000</v>
      </c>
      <c r="P5" s="1201">
        <v>47500</v>
      </c>
      <c r="Q5" s="1328">
        <v>51000</v>
      </c>
      <c r="R5" s="1201">
        <v>40000</v>
      </c>
      <c r="S5" s="1201">
        <v>48800</v>
      </c>
      <c r="T5" s="1201">
        <v>53650</v>
      </c>
      <c r="U5" s="1201">
        <v>52350</v>
      </c>
      <c r="V5" s="1201">
        <v>53730</v>
      </c>
      <c r="W5" s="1201">
        <v>30000</v>
      </c>
      <c r="X5" s="1201">
        <v>63700</v>
      </c>
      <c r="Y5" s="1201">
        <v>72000</v>
      </c>
      <c r="Z5" s="1201">
        <v>75000</v>
      </c>
      <c r="AA5" s="1201">
        <v>84150</v>
      </c>
      <c r="AB5" s="1201">
        <v>89920</v>
      </c>
      <c r="AC5" s="1204">
        <v>89920</v>
      </c>
      <c r="AD5" s="1303">
        <v>89950</v>
      </c>
      <c r="AE5" s="1303">
        <v>28000</v>
      </c>
      <c r="AF5" s="1303">
        <v>38000</v>
      </c>
      <c r="AG5" s="1303">
        <v>71000</v>
      </c>
      <c r="AH5" s="1303">
        <v>76800</v>
      </c>
      <c r="AI5" s="1634"/>
    </row>
    <row r="6" spans="1:113" s="957" customFormat="1">
      <c r="A6" s="1641" t="s">
        <v>1227</v>
      </c>
      <c r="B6" s="1642"/>
      <c r="C6" s="1643"/>
      <c r="D6" s="1329">
        <v>4514</v>
      </c>
      <c r="E6" s="1330">
        <v>4514</v>
      </c>
      <c r="F6" s="1208">
        <v>4515</v>
      </c>
      <c r="G6" s="1208">
        <v>4515</v>
      </c>
      <c r="H6" s="1208">
        <v>4515</v>
      </c>
      <c r="I6" s="1208">
        <v>4515</v>
      </c>
      <c r="J6" s="1331">
        <v>4515</v>
      </c>
      <c r="K6" s="1208">
        <v>4515</v>
      </c>
      <c r="L6" s="1208">
        <v>4515</v>
      </c>
      <c r="M6" s="1208">
        <v>4515</v>
      </c>
      <c r="N6" s="1208">
        <v>4515</v>
      </c>
      <c r="O6" s="1208">
        <v>4515</v>
      </c>
      <c r="P6" s="1208">
        <v>4514</v>
      </c>
      <c r="Q6" s="1331">
        <v>4514</v>
      </c>
      <c r="R6" s="1208">
        <v>4514</v>
      </c>
      <c r="S6" s="1208">
        <v>4515</v>
      </c>
      <c r="T6" s="1208">
        <v>4515</v>
      </c>
      <c r="U6" s="1208">
        <v>4515</v>
      </c>
      <c r="V6" s="1208">
        <v>4515</v>
      </c>
      <c r="W6" s="1208">
        <v>4515</v>
      </c>
      <c r="X6" s="1208">
        <v>4515</v>
      </c>
      <c r="Y6" s="1208">
        <v>4515</v>
      </c>
      <c r="Z6" s="1208">
        <v>4515</v>
      </c>
      <c r="AA6" s="1208">
        <v>4515</v>
      </c>
      <c r="AB6" s="1208">
        <v>4515</v>
      </c>
      <c r="AC6" s="1208">
        <v>4515</v>
      </c>
      <c r="AD6" s="1210">
        <v>4514</v>
      </c>
      <c r="AE6" s="1210">
        <v>4515</v>
      </c>
      <c r="AF6" s="1210">
        <v>4515</v>
      </c>
      <c r="AG6" s="1210">
        <v>4515</v>
      </c>
      <c r="AH6" s="1210">
        <v>4515</v>
      </c>
      <c r="AI6" s="1634"/>
    </row>
    <row r="7" spans="1:113" s="1193" customFormat="1" ht="45">
      <c r="A7" s="1644" t="s">
        <v>1228</v>
      </c>
      <c r="B7" s="1645"/>
      <c r="C7" s="1646"/>
      <c r="D7" s="1332" t="s">
        <v>1301</v>
      </c>
      <c r="E7" s="1333" t="s">
        <v>1301</v>
      </c>
      <c r="F7" s="1304" t="s">
        <v>759</v>
      </c>
      <c r="G7" s="1304" t="s">
        <v>1302</v>
      </c>
      <c r="H7" s="1304" t="s">
        <v>759</v>
      </c>
      <c r="I7" s="1304" t="s">
        <v>759</v>
      </c>
      <c r="J7" s="1334" t="s">
        <v>1302</v>
      </c>
      <c r="K7" s="1304" t="s">
        <v>1302</v>
      </c>
      <c r="L7" s="1335" t="s">
        <v>1302</v>
      </c>
      <c r="M7" s="1335" t="s">
        <v>1302</v>
      </c>
      <c r="N7" s="1304" t="s">
        <v>1302</v>
      </c>
      <c r="O7" s="1304" t="s">
        <v>1302</v>
      </c>
      <c r="P7" s="1304" t="s">
        <v>1302</v>
      </c>
      <c r="Q7" s="1334" t="s">
        <v>1302</v>
      </c>
      <c r="R7" s="1304" t="s">
        <v>1302</v>
      </c>
      <c r="S7" s="1335" t="s">
        <v>1302</v>
      </c>
      <c r="T7" s="1335" t="s">
        <v>1302</v>
      </c>
      <c r="U7" s="1304" t="s">
        <v>1302</v>
      </c>
      <c r="V7" s="1304" t="s">
        <v>1302</v>
      </c>
      <c r="W7" s="1304" t="s">
        <v>1302</v>
      </c>
      <c r="X7" s="1335" t="s">
        <v>1302</v>
      </c>
      <c r="Y7" s="1335" t="s">
        <v>1302</v>
      </c>
      <c r="Z7" s="1304" t="s">
        <v>1302</v>
      </c>
      <c r="AA7" s="1304" t="s">
        <v>1302</v>
      </c>
      <c r="AB7" s="1304" t="s">
        <v>1302</v>
      </c>
      <c r="AC7" s="1304" t="s">
        <v>1302</v>
      </c>
      <c r="AD7" s="1305" t="s">
        <v>758</v>
      </c>
      <c r="AE7" s="1305" t="s">
        <v>758</v>
      </c>
      <c r="AF7" s="1305" t="s">
        <v>1303</v>
      </c>
      <c r="AG7" s="1305" t="s">
        <v>758</v>
      </c>
      <c r="AH7" s="1305" t="s">
        <v>758</v>
      </c>
      <c r="AI7" s="1634"/>
    </row>
    <row r="8" spans="1:113" s="1343" customFormat="1">
      <c r="A8" s="1656" t="s">
        <v>1233</v>
      </c>
      <c r="B8" s="1657"/>
      <c r="C8" s="1658"/>
      <c r="D8" s="1336">
        <v>42866</v>
      </c>
      <c r="E8" s="1337">
        <v>44123</v>
      </c>
      <c r="F8" s="1338">
        <v>42987</v>
      </c>
      <c r="G8" s="1338">
        <v>42452</v>
      </c>
      <c r="H8" s="1338">
        <v>43049</v>
      </c>
      <c r="I8" s="1338">
        <v>43242</v>
      </c>
      <c r="J8" s="1339">
        <v>43172</v>
      </c>
      <c r="K8" s="1338">
        <v>43336</v>
      </c>
      <c r="L8" s="1338">
        <v>43172</v>
      </c>
      <c r="M8" s="1338">
        <v>43326</v>
      </c>
      <c r="N8" s="1338">
        <v>43325</v>
      </c>
      <c r="O8" s="1338">
        <v>43082</v>
      </c>
      <c r="P8" s="1338">
        <v>43543</v>
      </c>
      <c r="Q8" s="1339">
        <v>43608</v>
      </c>
      <c r="R8" s="1338">
        <v>43326</v>
      </c>
      <c r="S8" s="1340">
        <v>43081</v>
      </c>
      <c r="T8" s="1340">
        <v>43578</v>
      </c>
      <c r="U8" s="1338" t="s">
        <v>1304</v>
      </c>
      <c r="V8" s="1338">
        <v>43594</v>
      </c>
      <c r="W8" s="1338">
        <v>43172</v>
      </c>
      <c r="X8" s="1340">
        <v>43543</v>
      </c>
      <c r="Y8" s="1340">
        <v>42937</v>
      </c>
      <c r="Z8" s="1338">
        <v>43543</v>
      </c>
      <c r="AA8" s="1338">
        <v>43543</v>
      </c>
      <c r="AB8" s="1338">
        <v>43543</v>
      </c>
      <c r="AC8" s="1341">
        <v>43543</v>
      </c>
      <c r="AD8" s="1342"/>
      <c r="AE8" s="1342"/>
      <c r="AF8" s="1342"/>
      <c r="AG8" s="1342"/>
      <c r="AH8" s="1342"/>
      <c r="AI8" s="1634"/>
    </row>
    <row r="9" spans="1:113" s="1352" customFormat="1" ht="30">
      <c r="A9" s="1659" t="s">
        <v>1235</v>
      </c>
      <c r="B9" s="1660"/>
      <c r="C9" s="1661"/>
      <c r="D9" s="1344">
        <v>42705</v>
      </c>
      <c r="E9" s="1345" t="s">
        <v>1236</v>
      </c>
      <c r="F9" s="1346" t="s">
        <v>1238</v>
      </c>
      <c r="G9" s="1346">
        <v>42675</v>
      </c>
      <c r="H9" s="1346">
        <v>42522</v>
      </c>
      <c r="I9" s="1346">
        <v>42675</v>
      </c>
      <c r="J9" s="1347" t="s">
        <v>1238</v>
      </c>
      <c r="K9" s="1346" t="s">
        <v>1238</v>
      </c>
      <c r="L9" s="1348">
        <v>42339</v>
      </c>
      <c r="M9" s="1348" t="s">
        <v>1238</v>
      </c>
      <c r="N9" s="1349">
        <v>42583</v>
      </c>
      <c r="O9" s="1346" t="s">
        <v>1238</v>
      </c>
      <c r="P9" s="1349">
        <v>42675</v>
      </c>
      <c r="Q9" s="1347" t="s">
        <v>1238</v>
      </c>
      <c r="R9" s="1346" t="s">
        <v>1238</v>
      </c>
      <c r="S9" s="1348" t="s">
        <v>1238</v>
      </c>
      <c r="T9" s="1348" t="s">
        <v>1238</v>
      </c>
      <c r="U9" s="1346" t="s">
        <v>1238</v>
      </c>
      <c r="V9" s="1349">
        <v>42736</v>
      </c>
      <c r="W9" s="1346" t="s">
        <v>1238</v>
      </c>
      <c r="X9" s="1348" t="s">
        <v>1238</v>
      </c>
      <c r="Y9" s="1348" t="s">
        <v>1238</v>
      </c>
      <c r="Z9" s="1346" t="s">
        <v>1238</v>
      </c>
      <c r="AA9" s="1346" t="s">
        <v>1238</v>
      </c>
      <c r="AB9" s="1346" t="s">
        <v>1238</v>
      </c>
      <c r="AC9" s="1346" t="s">
        <v>1238</v>
      </c>
      <c r="AD9" s="1350" t="s">
        <v>1240</v>
      </c>
      <c r="AE9" s="1350" t="s">
        <v>1239</v>
      </c>
      <c r="AF9" s="1350" t="s">
        <v>1239</v>
      </c>
      <c r="AG9" s="1351" t="s">
        <v>1305</v>
      </c>
      <c r="AH9" s="1350" t="s">
        <v>1239</v>
      </c>
      <c r="AI9" s="1634"/>
    </row>
    <row r="10" spans="1:113" s="957" customFormat="1">
      <c r="A10" s="1650" t="s">
        <v>1241</v>
      </c>
      <c r="B10" s="1651"/>
      <c r="C10" s="1652"/>
      <c r="D10" s="1353">
        <v>635000</v>
      </c>
      <c r="E10" s="1354">
        <v>500000</v>
      </c>
      <c r="F10" s="1237">
        <v>97989</v>
      </c>
      <c r="G10" s="1237">
        <v>813529</v>
      </c>
      <c r="H10" s="1237">
        <v>205501</v>
      </c>
      <c r="I10" s="1237">
        <v>1137397</v>
      </c>
      <c r="J10" s="1237">
        <v>168256</v>
      </c>
      <c r="K10" s="1237">
        <v>1120376</v>
      </c>
      <c r="L10" s="1237">
        <v>1317583</v>
      </c>
      <c r="M10" s="1237">
        <v>350000</v>
      </c>
      <c r="N10" s="1237">
        <v>532000</v>
      </c>
      <c r="O10" s="1355">
        <v>562085</v>
      </c>
      <c r="P10" s="1237">
        <v>392340</v>
      </c>
      <c r="Q10" s="1356">
        <v>562085</v>
      </c>
      <c r="R10" s="1237">
        <v>167000</v>
      </c>
      <c r="S10" s="1237">
        <v>28618</v>
      </c>
      <c r="T10" s="1237">
        <v>354109</v>
      </c>
      <c r="U10" s="1237">
        <v>429161.02</v>
      </c>
      <c r="V10" s="1355">
        <v>185718.07</v>
      </c>
      <c r="W10" s="1306">
        <v>17648</v>
      </c>
      <c r="X10" s="1306">
        <v>359342</v>
      </c>
      <c r="Y10" s="1306">
        <v>239000</v>
      </c>
      <c r="Z10" s="1237">
        <v>1091221</v>
      </c>
      <c r="AA10" s="1237">
        <v>999377</v>
      </c>
      <c r="AB10" s="1237">
        <v>684432</v>
      </c>
      <c r="AC10" s="1237">
        <v>9980477</v>
      </c>
      <c r="AD10" s="1303"/>
      <c r="AE10" s="1303"/>
      <c r="AF10" s="1303"/>
      <c r="AG10" s="1303"/>
      <c r="AH10" s="1303"/>
      <c r="AI10" s="1634"/>
    </row>
    <row r="11" spans="1:113" s="957" customFormat="1">
      <c r="A11" s="1650" t="s">
        <v>1243</v>
      </c>
      <c r="B11" s="1651"/>
      <c r="C11" s="1652"/>
      <c r="D11" s="1353">
        <v>118798</v>
      </c>
      <c r="E11" s="1354">
        <v>0</v>
      </c>
      <c r="F11" s="1237">
        <v>0</v>
      </c>
      <c r="G11" s="1237">
        <v>245323</v>
      </c>
      <c r="H11" s="1237">
        <v>26523</v>
      </c>
      <c r="I11" s="1237">
        <v>6782</v>
      </c>
      <c r="J11" s="1237">
        <v>19345</v>
      </c>
      <c r="K11" s="1237">
        <v>0</v>
      </c>
      <c r="L11" s="1237">
        <v>20872</v>
      </c>
      <c r="M11" s="1237">
        <v>0</v>
      </c>
      <c r="N11" s="1237">
        <v>0</v>
      </c>
      <c r="O11" s="1355">
        <v>0</v>
      </c>
      <c r="P11" s="1237">
        <v>238573</v>
      </c>
      <c r="Q11" s="1356">
        <v>0</v>
      </c>
      <c r="R11" s="1237">
        <v>0</v>
      </c>
      <c r="S11" s="1237">
        <v>0</v>
      </c>
      <c r="T11" s="1237">
        <v>0</v>
      </c>
      <c r="U11" s="1237">
        <v>0</v>
      </c>
      <c r="V11" s="1355">
        <v>20836</v>
      </c>
      <c r="W11" s="1306">
        <v>0</v>
      </c>
      <c r="X11" s="1306">
        <v>0</v>
      </c>
      <c r="Y11" s="1306">
        <v>0</v>
      </c>
      <c r="Z11" s="1237">
        <v>0</v>
      </c>
      <c r="AA11" s="1237">
        <v>0</v>
      </c>
      <c r="AB11" s="1237">
        <v>0</v>
      </c>
      <c r="AC11" s="1237">
        <v>0</v>
      </c>
      <c r="AD11" s="1303"/>
      <c r="AE11" s="1303"/>
      <c r="AF11" s="1303"/>
      <c r="AG11" s="1303"/>
      <c r="AH11" s="1303"/>
      <c r="AI11" s="1634"/>
    </row>
    <row r="12" spans="1:113" s="957" customFormat="1">
      <c r="A12" s="1628" t="s">
        <v>1244</v>
      </c>
      <c r="B12" s="1629"/>
      <c r="C12" s="1653"/>
      <c r="D12" s="1358">
        <v>516202</v>
      </c>
      <c r="E12" s="1359">
        <v>500000</v>
      </c>
      <c r="F12" s="1244">
        <v>97989</v>
      </c>
      <c r="G12" s="1244">
        <v>578206</v>
      </c>
      <c r="H12" s="1244">
        <v>178978</v>
      </c>
      <c r="I12" s="1244">
        <v>1130615</v>
      </c>
      <c r="J12" s="1244">
        <v>148911</v>
      </c>
      <c r="K12" s="1244">
        <v>1120376</v>
      </c>
      <c r="L12" s="1244">
        <v>1296711</v>
      </c>
      <c r="M12" s="1244">
        <v>350000</v>
      </c>
      <c r="N12" s="1244">
        <v>532000</v>
      </c>
      <c r="O12" s="1244">
        <v>562085</v>
      </c>
      <c r="P12" s="1244">
        <v>153767</v>
      </c>
      <c r="Q12" s="1360">
        <v>562085</v>
      </c>
      <c r="R12" s="1244">
        <v>167000</v>
      </c>
      <c r="S12" s="1244">
        <v>28618</v>
      </c>
      <c r="T12" s="1244">
        <v>354000</v>
      </c>
      <c r="U12" s="1244">
        <v>429161</v>
      </c>
      <c r="V12" s="1244">
        <v>206554</v>
      </c>
      <c r="W12" s="1244">
        <v>17648</v>
      </c>
      <c r="X12" s="1244">
        <v>359342</v>
      </c>
      <c r="Y12" s="1244">
        <v>239000</v>
      </c>
      <c r="Z12" s="1244">
        <v>1091221</v>
      </c>
      <c r="AA12" s="1244">
        <v>999377</v>
      </c>
      <c r="AB12" s="1244">
        <v>684432</v>
      </c>
      <c r="AC12" s="1246">
        <v>9980477</v>
      </c>
      <c r="AD12" s="1307"/>
      <c r="AE12" s="1307"/>
      <c r="AF12" s="1307"/>
      <c r="AG12" s="1307"/>
      <c r="AH12" s="1307"/>
      <c r="AI12" s="1635"/>
    </row>
    <row r="13" spans="1:113" s="957" customFormat="1">
      <c r="A13" s="1662" t="s">
        <v>1269</v>
      </c>
      <c r="B13" s="1663"/>
      <c r="C13" s="1664"/>
      <c r="D13" s="1249" t="e">
        <f>+D15+D11+D14</f>
        <v>#REF!</v>
      </c>
      <c r="E13" s="1249" t="e">
        <f t="shared" ref="E13:AC13" si="0">+E15+E11</f>
        <v>#REF!</v>
      </c>
      <c r="F13" s="1249" t="e">
        <f t="shared" si="0"/>
        <v>#REF!</v>
      </c>
      <c r="G13" s="1249" t="e">
        <f t="shared" si="0"/>
        <v>#REF!</v>
      </c>
      <c r="H13" s="1249" t="e">
        <f t="shared" si="0"/>
        <v>#REF!</v>
      </c>
      <c r="I13" s="1249" t="e">
        <f t="shared" si="0"/>
        <v>#REF!</v>
      </c>
      <c r="J13" s="1249" t="e">
        <f t="shared" si="0"/>
        <v>#REF!</v>
      </c>
      <c r="K13" s="1249" t="e">
        <f t="shared" si="0"/>
        <v>#REF!</v>
      </c>
      <c r="L13" s="1249" t="e">
        <f t="shared" si="0"/>
        <v>#REF!</v>
      </c>
      <c r="M13" s="1249" t="e">
        <f t="shared" si="0"/>
        <v>#REF!</v>
      </c>
      <c r="N13" s="1249" t="e">
        <f t="shared" si="0"/>
        <v>#REF!</v>
      </c>
      <c r="O13" s="1249" t="e">
        <f t="shared" si="0"/>
        <v>#REF!</v>
      </c>
      <c r="P13" s="1249" t="e">
        <f t="shared" si="0"/>
        <v>#REF!</v>
      </c>
      <c r="Q13" s="1249" t="e">
        <f t="shared" si="0"/>
        <v>#REF!</v>
      </c>
      <c r="R13" s="1249" t="e">
        <f t="shared" si="0"/>
        <v>#REF!</v>
      </c>
      <c r="S13" s="1249" t="e">
        <f t="shared" si="0"/>
        <v>#REF!</v>
      </c>
      <c r="T13" s="1249" t="e">
        <f t="shared" si="0"/>
        <v>#REF!</v>
      </c>
      <c r="U13" s="1249" t="e">
        <f t="shared" si="0"/>
        <v>#REF!</v>
      </c>
      <c r="V13" s="1249" t="e">
        <f t="shared" si="0"/>
        <v>#REF!</v>
      </c>
      <c r="W13" s="1249" t="e">
        <f t="shared" si="0"/>
        <v>#REF!</v>
      </c>
      <c r="X13" s="1249" t="e">
        <f t="shared" si="0"/>
        <v>#REF!</v>
      </c>
      <c r="Y13" s="1249" t="e">
        <f t="shared" si="0"/>
        <v>#REF!</v>
      </c>
      <c r="Z13" s="1249" t="e">
        <f t="shared" si="0"/>
        <v>#REF!</v>
      </c>
      <c r="AA13" s="1249" t="e">
        <f t="shared" si="0"/>
        <v>#REF!</v>
      </c>
      <c r="AB13" s="1249" t="e">
        <f t="shared" si="0"/>
        <v>#REF!</v>
      </c>
      <c r="AC13" s="1249" t="e">
        <f t="shared" si="0"/>
        <v>#REF!</v>
      </c>
      <c r="AD13" s="1250"/>
      <c r="AE13" s="1250"/>
      <c r="AF13" s="1250"/>
      <c r="AG13" s="1250"/>
      <c r="AH13" s="1250"/>
      <c r="AI13" s="1308"/>
    </row>
    <row r="14" spans="1:113" s="957" customFormat="1">
      <c r="A14" s="1650" t="s">
        <v>1464</v>
      </c>
      <c r="B14" s="1651"/>
      <c r="C14" s="1651"/>
      <c r="D14" s="1399" t="e">
        <f>+HLOOKUP(D1,'Acarreos Tramo 7 Fase I'!$D$1:$AH$14,14,FALSE)</f>
        <v>#REF!</v>
      </c>
      <c r="E14" s="1400" t="e">
        <f>+HLOOKUP(E1,'Acarreos Tramo 7 Fase I'!$D$1:$AH$14,14,FALSE)</f>
        <v>#REF!</v>
      </c>
      <c r="F14" s="1395" t="e">
        <f>+HLOOKUP(F1,'Acarreos Tramo 7 Fase I'!$D$1:$AH$14,14,FALSE)</f>
        <v>#REF!</v>
      </c>
      <c r="G14" s="1395" t="e">
        <f>+HLOOKUP(G1,'Acarreos Tramo 7 Fase I'!$D$1:$AH$14,14,FALSE)</f>
        <v>#REF!</v>
      </c>
      <c r="H14" s="1395" t="e">
        <f>+HLOOKUP(H1,'Acarreos Tramo 7 Fase I'!$D$1:$AH$14,14,FALSE)</f>
        <v>#REF!</v>
      </c>
      <c r="I14" s="1395" t="e">
        <f>+HLOOKUP(I1,'Acarreos Tramo 7 Fase I'!$D$1:$AH$14,14,FALSE)</f>
        <v>#REF!</v>
      </c>
      <c r="J14" s="1395" t="e">
        <f>+HLOOKUP(J1,'Acarreos Tramo 7 Fase I'!$D$1:$AH$14,14,FALSE)</f>
        <v>#REF!</v>
      </c>
      <c r="K14" s="1395" t="e">
        <f>+HLOOKUP(K1,'Acarreos Tramo 7 Fase I'!$D$1:$AH$14,14,FALSE)</f>
        <v>#REF!</v>
      </c>
      <c r="L14" s="1395" t="e">
        <f>+HLOOKUP(L1,'Acarreos Tramo 7 Fase I'!$D$1:$AH$14,14,FALSE)</f>
        <v>#REF!</v>
      </c>
      <c r="M14" s="1395" t="e">
        <f>+HLOOKUP(M1,'Acarreos Tramo 7 Fase I'!$D$1:$AH$14,14,FALSE)</f>
        <v>#REF!</v>
      </c>
      <c r="N14" s="1395" t="e">
        <f>+HLOOKUP(N1,'Acarreos Tramo 7 Fase I'!$D$1:$AH$14,14,FALSE)</f>
        <v>#REF!</v>
      </c>
      <c r="O14" s="1395" t="e">
        <f>+HLOOKUP(O1,'Acarreos Tramo 7 Fase I'!$D$1:$AH$14,14,FALSE)</f>
        <v>#REF!</v>
      </c>
      <c r="P14" s="1395" t="e">
        <f>+HLOOKUP(P1,'Acarreos Tramo 7 Fase I'!$D$1:$AH$14,14,FALSE)</f>
        <v>#REF!</v>
      </c>
      <c r="Q14" s="1401" t="e">
        <f>+HLOOKUP(Q1,'Acarreos Tramo 7 Fase I'!$D$1:$AH$14,14,FALSE)</f>
        <v>#REF!</v>
      </c>
      <c r="R14" s="1395" t="e">
        <f>+HLOOKUP(R1,'Acarreos Tramo 7 Fase I'!$D$1:$AH$14,14,FALSE)</f>
        <v>#REF!</v>
      </c>
      <c r="S14" s="1395" t="e">
        <f>+HLOOKUP(S1,'Acarreos Tramo 7 Fase I'!$D$1:$AH$14,14,FALSE)</f>
        <v>#REF!</v>
      </c>
      <c r="T14" s="1395" t="e">
        <f>+HLOOKUP(T1,'Acarreos Tramo 7 Fase I'!$D$1:$AH$14,14,FALSE)</f>
        <v>#REF!</v>
      </c>
      <c r="U14" s="1395" t="e">
        <f>+HLOOKUP(U1,'Acarreos Tramo 7 Fase I'!$D$1:$AH$14,14,FALSE)</f>
        <v>#REF!</v>
      </c>
      <c r="V14" s="1395" t="e">
        <f>+HLOOKUP(V1,'Acarreos Tramo 7 Fase I'!$D$1:$AH$14,14,FALSE)</f>
        <v>#REF!</v>
      </c>
      <c r="W14" s="1402" t="e">
        <f>+HLOOKUP(W1,'Acarreos Tramo 7 Fase I'!$D$1:$AH$14,14,FALSE)</f>
        <v>#REF!</v>
      </c>
      <c r="X14" s="1402" t="e">
        <f>+HLOOKUP(X1,'Acarreos Tramo 7 Fase I'!$D$1:$AH$14,14,FALSE)</f>
        <v>#REF!</v>
      </c>
      <c r="Y14" s="1402" t="e">
        <f>+HLOOKUP(Y1,'Acarreos Tramo 7 Fase I'!$D$1:$AH$14,14,FALSE)</f>
        <v>#REF!</v>
      </c>
      <c r="Z14" s="1402" t="e">
        <f>+HLOOKUP(Z1,'Acarreos Tramo 7 Fase I'!$D$1:$AH$14,14,FALSE)</f>
        <v>#REF!</v>
      </c>
      <c r="AA14" s="1402" t="e">
        <f>+HLOOKUP(AA1,'Acarreos Tramo 7 Fase I'!$D$1:$AH$14,14,FALSE)</f>
        <v>#REF!</v>
      </c>
      <c r="AB14" s="1402" t="e">
        <f>+HLOOKUP(AB1,'Acarreos Tramo 7 Fase I'!$D$1:$AH$14,14,FALSE)</f>
        <v>#REF!</v>
      </c>
      <c r="AC14" s="1403" t="e">
        <f>+HLOOKUP(AC1,'Acarreos Tramo 7 Fase I'!$D$1:$AH$14,14,FALSE)</f>
        <v>#REF!</v>
      </c>
      <c r="AD14" s="1396"/>
      <c r="AE14" s="1396"/>
      <c r="AF14" s="1396"/>
      <c r="AG14" s="1396"/>
      <c r="AH14" s="1396"/>
      <c r="AI14" s="1397"/>
    </row>
    <row r="15" spans="1:113" s="957" customFormat="1">
      <c r="A15" s="1628" t="s">
        <v>1465</v>
      </c>
      <c r="B15" s="1629"/>
      <c r="C15" s="1629"/>
      <c r="D15" s="1244" t="e">
        <f>SUMIFS(D$24:D$141,$B$24:$B$141,"Terraplen")*#REF!+SUMIFS(D$24:D$141,$B$24:$B$141,"Coronas")*#REF!+SUMIFS(D$24:D$141,$B$24:$B$141,"Subbase/Base")*#REF!+SUMIFS(D$24:D$141,$B$24:$B$141,"Pavimento")*#REF!</f>
        <v>#REF!</v>
      </c>
      <c r="E15" s="1359" t="e">
        <f>SUMIFS(E$24:E$141,$B$24:$B$141,"Terraplen")*#REF!+SUMIFS(E$24:E$141,$B$24:$B$141,"Coronas")*#REF!+SUMIFS(E$24:E$141,$B$24:$B$141,"Subbase/Base")*#REF!+SUMIFS(E$24:E$141,$B$24:$B$141,"Pavimento")*#REF!</f>
        <v>#REF!</v>
      </c>
      <c r="F15" s="1244" t="e">
        <f>SUMIFS(F$24:F$141,$B$24:$B$141,"Terraplen")*#REF!+SUMIFS(F$24:F$141,$B$24:$B$141,"Coronas")*#REF!+SUMIFS(F$24:F$141,$B$24:$B$141,"Subbase/Base")*#REF!+SUMIFS(F$24:F$141,$B$24:$B$141,"Pavimento")*#REF!</f>
        <v>#REF!</v>
      </c>
      <c r="G15" s="1244" t="e">
        <f>SUMIFS(G$24:G$141,$B$24:$B$141,"Terraplen")*#REF!+SUMIFS(G$24:G$141,$B$24:$B$141,"Coronas")*#REF!+SUMIFS(G$24:G$141,$B$24:$B$141,"Subbase/Base")*#REF!+SUMIFS(G$24:G$141,$B$24:$B$141,"Pavimento")*#REF!</f>
        <v>#REF!</v>
      </c>
      <c r="H15" s="1244" t="e">
        <f>SUMIFS(H$24:H$141,$B$24:$B$141,"Terraplen")*#REF!+SUMIFS(H$24:H$141,$B$24:$B$141,"Coronas")*#REF!+SUMIFS(H$24:H$141,$B$24:$B$141,"Subbase/Base")*#REF!+SUMIFS(H$24:H$141,$B$24:$B$141,"Pavimento")*#REF!</f>
        <v>#REF!</v>
      </c>
      <c r="I15" s="1244" t="e">
        <f>SUMIFS(I$24:I$141,$B$24:$B$141,"Terraplen")*#REF!+SUMIFS(I$24:I$141,$B$24:$B$141,"Coronas")*#REF!+SUMIFS(I$24:I$141,$B$24:$B$141,"Subbase/Base")*#REF!+SUMIFS(I$24:I$141,$B$24:$B$141,"Pavimento")*#REF!</f>
        <v>#REF!</v>
      </c>
      <c r="J15" s="1244" t="e">
        <f>SUMIFS(J$24:J$141,$B$24:$B$141,"Terraplen")*#REF!+SUMIFS(J$24:J$141,$B$24:$B$141,"Coronas")*#REF!+SUMIFS(J$24:J$141,$B$24:$B$141,"Subbase/Base")*#REF!+SUMIFS(J$24:J$141,$B$24:$B$141,"Pavimento")*#REF!</f>
        <v>#REF!</v>
      </c>
      <c r="K15" s="1244" t="e">
        <f>SUMIFS(K$24:K$141,$B$24:$B$141,"Terraplen")*#REF!+SUMIFS(K$24:K$141,$B$24:$B$141,"Coronas")*#REF!+SUMIFS(K$24:K$141,$B$24:$B$141,"Subbase/Base")*#REF!+SUMIFS(K$24:K$141,$B$24:$B$141,"Pavimento")*#REF!</f>
        <v>#REF!</v>
      </c>
      <c r="L15" s="1244" t="e">
        <f>SUMIFS(L$24:L$141,$B$24:$B$141,"Terraplen")*#REF!+SUMIFS(L$24:L$141,$B$24:$B$141,"Coronas")*#REF!+SUMIFS(L$24:L$141,$B$24:$B$141,"Subbase/Base")*#REF!+SUMIFS(L$24:L$141,$B$24:$B$141,"Pavimento")*#REF!</f>
        <v>#REF!</v>
      </c>
      <c r="M15" s="1244" t="e">
        <f>SUMIFS(M$24:M$141,$B$24:$B$141,"Terraplen")*#REF!+SUMIFS(M$24:M$141,$B$24:$B$141,"Coronas")*#REF!+SUMIFS(M$24:M$141,$B$24:$B$141,"Subbase/Base")*#REF!+SUMIFS(M$24:M$141,$B$24:$B$141,"Pavimento")*#REF!</f>
        <v>#REF!</v>
      </c>
      <c r="N15" s="1244" t="e">
        <f>SUMIFS(N$24:N$141,$B$24:$B$141,"Terraplen")*#REF!+SUMIFS(N$24:N$141,$B$24:$B$141,"Coronas")*#REF!+SUMIFS(N$24:N$141,$B$24:$B$141,"Subbase/Base")*#REF!+SUMIFS(N$24:N$141,$B$24:$B$141,"Pavimento")*#REF!</f>
        <v>#REF!</v>
      </c>
      <c r="O15" s="1244" t="e">
        <f>SUMIFS(O$24:O$141,$B$24:$B$141,"Terraplen")*#REF!+SUMIFS(O$24:O$141,$B$24:$B$141,"Coronas")*#REF!+SUMIFS(O$24:O$141,$B$24:$B$141,"Subbase/Base")*#REF!+SUMIFS(O$24:O$141,$B$24:$B$141,"Pavimento")*#REF!</f>
        <v>#REF!</v>
      </c>
      <c r="P15" s="1244" t="e">
        <f>SUMIFS(P$24:P$141,$B$24:$B$141,"Terraplen")*#REF!+SUMIFS(P$24:P$141,$B$24:$B$141,"Coronas")*#REF!+SUMIFS(P$24:P$141,$B$24:$B$141,"Subbase/Base")*#REF!+SUMIFS(P$24:P$141,$B$24:$B$141,"Pavimento")*#REF!</f>
        <v>#REF!</v>
      </c>
      <c r="Q15" s="1360" t="e">
        <f>SUMIFS(Q$24:Q$141,$B$24:$B$141,"Terraplen")*#REF!+SUMIFS(Q$24:Q$141,$B$24:$B$141,"Coronas")*#REF!+SUMIFS(Q$24:Q$141,$B$24:$B$141,"Subbase/Base")*#REF!+SUMIFS(Q$24:Q$141,$B$24:$B$141,"Pavimento")*#REF!</f>
        <v>#REF!</v>
      </c>
      <c r="R15" s="1244" t="e">
        <f>SUMIFS(R$24:R$141,$B$24:$B$141,"Terraplen")*#REF!+SUMIFS(R$24:R$141,$B$24:$B$141,"Coronas")*#REF!+SUMIFS(R$24:R$141,$B$24:$B$141,"Subbase/Base")*#REF!+SUMIFS(R$24:R$141,$B$24:$B$141,"Pavimento")*#REF!</f>
        <v>#REF!</v>
      </c>
      <c r="S15" s="1244" t="e">
        <f>SUMIFS(S$24:S$141,$B$24:$B$141,"Terraplen")*#REF!+SUMIFS(S$24:S$141,$B$24:$B$141,"Coronas")*#REF!+SUMIFS(S$24:S$141,$B$24:$B$141,"Subbase/Base")*#REF!+SUMIFS(S$24:S$141,$B$24:$B$141,"Pavimento")*#REF!</f>
        <v>#REF!</v>
      </c>
      <c r="T15" s="1244" t="e">
        <f>SUMIFS(T$24:T$141,$B$24:$B$141,"Terraplen")*#REF!+SUMIFS(T$24:T$141,$B$24:$B$141,"Coronas")*#REF!+SUMIFS(T$24:T$141,$B$24:$B$141,"Subbase/Base")*#REF!+SUMIFS(T$24:T$141,$B$24:$B$141,"Pavimento")*#REF!</f>
        <v>#REF!</v>
      </c>
      <c r="U15" s="1244" t="e">
        <f>SUMIFS(U$24:U$141,$B$24:$B$141,"Terraplen")*#REF!+SUMIFS(U$24:U$141,$B$24:$B$141,"Coronas")*#REF!+SUMIFS(U$24:U$141,$B$24:$B$141,"Subbase/Base")*#REF!+SUMIFS(U$24:U$141,$B$24:$B$141,"Pavimento")*#REF!</f>
        <v>#REF!</v>
      </c>
      <c r="V15" s="1244" t="e">
        <f>SUMIFS(V$24:V$141,$B$24:$B$141,"Terraplen")*#REF!+SUMIFS(V$24:V$141,$B$24:$B$141,"Coronas")*#REF!+SUMIFS(V$24:V$141,$B$24:$B$141,"Subbase/Base")*#REF!+SUMIFS(V$24:V$141,$B$24:$B$141,"Pavimento")*#REF!</f>
        <v>#REF!</v>
      </c>
      <c r="W15" s="1244" t="e">
        <f>SUMIFS(W$24:W$141,$B$24:$B$141,"Terraplen")*#REF!+SUMIFS(W$24:W$141,$B$24:$B$141,"Coronas")*#REF!+SUMIFS(W$24:W$141,$B$24:$B$141,"Subbase/Base")*#REF!+SUMIFS(W$24:W$141,$B$24:$B$141,"Pavimento")*#REF!</f>
        <v>#REF!</v>
      </c>
      <c r="X15" s="1244" t="e">
        <f>SUMIFS(X$24:X$141,$B$24:$B$141,"Terraplen")*#REF!+SUMIFS(X$24:X$141,$B$24:$B$141,"Coronas")*#REF!+SUMIFS(X$24:X$141,$B$24:$B$141,"Subbase/Base")*#REF!+SUMIFS(X$24:X$141,$B$24:$B$141,"Pavimento")*#REF!</f>
        <v>#REF!</v>
      </c>
      <c r="Y15" s="1244" t="e">
        <f>SUMIFS(Y$24:Y$141,$B$24:$B$141,"Terraplen")*#REF!+SUMIFS(Y$24:Y$141,$B$24:$B$141,"Coronas")*#REF!+SUMIFS(Y$24:Y$141,$B$24:$B$141,"Subbase/Base")*#REF!+SUMIFS(Y$24:Y$141,$B$24:$B$141,"Pavimento")*#REF!</f>
        <v>#REF!</v>
      </c>
      <c r="Z15" s="1244" t="e">
        <f>SUMIFS(Z$24:Z$141,$B$24:$B$141,"Terraplen")*#REF!+SUMIFS(Z$24:Z$141,$B$24:$B$141,"Coronas")*#REF!+SUMIFS(Z$24:Z$141,$B$24:$B$141,"Subbase/Base")*#REF!+SUMIFS(Z$24:Z$141,$B$24:$B$141,"Pavimento")*#REF!</f>
        <v>#REF!</v>
      </c>
      <c r="AA15" s="1244" t="e">
        <f>SUMIFS(AA$24:AA$141,$B$24:$B$141,"Terraplen")*#REF!+SUMIFS(AA$24:AA$141,$B$24:$B$141,"Coronas")*#REF!+SUMIFS(AA$24:AA$141,$B$24:$B$141,"Subbase/Base")*#REF!+SUMIFS(AA$24:AA$141,$B$24:$B$141,"Pavimento")*#REF!</f>
        <v>#REF!</v>
      </c>
      <c r="AB15" s="1244" t="e">
        <f>SUMIFS(AB$24:AB$141,$B$24:$B$141,"Terraplen")*#REF!+SUMIFS(AB$24:AB$141,$B$24:$B$141,"Coronas")*#REF!+SUMIFS(AB$24:AB$141,$B$24:$B$141,"Subbase/Base")*#REF!+SUMIFS(AB$24:AB$141,$B$24:$B$141,"Pavimento")*#REF!</f>
        <v>#REF!</v>
      </c>
      <c r="AC15" s="1246" t="e">
        <f>SUMIFS(AC$24:AC$141,$B$24:$B$141,"Terraplen")*#REF!+SUMIFS(AC$24:AC$141,$B$24:$B$141,"Coronas")*#REF!+SUMIFS(AC$24:AC$141,$B$24:$B$141,"Subbase/Base")*#REF!+SUMIFS(AC$24:AC$141,$B$24:$B$141,"Pavimento")*#REF!</f>
        <v>#REF!</v>
      </c>
      <c r="AD15" s="1247"/>
      <c r="AE15" s="1247"/>
      <c r="AF15" s="1247"/>
      <c r="AG15" s="1247"/>
      <c r="AH15" s="1247"/>
      <c r="AI15" s="1309"/>
    </row>
    <row r="16" spans="1:113">
      <c r="A16" s="1253" t="s">
        <v>1247</v>
      </c>
      <c r="B16" s="1310"/>
      <c r="C16" s="1255" t="s">
        <v>1306</v>
      </c>
      <c r="D16" s="1366"/>
      <c r="E16" s="1367"/>
      <c r="F16" s="1257"/>
      <c r="G16" s="1257"/>
      <c r="H16" s="1257"/>
      <c r="I16" s="1257"/>
      <c r="J16" s="1368"/>
      <c r="K16" s="1257"/>
      <c r="L16" s="1257"/>
      <c r="M16" s="1257"/>
      <c r="N16" s="1257"/>
      <c r="O16" s="1257"/>
      <c r="P16" s="1257"/>
      <c r="Q16" s="1368"/>
      <c r="R16" s="1257"/>
      <c r="S16" s="1257"/>
      <c r="T16" s="1257"/>
      <c r="U16" s="1257"/>
      <c r="V16" s="1257"/>
      <c r="W16" s="1257"/>
      <c r="X16" s="1257"/>
      <c r="Y16" s="1257"/>
      <c r="Z16" s="1257"/>
      <c r="AA16" s="1257"/>
      <c r="AB16" s="1257"/>
      <c r="AC16" s="1257"/>
      <c r="AD16" s="1312"/>
      <c r="AE16" s="1312"/>
      <c r="AF16" s="1312"/>
      <c r="AG16" s="1312"/>
      <c r="AH16" s="1312"/>
      <c r="AI16" s="1313"/>
      <c r="AJ16" s="1260"/>
      <c r="AK16" s="1260"/>
      <c r="AL16" s="1260"/>
      <c r="AM16" s="1260"/>
      <c r="AN16" s="1260"/>
      <c r="AO16" s="1260"/>
      <c r="AP16" s="1260"/>
      <c r="AQ16" s="1260"/>
      <c r="AR16" s="1260"/>
      <c r="AS16" s="1260"/>
      <c r="AT16" s="1260"/>
      <c r="AU16" s="1260"/>
      <c r="AV16" s="1260"/>
      <c r="AW16" s="1260"/>
      <c r="AX16" s="1260"/>
      <c r="AY16" s="1260"/>
      <c r="AZ16" s="1260"/>
      <c r="BA16" s="1260"/>
      <c r="BB16" s="1260"/>
      <c r="BC16" s="1260"/>
      <c r="BD16" s="1260"/>
      <c r="BE16" s="1260"/>
      <c r="BF16" s="1260"/>
      <c r="BG16" s="1260"/>
      <c r="BH16" s="1260"/>
      <c r="BI16" s="1260"/>
      <c r="BJ16" s="1260"/>
      <c r="BK16" s="1260"/>
      <c r="BL16" s="1260"/>
      <c r="BM16" s="1260"/>
      <c r="BN16" s="1260"/>
      <c r="BO16" s="1260"/>
      <c r="BP16" s="1260"/>
      <c r="BQ16" s="1260"/>
      <c r="BR16" s="1260"/>
      <c r="BS16" s="1260"/>
      <c r="BT16" s="1260"/>
      <c r="BU16" s="1260"/>
      <c r="BV16" s="1260"/>
      <c r="BW16" s="1260"/>
      <c r="BX16" s="1260"/>
      <c r="BY16" s="1260"/>
      <c r="BZ16" s="1260"/>
      <c r="CA16" s="1260"/>
      <c r="CB16" s="1260"/>
      <c r="CC16" s="1260"/>
      <c r="CD16" s="1260"/>
      <c r="CE16" s="1260"/>
      <c r="CF16" s="1260"/>
      <c r="CG16" s="1260"/>
      <c r="CH16" s="1260"/>
      <c r="CI16" s="1260"/>
      <c r="CJ16" s="1260"/>
      <c r="CK16" s="1260"/>
      <c r="CL16" s="1260"/>
      <c r="CM16" s="1260"/>
      <c r="CN16" s="1260"/>
      <c r="CO16" s="1260"/>
      <c r="CP16" s="1260"/>
      <c r="CQ16" s="1260"/>
      <c r="CR16" s="1260"/>
      <c r="CS16" s="1260"/>
      <c r="CT16" s="1260"/>
      <c r="CU16" s="1260"/>
      <c r="CV16" s="1260"/>
      <c r="CW16" s="1260"/>
      <c r="CX16" s="1260"/>
      <c r="CY16" s="1260"/>
      <c r="CZ16" s="1260"/>
      <c r="DA16" s="1260"/>
      <c r="DB16" s="1260"/>
      <c r="DC16" s="1260"/>
      <c r="DD16" s="1260"/>
      <c r="DE16" s="1260"/>
      <c r="DF16" s="1260"/>
      <c r="DG16" s="1260"/>
      <c r="DH16" s="1260"/>
      <c r="DI16" s="1260"/>
    </row>
    <row r="17" spans="1:113">
      <c r="A17" s="1261" t="s">
        <v>1227</v>
      </c>
      <c r="B17" s="1262"/>
      <c r="C17" s="1263">
        <v>4515</v>
      </c>
      <c r="D17" s="1369"/>
      <c r="E17" s="1370"/>
      <c r="F17" s="1265"/>
      <c r="G17" s="1265"/>
      <c r="H17" s="1265"/>
      <c r="I17" s="1265"/>
      <c r="J17" s="1371"/>
      <c r="K17" s="1265"/>
      <c r="L17" s="1265"/>
      <c r="M17" s="1265"/>
      <c r="N17" s="1265"/>
      <c r="O17" s="1265"/>
      <c r="P17" s="1265"/>
      <c r="Q17" s="1371"/>
      <c r="R17" s="1265"/>
      <c r="S17" s="1265"/>
      <c r="T17" s="1265"/>
      <c r="U17" s="1265"/>
      <c r="V17" s="1265"/>
      <c r="W17" s="1265"/>
      <c r="X17" s="1265"/>
      <c r="Y17" s="1265"/>
      <c r="Z17" s="1265"/>
      <c r="AA17" s="1265"/>
      <c r="AB17" s="1265"/>
      <c r="AC17" s="1265"/>
      <c r="AD17" s="1314"/>
      <c r="AE17" s="1314"/>
      <c r="AF17" s="1314"/>
      <c r="AG17" s="1314"/>
      <c r="AH17" s="1314"/>
      <c r="AI17" s="1313"/>
      <c r="AJ17" s="1260"/>
      <c r="AK17" s="1260"/>
      <c r="AL17" s="1260"/>
      <c r="AM17" s="1260"/>
      <c r="AN17" s="1260"/>
      <c r="AO17" s="1260"/>
      <c r="AP17" s="1260"/>
      <c r="AQ17" s="1260"/>
      <c r="AR17" s="1260"/>
      <c r="AS17" s="1260"/>
      <c r="AT17" s="1260"/>
      <c r="AU17" s="1260"/>
      <c r="AV17" s="1260"/>
      <c r="AW17" s="1260"/>
      <c r="AX17" s="1260"/>
      <c r="AY17" s="1260"/>
      <c r="AZ17" s="1260"/>
      <c r="BA17" s="1260"/>
      <c r="BB17" s="1260"/>
      <c r="BC17" s="1260"/>
      <c r="BD17" s="1260"/>
      <c r="BE17" s="1260"/>
      <c r="BF17" s="1260"/>
      <c r="BG17" s="1260"/>
      <c r="BH17" s="1260"/>
      <c r="BI17" s="1260"/>
      <c r="BJ17" s="1260"/>
      <c r="BK17" s="1260"/>
      <c r="BL17" s="1260"/>
      <c r="BM17" s="1260"/>
      <c r="BN17" s="1260"/>
      <c r="BO17" s="1260"/>
      <c r="BP17" s="1260"/>
      <c r="BQ17" s="1260"/>
      <c r="BR17" s="1260"/>
      <c r="BS17" s="1260"/>
      <c r="BT17" s="1260"/>
      <c r="BU17" s="1260"/>
      <c r="BV17" s="1260"/>
      <c r="BW17" s="1260"/>
      <c r="BX17" s="1260"/>
      <c r="BY17" s="1260"/>
      <c r="BZ17" s="1260"/>
      <c r="CA17" s="1260"/>
      <c r="CB17" s="1260"/>
      <c r="CC17" s="1260"/>
      <c r="CD17" s="1260"/>
      <c r="CE17" s="1260"/>
      <c r="CF17" s="1260"/>
      <c r="CG17" s="1260"/>
      <c r="CH17" s="1260"/>
      <c r="CI17" s="1260"/>
      <c r="CJ17" s="1260"/>
      <c r="CK17" s="1260"/>
      <c r="CL17" s="1260"/>
      <c r="CM17" s="1260"/>
      <c r="CN17" s="1260"/>
      <c r="CO17" s="1260"/>
      <c r="CP17" s="1260"/>
      <c r="CQ17" s="1260"/>
      <c r="CR17" s="1260"/>
      <c r="CS17" s="1260"/>
      <c r="CT17" s="1260"/>
      <c r="CU17" s="1260"/>
      <c r="CV17" s="1260"/>
      <c r="CW17" s="1260"/>
      <c r="CX17" s="1260"/>
      <c r="CY17" s="1260"/>
      <c r="CZ17" s="1260"/>
      <c r="DA17" s="1260"/>
      <c r="DB17" s="1260"/>
      <c r="DC17" s="1260"/>
      <c r="DD17" s="1260"/>
      <c r="DE17" s="1260"/>
      <c r="DF17" s="1260"/>
      <c r="DG17" s="1260"/>
      <c r="DH17" s="1260"/>
      <c r="DI17" s="1260"/>
    </row>
    <row r="18" spans="1:113" ht="15" customHeight="1">
      <c r="A18" s="1622" t="s">
        <v>1249</v>
      </c>
      <c r="B18" s="1267" t="s">
        <v>1250</v>
      </c>
      <c r="C18" s="1268">
        <v>7210</v>
      </c>
      <c r="D18" s="1372"/>
      <c r="E18" s="1373"/>
      <c r="F18" s="1270"/>
      <c r="G18" s="1270"/>
      <c r="H18" s="1270"/>
      <c r="I18" s="1270"/>
      <c r="J18" s="1374"/>
      <c r="K18" s="1270"/>
      <c r="L18" s="1270"/>
      <c r="M18" s="1270"/>
      <c r="N18" s="1270"/>
      <c r="O18" s="1270"/>
      <c r="P18" s="1270"/>
      <c r="Q18" s="1374"/>
      <c r="R18" s="1270"/>
      <c r="S18" s="1270"/>
      <c r="T18" s="1270"/>
      <c r="U18" s="1270"/>
      <c r="V18" s="1270"/>
      <c r="W18" s="1270"/>
      <c r="X18" s="1270"/>
      <c r="Y18" s="1270"/>
      <c r="Z18" s="1270"/>
      <c r="AA18" s="1270"/>
      <c r="AB18" s="1270"/>
      <c r="AC18" s="1270"/>
      <c r="AD18" s="1303"/>
      <c r="AE18" s="1303"/>
      <c r="AF18" s="1303"/>
      <c r="AG18" s="1303"/>
      <c r="AH18" s="1303"/>
      <c r="AI18" s="1313"/>
      <c r="AJ18" s="1260"/>
      <c r="AK18" s="1260"/>
      <c r="AL18" s="1260"/>
      <c r="AM18" s="1260"/>
      <c r="AN18" s="1260"/>
      <c r="AO18" s="1260"/>
      <c r="AP18" s="1260"/>
      <c r="AQ18" s="1260"/>
      <c r="AR18" s="1260"/>
      <c r="AS18" s="1260"/>
      <c r="AT18" s="1260"/>
      <c r="AU18" s="1260"/>
      <c r="AV18" s="1260"/>
      <c r="AW18" s="1260"/>
      <c r="AX18" s="1260"/>
      <c r="AY18" s="1260"/>
      <c r="AZ18" s="1260"/>
      <c r="BA18" s="1260"/>
      <c r="BB18" s="1260"/>
      <c r="BC18" s="1260"/>
      <c r="BD18" s="1260"/>
      <c r="BE18" s="1260"/>
      <c r="BF18" s="1260"/>
      <c r="BG18" s="1260"/>
      <c r="BH18" s="1260"/>
      <c r="BI18" s="1260"/>
      <c r="BJ18" s="1260"/>
      <c r="BK18" s="1260"/>
      <c r="BL18" s="1260"/>
      <c r="BM18" s="1260"/>
      <c r="BN18" s="1260"/>
      <c r="BO18" s="1260"/>
      <c r="BP18" s="1260"/>
      <c r="BQ18" s="1260"/>
      <c r="BR18" s="1260"/>
      <c r="BS18" s="1260"/>
      <c r="BT18" s="1260"/>
      <c r="BU18" s="1260"/>
      <c r="BV18" s="1260"/>
      <c r="BW18" s="1260"/>
      <c r="BX18" s="1260"/>
      <c r="BY18" s="1260"/>
      <c r="BZ18" s="1260"/>
      <c r="CA18" s="1260"/>
      <c r="CB18" s="1260"/>
      <c r="CC18" s="1260"/>
      <c r="CD18" s="1260"/>
      <c r="CE18" s="1260"/>
      <c r="CF18" s="1260"/>
      <c r="CG18" s="1260"/>
      <c r="CH18" s="1260"/>
      <c r="CI18" s="1260"/>
      <c r="CJ18" s="1260"/>
      <c r="CK18" s="1260"/>
      <c r="CL18" s="1260"/>
      <c r="CM18" s="1260"/>
      <c r="CN18" s="1260"/>
      <c r="CO18" s="1260"/>
      <c r="CP18" s="1260"/>
      <c r="CQ18" s="1260"/>
      <c r="CR18" s="1260"/>
      <c r="CS18" s="1260"/>
      <c r="CT18" s="1260"/>
      <c r="CU18" s="1260"/>
      <c r="CV18" s="1260"/>
      <c r="CW18" s="1260"/>
      <c r="CX18" s="1260"/>
      <c r="CY18" s="1260"/>
      <c r="CZ18" s="1260"/>
      <c r="DA18" s="1260"/>
      <c r="DB18" s="1260"/>
      <c r="DC18" s="1260"/>
      <c r="DD18" s="1260"/>
      <c r="DE18" s="1260"/>
      <c r="DF18" s="1260"/>
      <c r="DG18" s="1260"/>
      <c r="DH18" s="1260"/>
      <c r="DI18" s="1260"/>
    </row>
    <row r="19" spans="1:113">
      <c r="A19" s="1622"/>
      <c r="B19" s="1267" t="s">
        <v>1251</v>
      </c>
      <c r="C19" s="1268">
        <v>9400</v>
      </c>
      <c r="D19" s="1372"/>
      <c r="E19" s="1373"/>
      <c r="F19" s="1270"/>
      <c r="G19" s="1270"/>
      <c r="H19" s="1270"/>
      <c r="I19" s="1270"/>
      <c r="J19" s="1374"/>
      <c r="K19" s="1270"/>
      <c r="L19" s="1270"/>
      <c r="M19" s="1270"/>
      <c r="N19" s="1270"/>
      <c r="O19" s="1270"/>
      <c r="P19" s="1270"/>
      <c r="Q19" s="1374"/>
      <c r="R19" s="1270"/>
      <c r="S19" s="1270"/>
      <c r="T19" s="1270"/>
      <c r="U19" s="1270"/>
      <c r="V19" s="1270"/>
      <c r="W19" s="1270"/>
      <c r="X19" s="1270"/>
      <c r="Y19" s="1270"/>
      <c r="Z19" s="1270"/>
      <c r="AA19" s="1270"/>
      <c r="AB19" s="1270"/>
      <c r="AC19" s="1270"/>
      <c r="AD19" s="1315"/>
      <c r="AE19" s="1315"/>
      <c r="AF19" s="1315"/>
      <c r="AG19" s="1315"/>
      <c r="AH19" s="1315"/>
      <c r="AI19" s="1316"/>
    </row>
    <row r="20" spans="1:113">
      <c r="A20" s="1272" t="s">
        <v>1252</v>
      </c>
      <c r="B20" s="1273"/>
      <c r="C20" s="1268">
        <f>+(C19-C18)/2+C18</f>
        <v>8305</v>
      </c>
      <c r="D20" s="1372"/>
      <c r="E20" s="1373"/>
      <c r="F20" s="1270"/>
      <c r="G20" s="1270"/>
      <c r="H20" s="1270"/>
      <c r="I20" s="1270"/>
      <c r="J20" s="1374"/>
      <c r="K20" s="1270"/>
      <c r="L20" s="1270"/>
      <c r="M20" s="1270"/>
      <c r="N20" s="1270"/>
      <c r="O20" s="1270"/>
      <c r="P20" s="1270"/>
      <c r="Q20" s="1374"/>
      <c r="R20" s="1270"/>
      <c r="S20" s="1270"/>
      <c r="T20" s="1270"/>
      <c r="U20" s="1270"/>
      <c r="V20" s="1270"/>
      <c r="W20" s="1270"/>
      <c r="X20" s="1270"/>
      <c r="Y20" s="1270"/>
      <c r="Z20" s="1270"/>
      <c r="AA20" s="1270"/>
      <c r="AB20" s="1270"/>
      <c r="AC20" s="1270"/>
      <c r="AD20" s="1315"/>
      <c r="AE20" s="1315"/>
      <c r="AF20" s="1315"/>
      <c r="AG20" s="1315"/>
      <c r="AH20" s="1315"/>
      <c r="AI20" s="1316"/>
    </row>
    <row r="21" spans="1:113">
      <c r="A21" s="1272" t="s">
        <v>1253</v>
      </c>
      <c r="B21" s="1273"/>
      <c r="C21" s="1274"/>
      <c r="D21" s="1375">
        <f>IF(D23&gt;D22,(D23-D22)+D$2*1000+D$3*1000,(D22-D23)+D$2*1000+D$4*1000)/1000</f>
        <v>23.355</v>
      </c>
      <c r="E21" s="1376">
        <f t="shared" ref="E21:AH21" si="1">IF(E23&gt;E22,(E23-E22)+E$2*1000+E$3*1000,(E22-E23)+E$2*1000+E$4*1000)/1000</f>
        <v>23.805</v>
      </c>
      <c r="F21" s="1276">
        <f t="shared" si="1"/>
        <v>3.105</v>
      </c>
      <c r="G21" s="1276">
        <f t="shared" si="1"/>
        <v>2.625</v>
      </c>
      <c r="H21" s="1276">
        <f t="shared" si="1"/>
        <v>0.59499999999999997</v>
      </c>
      <c r="I21" s="1276">
        <f t="shared" si="1"/>
        <v>1.6950000000000001</v>
      </c>
      <c r="J21" s="1377">
        <f t="shared" si="1"/>
        <v>7.1950000000000003</v>
      </c>
      <c r="K21" s="1276">
        <f t="shared" si="1"/>
        <v>7.6950000000000003</v>
      </c>
      <c r="L21" s="1276">
        <f t="shared" si="1"/>
        <v>14.895</v>
      </c>
      <c r="M21" s="1276">
        <f t="shared" si="1"/>
        <v>21.995000000000001</v>
      </c>
      <c r="N21" s="1276">
        <f t="shared" si="1"/>
        <v>35.094999999999999</v>
      </c>
      <c r="O21" s="1276">
        <f t="shared" si="1"/>
        <v>36.695</v>
      </c>
      <c r="P21" s="1276">
        <f t="shared" si="1"/>
        <v>62.305</v>
      </c>
      <c r="Q21" s="1377">
        <f t="shared" si="1"/>
        <v>58.305</v>
      </c>
      <c r="R21" s="1276">
        <f t="shared" si="1"/>
        <v>70.605000000000004</v>
      </c>
      <c r="S21" s="1276">
        <f t="shared" si="1"/>
        <v>43.494999999999997</v>
      </c>
      <c r="T21" s="1276">
        <f t="shared" si="1"/>
        <v>47.145000000000003</v>
      </c>
      <c r="U21" s="1276">
        <f t="shared" si="1"/>
        <v>45.445</v>
      </c>
      <c r="V21" s="1276">
        <f t="shared" si="1"/>
        <v>47.725000000000001</v>
      </c>
      <c r="W21" s="1276">
        <f t="shared" si="1"/>
        <v>21.695</v>
      </c>
      <c r="X21" s="1276">
        <f t="shared" si="1"/>
        <v>55.395000000000003</v>
      </c>
      <c r="Y21" s="1276">
        <f t="shared" si="1"/>
        <v>64.694999999999993</v>
      </c>
      <c r="Z21" s="1276">
        <f t="shared" si="1"/>
        <v>70.495000000000005</v>
      </c>
      <c r="AA21" s="1276">
        <f t="shared" si="1"/>
        <v>77.045000000000002</v>
      </c>
      <c r="AB21" s="1276">
        <f t="shared" si="1"/>
        <v>81.614999999999995</v>
      </c>
      <c r="AC21" s="1276">
        <f t="shared" si="1"/>
        <v>88.114999999999995</v>
      </c>
      <c r="AD21" s="1277">
        <f t="shared" si="1"/>
        <v>19.355</v>
      </c>
      <c r="AE21" s="1277">
        <f t="shared" si="1"/>
        <v>19.695</v>
      </c>
      <c r="AF21" s="1277">
        <f t="shared" si="1"/>
        <v>29.695</v>
      </c>
      <c r="AG21" s="1277">
        <f t="shared" si="1"/>
        <v>62.695</v>
      </c>
      <c r="AH21" s="1277">
        <f t="shared" si="1"/>
        <v>74.495000000000005</v>
      </c>
      <c r="AI21" s="1316"/>
    </row>
    <row r="22" spans="1:113" hidden="1">
      <c r="A22" s="1278" t="s">
        <v>1254</v>
      </c>
      <c r="B22" s="1279"/>
      <c r="C22" s="1280"/>
      <c r="D22" s="1326">
        <f>+IF($C17=4514,IF(D$6=4514,$C20,$C20),IF(D$6=4515,$C20+101000,101000+$C20))</f>
        <v>109305</v>
      </c>
      <c r="E22" s="1326">
        <f t="shared" ref="E22:AH22" si="2">+IF($C17=4514,IF(E$6=4514,$C20,$C20),IF(E$6=4515,$C20+101000,101000+$C20))</f>
        <v>109305</v>
      </c>
      <c r="F22" s="1200">
        <f t="shared" si="2"/>
        <v>109305</v>
      </c>
      <c r="G22" s="1200">
        <f t="shared" si="2"/>
        <v>109305</v>
      </c>
      <c r="H22" s="1200">
        <f t="shared" si="2"/>
        <v>109305</v>
      </c>
      <c r="I22" s="1200">
        <f t="shared" si="2"/>
        <v>109305</v>
      </c>
      <c r="J22" s="1378">
        <f t="shared" si="2"/>
        <v>109305</v>
      </c>
      <c r="K22" s="1200">
        <f t="shared" si="2"/>
        <v>109305</v>
      </c>
      <c r="L22" s="1200">
        <f t="shared" si="2"/>
        <v>109305</v>
      </c>
      <c r="M22" s="1200">
        <f t="shared" si="2"/>
        <v>109305</v>
      </c>
      <c r="N22" s="1200">
        <f t="shared" si="2"/>
        <v>109305</v>
      </c>
      <c r="O22" s="1200">
        <f t="shared" si="2"/>
        <v>109305</v>
      </c>
      <c r="P22" s="1200">
        <f t="shared" si="2"/>
        <v>109305</v>
      </c>
      <c r="Q22" s="1378">
        <f t="shared" si="2"/>
        <v>109305</v>
      </c>
      <c r="R22" s="1200">
        <f t="shared" si="2"/>
        <v>109305</v>
      </c>
      <c r="S22" s="1200">
        <f t="shared" si="2"/>
        <v>109305</v>
      </c>
      <c r="T22" s="1200">
        <f t="shared" si="2"/>
        <v>109305</v>
      </c>
      <c r="U22" s="1200">
        <f t="shared" si="2"/>
        <v>109305</v>
      </c>
      <c r="V22" s="1200">
        <f t="shared" si="2"/>
        <v>109305</v>
      </c>
      <c r="W22" s="1200">
        <f t="shared" si="2"/>
        <v>109305</v>
      </c>
      <c r="X22" s="1200">
        <f t="shared" si="2"/>
        <v>109305</v>
      </c>
      <c r="Y22" s="1200">
        <f t="shared" si="2"/>
        <v>109305</v>
      </c>
      <c r="Z22" s="1200">
        <f t="shared" si="2"/>
        <v>109305</v>
      </c>
      <c r="AA22" s="1200">
        <f t="shared" si="2"/>
        <v>109305</v>
      </c>
      <c r="AB22" s="1200">
        <f t="shared" si="2"/>
        <v>109305</v>
      </c>
      <c r="AC22" s="1200">
        <f t="shared" si="2"/>
        <v>109305</v>
      </c>
      <c r="AD22" s="1281">
        <f t="shared" si="2"/>
        <v>109305</v>
      </c>
      <c r="AE22" s="1281">
        <f t="shared" si="2"/>
        <v>109305</v>
      </c>
      <c r="AF22" s="1281">
        <f t="shared" si="2"/>
        <v>109305</v>
      </c>
      <c r="AG22" s="1281">
        <f t="shared" si="2"/>
        <v>109305</v>
      </c>
      <c r="AH22" s="1281">
        <f t="shared" si="2"/>
        <v>109305</v>
      </c>
      <c r="AI22" s="1316"/>
    </row>
    <row r="23" spans="1:113" hidden="1">
      <c r="A23" s="1278" t="s">
        <v>1255</v>
      </c>
      <c r="B23" s="1379"/>
      <c r="C23" s="1380"/>
      <c r="D23" s="1381">
        <f>+IF($C17=4514,IF(D$6=4514,D$5,D$5+101000),IF(D$6=4515,D$5+101000,D$5))</f>
        <v>85950</v>
      </c>
      <c r="E23" s="1381">
        <f t="shared" ref="E23:AH23" si="3">+IF($C17=4514,IF(E$6=4514,E$5,E$5+101000),IF(E$6=4515,E$5+101000,E$5))</f>
        <v>85500</v>
      </c>
      <c r="F23" s="1382">
        <f t="shared" si="3"/>
        <v>106200</v>
      </c>
      <c r="G23" s="1382">
        <f t="shared" si="3"/>
        <v>110930</v>
      </c>
      <c r="H23" s="1382">
        <f t="shared" si="3"/>
        <v>109900</v>
      </c>
      <c r="I23" s="1382">
        <f t="shared" si="3"/>
        <v>110000</v>
      </c>
      <c r="J23" s="1383">
        <f t="shared" si="3"/>
        <v>116500</v>
      </c>
      <c r="K23" s="1382">
        <f t="shared" si="3"/>
        <v>117000</v>
      </c>
      <c r="L23" s="1382">
        <f t="shared" si="3"/>
        <v>124200</v>
      </c>
      <c r="M23" s="1382">
        <f t="shared" si="3"/>
        <v>126800</v>
      </c>
      <c r="N23" s="1382">
        <f t="shared" si="3"/>
        <v>144400</v>
      </c>
      <c r="O23" s="1382">
        <f t="shared" si="3"/>
        <v>146000</v>
      </c>
      <c r="P23" s="1382">
        <f t="shared" si="3"/>
        <v>47500</v>
      </c>
      <c r="Q23" s="1383">
        <f t="shared" si="3"/>
        <v>51000</v>
      </c>
      <c r="R23" s="1382">
        <f t="shared" si="3"/>
        <v>40000</v>
      </c>
      <c r="S23" s="1382">
        <f t="shared" si="3"/>
        <v>149800</v>
      </c>
      <c r="T23" s="1382">
        <f t="shared" si="3"/>
        <v>154650</v>
      </c>
      <c r="U23" s="1382">
        <f t="shared" si="3"/>
        <v>153350</v>
      </c>
      <c r="V23" s="1382">
        <f t="shared" si="3"/>
        <v>154730</v>
      </c>
      <c r="W23" s="1382">
        <f t="shared" si="3"/>
        <v>131000</v>
      </c>
      <c r="X23" s="1382">
        <f t="shared" si="3"/>
        <v>164700</v>
      </c>
      <c r="Y23" s="1382">
        <f t="shared" si="3"/>
        <v>173000</v>
      </c>
      <c r="Z23" s="1382">
        <f t="shared" si="3"/>
        <v>176000</v>
      </c>
      <c r="AA23" s="1382">
        <f t="shared" si="3"/>
        <v>185150</v>
      </c>
      <c r="AB23" s="1382">
        <f t="shared" si="3"/>
        <v>190920</v>
      </c>
      <c r="AC23" s="1382">
        <f t="shared" si="3"/>
        <v>190920</v>
      </c>
      <c r="AD23" s="1384">
        <f t="shared" si="3"/>
        <v>89950</v>
      </c>
      <c r="AE23" s="1384">
        <f t="shared" si="3"/>
        <v>129000</v>
      </c>
      <c r="AF23" s="1384">
        <f t="shared" si="3"/>
        <v>139000</v>
      </c>
      <c r="AG23" s="1384">
        <f t="shared" si="3"/>
        <v>172000</v>
      </c>
      <c r="AH23" s="1384">
        <f t="shared" si="3"/>
        <v>177800</v>
      </c>
      <c r="AI23" s="1385"/>
    </row>
    <row r="24" spans="1:113" ht="15" customHeight="1">
      <c r="A24" s="1625" t="s">
        <v>1266</v>
      </c>
      <c r="B24" s="1267" t="s">
        <v>1257</v>
      </c>
      <c r="C24" s="1282">
        <f>+'CANTIDADES Fase II todo'!BL25+'CANTIDADES Fase II todo'!BL28</f>
        <v>45986.51</v>
      </c>
      <c r="D24" s="1236"/>
      <c r="E24" s="1354"/>
      <c r="F24" s="1237"/>
      <c r="G24" s="1237" t="e">
        <f>$C24*#REF!*#REF!</f>
        <v>#REF!</v>
      </c>
      <c r="H24" s="1237"/>
      <c r="I24" s="1237"/>
      <c r="J24" s="1386"/>
      <c r="K24" s="1237"/>
      <c r="L24" s="1237"/>
      <c r="M24" s="1237"/>
      <c r="N24" s="1237"/>
      <c r="O24" s="1237"/>
      <c r="P24" s="1237"/>
      <c r="Q24" s="1386"/>
      <c r="R24" s="1237"/>
      <c r="S24" s="1237"/>
      <c r="T24" s="1237"/>
      <c r="U24" s="1237"/>
      <c r="V24" s="1237"/>
      <c r="W24" s="1237"/>
      <c r="X24" s="1237"/>
      <c r="Y24" s="1237"/>
      <c r="Z24" s="1237"/>
      <c r="AA24" s="1237"/>
      <c r="AB24" s="1237"/>
      <c r="AC24" s="1237"/>
      <c r="AD24" s="1283"/>
      <c r="AE24" s="1283"/>
      <c r="AF24" s="1283"/>
      <c r="AG24" s="1283"/>
      <c r="AH24" s="1283"/>
      <c r="AI24" s="1317" t="e">
        <f>+SUMPRODUCT(D24:AH24,D21:AH21)</f>
        <v>#REF!</v>
      </c>
      <c r="AJ24" s="1387" t="e">
        <f>$C24*#REF!*#REF!</f>
        <v>#REF!</v>
      </c>
    </row>
    <row r="25" spans="1:113">
      <c r="A25" s="1626"/>
      <c r="B25" s="1267" t="s">
        <v>1258</v>
      </c>
      <c r="C25" s="1282">
        <f>+'CANTIDADES Fase II todo'!BL26</f>
        <v>5829.46</v>
      </c>
      <c r="D25" s="1236"/>
      <c r="E25" s="1354"/>
      <c r="F25" s="1237"/>
      <c r="G25" s="1237" t="e">
        <f>$C25*#REF!*#REF!</f>
        <v>#REF!</v>
      </c>
      <c r="H25" s="1237"/>
      <c r="I25" s="1237"/>
      <c r="J25" s="1386"/>
      <c r="K25" s="1237"/>
      <c r="L25" s="1237"/>
      <c r="M25" s="1237"/>
      <c r="N25" s="1237"/>
      <c r="O25" s="1237"/>
      <c r="P25" s="1237"/>
      <c r="Q25" s="1386"/>
      <c r="R25" s="1237"/>
      <c r="S25" s="1237"/>
      <c r="T25" s="1237"/>
      <c r="U25" s="1237"/>
      <c r="V25" s="1237"/>
      <c r="W25" s="1237"/>
      <c r="X25" s="1237"/>
      <c r="Y25" s="1237"/>
      <c r="Z25" s="1237"/>
      <c r="AA25" s="1237"/>
      <c r="AB25" s="1237"/>
      <c r="AC25" s="1237"/>
      <c r="AD25" s="1283"/>
      <c r="AE25" s="1283"/>
      <c r="AF25" s="1283"/>
      <c r="AG25" s="1283"/>
      <c r="AH25" s="1283"/>
      <c r="AI25" s="1317" t="e">
        <f>+SUMPRODUCT(D25:AH25,D21:AH21)</f>
        <v>#REF!</v>
      </c>
      <c r="AJ25" s="1387" t="e">
        <f>$C25*#REF!*#REF!</f>
        <v>#REF!</v>
      </c>
    </row>
    <row r="26" spans="1:113">
      <c r="A26" s="1626"/>
      <c r="B26" s="1267" t="s">
        <v>1259</v>
      </c>
      <c r="C26" s="1282">
        <f>+'CANTIDADES Fase II todo'!BL72</f>
        <v>162.12</v>
      </c>
      <c r="D26" s="1236"/>
      <c r="E26" s="1354"/>
      <c r="F26" s="1237"/>
      <c r="G26" s="1237"/>
      <c r="H26" s="1237" t="e">
        <f>+$C26*#REF!*#REF!</f>
        <v>#REF!</v>
      </c>
      <c r="I26" s="1237"/>
      <c r="J26" s="1386"/>
      <c r="K26" s="1237"/>
      <c r="L26" s="1237"/>
      <c r="M26" s="1237"/>
      <c r="N26" s="1237"/>
      <c r="O26" s="1237"/>
      <c r="P26" s="1237"/>
      <c r="Q26" s="1386"/>
      <c r="R26" s="1237"/>
      <c r="S26" s="1237"/>
      <c r="T26" s="1237"/>
      <c r="U26" s="1237"/>
      <c r="V26" s="1237"/>
      <c r="W26" s="1237"/>
      <c r="X26" s="1237"/>
      <c r="Y26" s="1237"/>
      <c r="Z26" s="1237"/>
      <c r="AA26" s="1237"/>
      <c r="AB26" s="1237"/>
      <c r="AC26" s="1237"/>
      <c r="AD26" s="1283"/>
      <c r="AE26" s="1283"/>
      <c r="AF26" s="1283"/>
      <c r="AG26" s="1283"/>
      <c r="AH26" s="1283"/>
      <c r="AI26" s="1317" t="e">
        <f>+SUMPRODUCT(D26:AH26,D21:AH21)</f>
        <v>#REF!</v>
      </c>
      <c r="AJ26" s="1236" t="e">
        <f>+$C26*#REF!*#REF!</f>
        <v>#REF!</v>
      </c>
    </row>
    <row r="27" spans="1:113">
      <c r="A27" s="1626"/>
      <c r="B27" s="1267" t="s">
        <v>1260</v>
      </c>
      <c r="C27" s="1282">
        <f>+'CANTIDADES Fase II todo'!BL83+'CANTIDADES Fase II todo'!BL84+'CANTIDADES Fase II todo'!BL85</f>
        <v>5419.75</v>
      </c>
      <c r="D27" s="1236"/>
      <c r="E27" s="1354"/>
      <c r="F27" s="1237"/>
      <c r="G27" s="1237"/>
      <c r="H27" s="1237"/>
      <c r="I27" s="1237"/>
      <c r="J27" s="1386"/>
      <c r="K27" s="1237"/>
      <c r="L27" s="1237"/>
      <c r="M27" s="1237"/>
      <c r="N27" s="1237"/>
      <c r="O27" s="1237"/>
      <c r="P27" s="1237"/>
      <c r="Q27" s="1386"/>
      <c r="R27" s="1237"/>
      <c r="S27" s="1237"/>
      <c r="T27" s="1237"/>
      <c r="U27" s="1237"/>
      <c r="V27" s="1237"/>
      <c r="W27" s="1237"/>
      <c r="X27" s="1237"/>
      <c r="Y27" s="1237"/>
      <c r="Z27" s="1237"/>
      <c r="AA27" s="1237"/>
      <c r="AB27" s="1237"/>
      <c r="AC27" s="1237"/>
      <c r="AD27" s="1283" t="e">
        <f>+$C27*#REF!*#REF!</f>
        <v>#REF!</v>
      </c>
      <c r="AE27" s="1283"/>
      <c r="AF27" s="1283"/>
      <c r="AG27" s="1283"/>
      <c r="AH27" s="1283"/>
      <c r="AI27" s="1317" t="e">
        <f>+SUMPRODUCT(D27:AH27,D21:AH21)</f>
        <v>#REF!</v>
      </c>
      <c r="AJ27" s="1387" t="e">
        <f>+$C27*#REF!*#REF!</f>
        <v>#REF!</v>
      </c>
    </row>
    <row r="28" spans="1:113">
      <c r="A28" s="1626"/>
      <c r="B28" s="1267" t="s">
        <v>1261</v>
      </c>
      <c r="C28" s="1282">
        <f>+'CANTIDADES Fase II todo'!BL92+'CANTIDADES Fase II todo'!BL93</f>
        <v>1898.7599999999998</v>
      </c>
      <c r="D28" s="1236"/>
      <c r="E28" s="1354"/>
      <c r="F28" s="1237"/>
      <c r="G28" s="1237"/>
      <c r="H28" s="1237"/>
      <c r="I28" s="1237"/>
      <c r="J28" s="1386"/>
      <c r="K28" s="1237"/>
      <c r="L28" s="1237"/>
      <c r="M28" s="1237"/>
      <c r="N28" s="1237"/>
      <c r="O28" s="1237"/>
      <c r="P28" s="1237"/>
      <c r="Q28" s="1386"/>
      <c r="R28" s="1237"/>
      <c r="S28" s="1237"/>
      <c r="T28" s="1237"/>
      <c r="U28" s="1237"/>
      <c r="V28" s="1237"/>
      <c r="W28" s="1237"/>
      <c r="X28" s="1237"/>
      <c r="Y28" s="1237"/>
      <c r="Z28" s="1237"/>
      <c r="AA28" s="1237"/>
      <c r="AB28" s="1237"/>
      <c r="AC28" s="1237"/>
      <c r="AD28" s="1283" t="e">
        <f>+$C28*#REF!*#REF!</f>
        <v>#REF!</v>
      </c>
      <c r="AE28" s="1283"/>
      <c r="AF28" s="1283"/>
      <c r="AG28" s="1283"/>
      <c r="AH28" s="1283"/>
      <c r="AI28" s="1317" t="e">
        <f>+SUMPRODUCT(D28:AH28,D21:AH21)</f>
        <v>#REF!</v>
      </c>
      <c r="AJ28" s="1387" t="e">
        <f>+$C28*#REF!*#REF!</f>
        <v>#REF!</v>
      </c>
    </row>
    <row r="29" spans="1:113" s="1186" customFormat="1" ht="30">
      <c r="A29" s="1627"/>
      <c r="B29" s="1285" t="s">
        <v>1262</v>
      </c>
      <c r="C29" s="1286">
        <f>+'CANTIDADES Fase II todo'!BL99</f>
        <v>269.39</v>
      </c>
      <c r="D29" s="1287"/>
      <c r="E29" s="1246"/>
      <c r="F29" s="1246"/>
      <c r="G29" s="1246"/>
      <c r="H29" s="1246"/>
      <c r="I29" s="1246"/>
      <c r="J29" s="1246"/>
      <c r="K29" s="1246"/>
      <c r="L29" s="1246"/>
      <c r="M29" s="1246"/>
      <c r="N29" s="1246"/>
      <c r="O29" s="1246"/>
      <c r="P29" s="1246"/>
      <c r="Q29" s="1246"/>
      <c r="R29" s="1246"/>
      <c r="S29" s="1246"/>
      <c r="T29" s="1246"/>
      <c r="U29" s="1246"/>
      <c r="V29" s="1246"/>
      <c r="W29" s="1246"/>
      <c r="X29" s="1246"/>
      <c r="Y29" s="1246"/>
      <c r="Z29" s="1246"/>
      <c r="AA29" s="1246"/>
      <c r="AB29" s="1246"/>
      <c r="AC29" s="1246"/>
      <c r="AD29" s="1247" t="e">
        <f>+$C29*#REF!</f>
        <v>#REF!</v>
      </c>
      <c r="AE29" s="1247"/>
      <c r="AF29" s="1247"/>
      <c r="AG29" s="1247"/>
      <c r="AH29" s="1247"/>
      <c r="AI29" s="1388" t="e">
        <f>+SUMPRODUCT($D29:AH29,$D21:AH21)</f>
        <v>#REF!</v>
      </c>
      <c r="AJ29" s="1287" t="e">
        <f>+$C29*#REF!</f>
        <v>#REF!</v>
      </c>
    </row>
    <row r="30" spans="1:113">
      <c r="A30" s="1253" t="s">
        <v>1247</v>
      </c>
      <c r="B30" s="1289"/>
      <c r="C30" s="1290" t="s">
        <v>1307</v>
      </c>
      <c r="D30" s="1369"/>
      <c r="E30" s="1370"/>
      <c r="F30" s="1265"/>
      <c r="G30" s="1265"/>
      <c r="H30" s="1265"/>
      <c r="I30" s="1265"/>
      <c r="J30" s="1371"/>
      <c r="K30" s="1265"/>
      <c r="L30" s="1265"/>
      <c r="M30" s="1265"/>
      <c r="N30" s="1265"/>
      <c r="O30" s="1265"/>
      <c r="P30" s="1265"/>
      <c r="Q30" s="1371"/>
      <c r="R30" s="1265"/>
      <c r="S30" s="1265"/>
      <c r="T30" s="1265"/>
      <c r="U30" s="1265"/>
      <c r="V30" s="1265"/>
      <c r="W30" s="1265"/>
      <c r="X30" s="1265"/>
      <c r="Y30" s="1265"/>
      <c r="Z30" s="1265"/>
      <c r="AA30" s="1265"/>
      <c r="AB30" s="1265"/>
      <c r="AC30" s="1265"/>
      <c r="AD30" s="1314"/>
      <c r="AE30" s="1314"/>
      <c r="AF30" s="1314"/>
      <c r="AG30" s="1314"/>
      <c r="AH30" s="1314"/>
      <c r="AI30" s="1389"/>
      <c r="AJ30" s="1260"/>
      <c r="AK30" s="1260"/>
      <c r="AL30" s="1260"/>
      <c r="AM30" s="1260"/>
      <c r="AN30" s="1260"/>
      <c r="AO30" s="1260"/>
      <c r="AP30" s="1260"/>
      <c r="AQ30" s="1260"/>
      <c r="AR30" s="1260"/>
      <c r="AS30" s="1260"/>
      <c r="AT30" s="1260"/>
      <c r="AU30" s="1260"/>
      <c r="AV30" s="1260"/>
      <c r="AW30" s="1260"/>
      <c r="AX30" s="1260"/>
      <c r="AY30" s="1260"/>
      <c r="AZ30" s="1260"/>
      <c r="BA30" s="1260"/>
      <c r="BB30" s="1260"/>
      <c r="BC30" s="1260"/>
      <c r="BD30" s="1260"/>
      <c r="BE30" s="1260"/>
      <c r="BF30" s="1260"/>
      <c r="BG30" s="1260"/>
      <c r="BH30" s="1260"/>
      <c r="BI30" s="1260"/>
      <c r="BJ30" s="1260"/>
      <c r="BK30" s="1260"/>
      <c r="BL30" s="1260"/>
      <c r="BM30" s="1260"/>
      <c r="BN30" s="1260"/>
      <c r="BO30" s="1260"/>
      <c r="BP30" s="1260"/>
      <c r="BQ30" s="1260"/>
      <c r="BR30" s="1260"/>
      <c r="BS30" s="1260"/>
      <c r="BT30" s="1260"/>
      <c r="BU30" s="1260"/>
      <c r="BV30" s="1260"/>
      <c r="BW30" s="1260"/>
      <c r="BX30" s="1260"/>
      <c r="BY30" s="1260"/>
      <c r="BZ30" s="1260"/>
      <c r="CA30" s="1260"/>
      <c r="CB30" s="1260"/>
      <c r="CC30" s="1260"/>
      <c r="CD30" s="1260"/>
      <c r="CE30" s="1260"/>
      <c r="CF30" s="1260"/>
      <c r="CG30" s="1260"/>
      <c r="CH30" s="1260"/>
      <c r="CI30" s="1260"/>
      <c r="CJ30" s="1260"/>
      <c r="CK30" s="1260"/>
      <c r="CL30" s="1260"/>
      <c r="CM30" s="1260"/>
      <c r="CN30" s="1260"/>
      <c r="CO30" s="1260"/>
      <c r="CP30" s="1260"/>
      <c r="CQ30" s="1260"/>
      <c r="CR30" s="1260"/>
      <c r="CS30" s="1260"/>
      <c r="CT30" s="1260"/>
      <c r="CU30" s="1260"/>
      <c r="CV30" s="1260"/>
      <c r="CW30" s="1260"/>
      <c r="CX30" s="1260"/>
      <c r="CY30" s="1260"/>
      <c r="CZ30" s="1260"/>
      <c r="DA30" s="1260"/>
      <c r="DB30" s="1260"/>
      <c r="DC30" s="1260"/>
      <c r="DD30" s="1260"/>
      <c r="DE30" s="1260"/>
      <c r="DF30" s="1260"/>
      <c r="DG30" s="1260"/>
      <c r="DH30" s="1260"/>
      <c r="DI30" s="1260"/>
    </row>
    <row r="31" spans="1:113">
      <c r="A31" s="1261" t="s">
        <v>1227</v>
      </c>
      <c r="B31" s="1262"/>
      <c r="C31" s="1263">
        <v>4515</v>
      </c>
      <c r="D31" s="1369"/>
      <c r="E31" s="1370"/>
      <c r="F31" s="1265"/>
      <c r="G31" s="1265"/>
      <c r="H31" s="1265"/>
      <c r="I31" s="1265"/>
      <c r="J31" s="1371"/>
      <c r="K31" s="1265"/>
      <c r="L31" s="1265"/>
      <c r="M31" s="1265"/>
      <c r="N31" s="1265"/>
      <c r="O31" s="1265"/>
      <c r="P31" s="1265"/>
      <c r="Q31" s="1371"/>
      <c r="R31" s="1265"/>
      <c r="S31" s="1265"/>
      <c r="T31" s="1265"/>
      <c r="U31" s="1265"/>
      <c r="V31" s="1265"/>
      <c r="W31" s="1265"/>
      <c r="X31" s="1265"/>
      <c r="Y31" s="1265"/>
      <c r="Z31" s="1265"/>
      <c r="AA31" s="1265"/>
      <c r="AB31" s="1265"/>
      <c r="AC31" s="1265"/>
      <c r="AD31" s="1314"/>
      <c r="AE31" s="1314"/>
      <c r="AF31" s="1314"/>
      <c r="AG31" s="1314"/>
      <c r="AH31" s="1314"/>
      <c r="AI31" s="1313"/>
      <c r="AJ31" s="1260"/>
      <c r="AK31" s="1260"/>
      <c r="AL31" s="1260"/>
      <c r="AM31" s="1260"/>
      <c r="AN31" s="1260"/>
      <c r="AO31" s="1260"/>
      <c r="AP31" s="1260"/>
      <c r="AQ31" s="1260"/>
      <c r="AR31" s="1260"/>
      <c r="AS31" s="1260"/>
      <c r="AT31" s="1260"/>
      <c r="AU31" s="1260"/>
      <c r="AV31" s="1260"/>
      <c r="AW31" s="1260"/>
      <c r="AX31" s="1260"/>
      <c r="AY31" s="1260"/>
      <c r="AZ31" s="1260"/>
      <c r="BA31" s="1260"/>
      <c r="BB31" s="1260"/>
      <c r="BC31" s="1260"/>
      <c r="BD31" s="1260"/>
      <c r="BE31" s="1260"/>
      <c r="BF31" s="1260"/>
      <c r="BG31" s="1260"/>
      <c r="BH31" s="1260"/>
      <c r="BI31" s="1260"/>
      <c r="BJ31" s="1260"/>
      <c r="BK31" s="1260"/>
      <c r="BL31" s="1260"/>
      <c r="BM31" s="1260"/>
      <c r="BN31" s="1260"/>
      <c r="BO31" s="1260"/>
      <c r="BP31" s="1260"/>
      <c r="BQ31" s="1260"/>
      <c r="BR31" s="1260"/>
      <c r="BS31" s="1260"/>
      <c r="BT31" s="1260"/>
      <c r="BU31" s="1260"/>
      <c r="BV31" s="1260"/>
      <c r="BW31" s="1260"/>
      <c r="BX31" s="1260"/>
      <c r="BY31" s="1260"/>
      <c r="BZ31" s="1260"/>
      <c r="CA31" s="1260"/>
      <c r="CB31" s="1260"/>
      <c r="CC31" s="1260"/>
      <c r="CD31" s="1260"/>
      <c r="CE31" s="1260"/>
      <c r="CF31" s="1260"/>
      <c r="CG31" s="1260"/>
      <c r="CH31" s="1260"/>
      <c r="CI31" s="1260"/>
      <c r="CJ31" s="1260"/>
      <c r="CK31" s="1260"/>
      <c r="CL31" s="1260"/>
      <c r="CM31" s="1260"/>
      <c r="CN31" s="1260"/>
      <c r="CO31" s="1260"/>
      <c r="CP31" s="1260"/>
      <c r="CQ31" s="1260"/>
      <c r="CR31" s="1260"/>
      <c r="CS31" s="1260"/>
      <c r="CT31" s="1260"/>
      <c r="CU31" s="1260"/>
      <c r="CV31" s="1260"/>
      <c r="CW31" s="1260"/>
      <c r="CX31" s="1260"/>
      <c r="CY31" s="1260"/>
      <c r="CZ31" s="1260"/>
      <c r="DA31" s="1260"/>
      <c r="DB31" s="1260"/>
      <c r="DC31" s="1260"/>
      <c r="DD31" s="1260"/>
      <c r="DE31" s="1260"/>
      <c r="DF31" s="1260"/>
      <c r="DG31" s="1260"/>
      <c r="DH31" s="1260"/>
      <c r="DI31" s="1260"/>
    </row>
    <row r="32" spans="1:113" ht="15" customHeight="1">
      <c r="A32" s="1622" t="s">
        <v>1249</v>
      </c>
      <c r="B32" s="1267" t="s">
        <v>1250</v>
      </c>
      <c r="C32" s="1268">
        <v>8000</v>
      </c>
      <c r="D32" s="1372"/>
      <c r="E32" s="1373"/>
      <c r="F32" s="1270"/>
      <c r="G32" s="1270"/>
      <c r="H32" s="1270"/>
      <c r="I32" s="1270"/>
      <c r="J32" s="1374"/>
      <c r="K32" s="1270"/>
      <c r="L32" s="1270"/>
      <c r="M32" s="1270"/>
      <c r="N32" s="1270"/>
      <c r="O32" s="1270"/>
      <c r="P32" s="1270"/>
      <c r="Q32" s="1374"/>
      <c r="R32" s="1270"/>
      <c r="S32" s="1270"/>
      <c r="T32" s="1270"/>
      <c r="U32" s="1270"/>
      <c r="V32" s="1270"/>
      <c r="W32" s="1270"/>
      <c r="X32" s="1270"/>
      <c r="Y32" s="1270"/>
      <c r="Z32" s="1270"/>
      <c r="AA32" s="1270"/>
      <c r="AB32" s="1270"/>
      <c r="AC32" s="1270"/>
      <c r="AD32" s="1303"/>
      <c r="AE32" s="1303"/>
      <c r="AF32" s="1303"/>
      <c r="AG32" s="1303"/>
      <c r="AH32" s="1303"/>
      <c r="AI32" s="1313"/>
      <c r="AJ32" s="1260"/>
      <c r="AK32" s="1260"/>
      <c r="AL32" s="1260"/>
      <c r="AM32" s="1260"/>
      <c r="AN32" s="1260"/>
      <c r="AO32" s="1260"/>
      <c r="AP32" s="1260"/>
      <c r="AQ32" s="1260"/>
      <c r="AR32" s="1260"/>
      <c r="AS32" s="1260"/>
      <c r="AT32" s="1260"/>
      <c r="AU32" s="1260"/>
      <c r="AV32" s="1260"/>
      <c r="AW32" s="1260"/>
      <c r="AX32" s="1260"/>
      <c r="AY32" s="1260"/>
      <c r="AZ32" s="1260"/>
      <c r="BA32" s="1260"/>
      <c r="BB32" s="1260"/>
      <c r="BC32" s="1260"/>
      <c r="BD32" s="1260"/>
      <c r="BE32" s="1260"/>
      <c r="BF32" s="1260"/>
      <c r="BG32" s="1260"/>
      <c r="BH32" s="1260"/>
      <c r="BI32" s="1260"/>
      <c r="BJ32" s="1260"/>
      <c r="BK32" s="1260"/>
      <c r="BL32" s="1260"/>
      <c r="BM32" s="1260"/>
      <c r="BN32" s="1260"/>
      <c r="BO32" s="1260"/>
      <c r="BP32" s="1260"/>
      <c r="BQ32" s="1260"/>
      <c r="BR32" s="1260"/>
      <c r="BS32" s="1260"/>
      <c r="BT32" s="1260"/>
      <c r="BU32" s="1260"/>
      <c r="BV32" s="1260"/>
      <c r="BW32" s="1260"/>
      <c r="BX32" s="1260"/>
      <c r="BY32" s="1260"/>
      <c r="BZ32" s="1260"/>
      <c r="CA32" s="1260"/>
      <c r="CB32" s="1260"/>
      <c r="CC32" s="1260"/>
      <c r="CD32" s="1260"/>
      <c r="CE32" s="1260"/>
      <c r="CF32" s="1260"/>
      <c r="CG32" s="1260"/>
      <c r="CH32" s="1260"/>
      <c r="CI32" s="1260"/>
      <c r="CJ32" s="1260"/>
      <c r="CK32" s="1260"/>
      <c r="CL32" s="1260"/>
      <c r="CM32" s="1260"/>
      <c r="CN32" s="1260"/>
      <c r="CO32" s="1260"/>
      <c r="CP32" s="1260"/>
      <c r="CQ32" s="1260"/>
      <c r="CR32" s="1260"/>
      <c r="CS32" s="1260"/>
      <c r="CT32" s="1260"/>
      <c r="CU32" s="1260"/>
      <c r="CV32" s="1260"/>
      <c r="CW32" s="1260"/>
      <c r="CX32" s="1260"/>
      <c r="CY32" s="1260"/>
      <c r="CZ32" s="1260"/>
      <c r="DA32" s="1260"/>
      <c r="DB32" s="1260"/>
      <c r="DC32" s="1260"/>
      <c r="DD32" s="1260"/>
      <c r="DE32" s="1260"/>
      <c r="DF32" s="1260"/>
      <c r="DG32" s="1260"/>
      <c r="DH32" s="1260"/>
      <c r="DI32" s="1260"/>
    </row>
    <row r="33" spans="1:113">
      <c r="A33" s="1622"/>
      <c r="B33" s="1267" t="s">
        <v>1251</v>
      </c>
      <c r="C33" s="1268">
        <v>9400</v>
      </c>
      <c r="D33" s="1372"/>
      <c r="E33" s="1373"/>
      <c r="F33" s="1270"/>
      <c r="G33" s="1270"/>
      <c r="H33" s="1270"/>
      <c r="I33" s="1270"/>
      <c r="J33" s="1374"/>
      <c r="K33" s="1270"/>
      <c r="L33" s="1270"/>
      <c r="M33" s="1270"/>
      <c r="N33" s="1270"/>
      <c r="O33" s="1270"/>
      <c r="P33" s="1270"/>
      <c r="Q33" s="1374"/>
      <c r="R33" s="1270"/>
      <c r="S33" s="1270"/>
      <c r="T33" s="1270"/>
      <c r="U33" s="1270"/>
      <c r="V33" s="1270"/>
      <c r="W33" s="1270"/>
      <c r="X33" s="1270"/>
      <c r="Y33" s="1270"/>
      <c r="Z33" s="1270"/>
      <c r="AA33" s="1270"/>
      <c r="AB33" s="1270"/>
      <c r="AC33" s="1270"/>
      <c r="AD33" s="1315"/>
      <c r="AE33" s="1315"/>
      <c r="AF33" s="1315"/>
      <c r="AG33" s="1315"/>
      <c r="AH33" s="1315"/>
      <c r="AI33" s="1316"/>
    </row>
    <row r="34" spans="1:113">
      <c r="A34" s="1272" t="s">
        <v>1252</v>
      </c>
      <c r="B34" s="1273"/>
      <c r="C34" s="1268">
        <f>+(C33-C32)/2+C32</f>
        <v>8700</v>
      </c>
      <c r="D34" s="1372"/>
      <c r="E34" s="1373"/>
      <c r="F34" s="1270"/>
      <c r="G34" s="1270"/>
      <c r="H34" s="1270"/>
      <c r="I34" s="1270"/>
      <c r="J34" s="1374"/>
      <c r="K34" s="1270"/>
      <c r="L34" s="1270"/>
      <c r="M34" s="1270"/>
      <c r="N34" s="1270"/>
      <c r="O34" s="1270"/>
      <c r="P34" s="1270"/>
      <c r="Q34" s="1374"/>
      <c r="R34" s="1270"/>
      <c r="S34" s="1270"/>
      <c r="T34" s="1270"/>
      <c r="U34" s="1270"/>
      <c r="V34" s="1270"/>
      <c r="W34" s="1270"/>
      <c r="X34" s="1270"/>
      <c r="Y34" s="1270"/>
      <c r="Z34" s="1270"/>
      <c r="AA34" s="1270"/>
      <c r="AB34" s="1270"/>
      <c r="AC34" s="1270"/>
      <c r="AD34" s="1315"/>
      <c r="AE34" s="1315"/>
      <c r="AF34" s="1315"/>
      <c r="AG34" s="1315"/>
      <c r="AH34" s="1315"/>
      <c r="AI34" s="1316"/>
    </row>
    <row r="35" spans="1:113">
      <c r="A35" s="1272" t="s">
        <v>1253</v>
      </c>
      <c r="B35" s="1273"/>
      <c r="C35" s="1274"/>
      <c r="D35" s="1390">
        <f>IF(D37&gt;D36,(D37-D36)+D$2*1000+D$3*1000,(D36-D37)+D$2*1000+D$4*1000)/1000</f>
        <v>23.75</v>
      </c>
      <c r="E35" s="1376">
        <f t="shared" ref="E35:AH35" si="4">IF(E37&gt;E36,(E37-E36)+E$2*1000+E$3*1000,(E36-E37)+E$2*1000+E$4*1000)/1000</f>
        <v>24.2</v>
      </c>
      <c r="F35" s="1276">
        <f t="shared" si="4"/>
        <v>3.5</v>
      </c>
      <c r="G35" s="1276">
        <f t="shared" si="4"/>
        <v>2.23</v>
      </c>
      <c r="H35" s="1276">
        <f t="shared" si="4"/>
        <v>0.2</v>
      </c>
      <c r="I35" s="1276">
        <f t="shared" si="4"/>
        <v>1.3</v>
      </c>
      <c r="J35" s="1377">
        <f t="shared" si="4"/>
        <v>6.8</v>
      </c>
      <c r="K35" s="1276">
        <f t="shared" si="4"/>
        <v>7.3</v>
      </c>
      <c r="L35" s="1276">
        <f t="shared" si="4"/>
        <v>14.5</v>
      </c>
      <c r="M35" s="1276">
        <f t="shared" si="4"/>
        <v>21.6</v>
      </c>
      <c r="N35" s="1276">
        <f t="shared" si="4"/>
        <v>34.700000000000003</v>
      </c>
      <c r="O35" s="1276">
        <f t="shared" si="4"/>
        <v>36.299999999999997</v>
      </c>
      <c r="P35" s="1276">
        <f t="shared" si="4"/>
        <v>62.7</v>
      </c>
      <c r="Q35" s="1377">
        <f t="shared" si="4"/>
        <v>58.7</v>
      </c>
      <c r="R35" s="1276">
        <f t="shared" si="4"/>
        <v>71</v>
      </c>
      <c r="S35" s="1276">
        <f t="shared" si="4"/>
        <v>43.1</v>
      </c>
      <c r="T35" s="1276">
        <f t="shared" si="4"/>
        <v>46.75</v>
      </c>
      <c r="U35" s="1276">
        <f t="shared" si="4"/>
        <v>45.05</v>
      </c>
      <c r="V35" s="1276">
        <f t="shared" si="4"/>
        <v>47.33</v>
      </c>
      <c r="W35" s="1276">
        <f t="shared" si="4"/>
        <v>21.3</v>
      </c>
      <c r="X35" s="1276">
        <f t="shared" si="4"/>
        <v>55</v>
      </c>
      <c r="Y35" s="1276">
        <f t="shared" si="4"/>
        <v>64.3</v>
      </c>
      <c r="Z35" s="1276">
        <f t="shared" si="4"/>
        <v>70.099999999999994</v>
      </c>
      <c r="AA35" s="1276">
        <f t="shared" si="4"/>
        <v>76.650000000000006</v>
      </c>
      <c r="AB35" s="1276">
        <f t="shared" si="4"/>
        <v>81.22</v>
      </c>
      <c r="AC35" s="1276">
        <f t="shared" si="4"/>
        <v>87.72</v>
      </c>
      <c r="AD35" s="1277">
        <f t="shared" si="4"/>
        <v>19.75</v>
      </c>
      <c r="AE35" s="1277">
        <f t="shared" si="4"/>
        <v>19.3</v>
      </c>
      <c r="AF35" s="1277">
        <f t="shared" si="4"/>
        <v>29.3</v>
      </c>
      <c r="AG35" s="1277">
        <f t="shared" si="4"/>
        <v>62.3</v>
      </c>
      <c r="AH35" s="1277">
        <f t="shared" si="4"/>
        <v>74.099999999999994</v>
      </c>
      <c r="AI35" s="1316"/>
    </row>
    <row r="36" spans="1:113" hidden="1">
      <c r="A36" s="1278" t="s">
        <v>1254</v>
      </c>
      <c r="B36" s="1279"/>
      <c r="C36" s="1280"/>
      <c r="D36" s="1326">
        <f>+IF($C31=4514,IF(D$6=4514,$C34,$C34),IF(D$6=4515,$C34+101000,101000+$C34))</f>
        <v>109700</v>
      </c>
      <c r="E36" s="1326">
        <f t="shared" ref="E36:AH36" si="5">+IF($C31=4514,IF(E$6=4514,$C34,$C34),IF(E$6=4515,$C34+101000,101000+$C34))</f>
        <v>109700</v>
      </c>
      <c r="F36" s="1200">
        <f t="shared" si="5"/>
        <v>109700</v>
      </c>
      <c r="G36" s="1200">
        <f t="shared" si="5"/>
        <v>109700</v>
      </c>
      <c r="H36" s="1200">
        <f t="shared" si="5"/>
        <v>109700</v>
      </c>
      <c r="I36" s="1200">
        <f t="shared" si="5"/>
        <v>109700</v>
      </c>
      <c r="J36" s="1378">
        <f t="shared" si="5"/>
        <v>109700</v>
      </c>
      <c r="K36" s="1200">
        <f t="shared" si="5"/>
        <v>109700</v>
      </c>
      <c r="L36" s="1200">
        <f t="shared" si="5"/>
        <v>109700</v>
      </c>
      <c r="M36" s="1200">
        <f t="shared" si="5"/>
        <v>109700</v>
      </c>
      <c r="N36" s="1200">
        <f t="shared" si="5"/>
        <v>109700</v>
      </c>
      <c r="O36" s="1200">
        <f t="shared" si="5"/>
        <v>109700</v>
      </c>
      <c r="P36" s="1200">
        <f t="shared" si="5"/>
        <v>109700</v>
      </c>
      <c r="Q36" s="1378">
        <f t="shared" si="5"/>
        <v>109700</v>
      </c>
      <c r="R36" s="1200">
        <f t="shared" si="5"/>
        <v>109700</v>
      </c>
      <c r="S36" s="1200">
        <f t="shared" si="5"/>
        <v>109700</v>
      </c>
      <c r="T36" s="1200">
        <f t="shared" si="5"/>
        <v>109700</v>
      </c>
      <c r="U36" s="1200">
        <f t="shared" si="5"/>
        <v>109700</v>
      </c>
      <c r="V36" s="1200">
        <f t="shared" si="5"/>
        <v>109700</v>
      </c>
      <c r="W36" s="1200">
        <f t="shared" si="5"/>
        <v>109700</v>
      </c>
      <c r="X36" s="1200">
        <f t="shared" si="5"/>
        <v>109700</v>
      </c>
      <c r="Y36" s="1200">
        <f t="shared" si="5"/>
        <v>109700</v>
      </c>
      <c r="Z36" s="1200">
        <f t="shared" si="5"/>
        <v>109700</v>
      </c>
      <c r="AA36" s="1200">
        <f t="shared" si="5"/>
        <v>109700</v>
      </c>
      <c r="AB36" s="1200">
        <f t="shared" si="5"/>
        <v>109700</v>
      </c>
      <c r="AC36" s="1200">
        <f t="shared" si="5"/>
        <v>109700</v>
      </c>
      <c r="AD36" s="1281">
        <f t="shared" si="5"/>
        <v>109700</v>
      </c>
      <c r="AE36" s="1281">
        <f t="shared" si="5"/>
        <v>109700</v>
      </c>
      <c r="AF36" s="1281">
        <f t="shared" si="5"/>
        <v>109700</v>
      </c>
      <c r="AG36" s="1281">
        <f t="shared" si="5"/>
        <v>109700</v>
      </c>
      <c r="AH36" s="1281">
        <f t="shared" si="5"/>
        <v>109700</v>
      </c>
      <c r="AI36" s="1316"/>
    </row>
    <row r="37" spans="1:113" hidden="1">
      <c r="A37" s="1278" t="s">
        <v>1255</v>
      </c>
      <c r="B37" s="1279"/>
      <c r="C37" s="1280"/>
      <c r="D37" s="1326">
        <f>+IF($C31=4514,IF(D$6=4514,D$5,D$5+101000),IF(D$6=4515,D$5+101000,D$5))</f>
        <v>85950</v>
      </c>
      <c r="E37" s="1326">
        <f t="shared" ref="E37:AH37" si="6">+IF($C31=4514,IF(E$6=4514,E$5,E$5+101000),IF(E$6=4515,E$5+101000,E$5))</f>
        <v>85500</v>
      </c>
      <c r="F37" s="1200">
        <f t="shared" si="6"/>
        <v>106200</v>
      </c>
      <c r="G37" s="1200">
        <f t="shared" si="6"/>
        <v>110930</v>
      </c>
      <c r="H37" s="1200">
        <f t="shared" si="6"/>
        <v>109900</v>
      </c>
      <c r="I37" s="1200">
        <f t="shared" si="6"/>
        <v>110000</v>
      </c>
      <c r="J37" s="1378">
        <f t="shared" si="6"/>
        <v>116500</v>
      </c>
      <c r="K37" s="1200">
        <f t="shared" si="6"/>
        <v>117000</v>
      </c>
      <c r="L37" s="1200">
        <f t="shared" si="6"/>
        <v>124200</v>
      </c>
      <c r="M37" s="1200">
        <f t="shared" si="6"/>
        <v>126800</v>
      </c>
      <c r="N37" s="1200">
        <f t="shared" si="6"/>
        <v>144400</v>
      </c>
      <c r="O37" s="1200">
        <f t="shared" si="6"/>
        <v>146000</v>
      </c>
      <c r="P37" s="1200">
        <f t="shared" si="6"/>
        <v>47500</v>
      </c>
      <c r="Q37" s="1378">
        <f t="shared" si="6"/>
        <v>51000</v>
      </c>
      <c r="R37" s="1200">
        <f t="shared" si="6"/>
        <v>40000</v>
      </c>
      <c r="S37" s="1200">
        <f t="shared" si="6"/>
        <v>149800</v>
      </c>
      <c r="T37" s="1200">
        <f t="shared" si="6"/>
        <v>154650</v>
      </c>
      <c r="U37" s="1200">
        <f t="shared" si="6"/>
        <v>153350</v>
      </c>
      <c r="V37" s="1200">
        <f t="shared" si="6"/>
        <v>154730</v>
      </c>
      <c r="W37" s="1200">
        <f t="shared" si="6"/>
        <v>131000</v>
      </c>
      <c r="X37" s="1200">
        <f t="shared" si="6"/>
        <v>164700</v>
      </c>
      <c r="Y37" s="1200">
        <f t="shared" si="6"/>
        <v>173000</v>
      </c>
      <c r="Z37" s="1200">
        <f t="shared" si="6"/>
        <v>176000</v>
      </c>
      <c r="AA37" s="1200">
        <f t="shared" si="6"/>
        <v>185150</v>
      </c>
      <c r="AB37" s="1200">
        <f t="shared" si="6"/>
        <v>190920</v>
      </c>
      <c r="AC37" s="1200">
        <f t="shared" si="6"/>
        <v>190920</v>
      </c>
      <c r="AD37" s="1281">
        <f t="shared" si="6"/>
        <v>89950</v>
      </c>
      <c r="AE37" s="1281">
        <f t="shared" si="6"/>
        <v>129000</v>
      </c>
      <c r="AF37" s="1281">
        <f t="shared" si="6"/>
        <v>139000</v>
      </c>
      <c r="AG37" s="1281">
        <f t="shared" si="6"/>
        <v>172000</v>
      </c>
      <c r="AH37" s="1281">
        <f t="shared" si="6"/>
        <v>177800</v>
      </c>
      <c r="AI37" s="1316"/>
    </row>
    <row r="38" spans="1:113" ht="15" customHeight="1">
      <c r="A38" s="1623" t="s">
        <v>1266</v>
      </c>
      <c r="B38" s="1267" t="s">
        <v>1257</v>
      </c>
      <c r="C38" s="1282">
        <f>+'CANTIDADES Fase II todo'!BO25+'CANTIDADES Fase II todo'!BO28</f>
        <v>42553.25</v>
      </c>
      <c r="D38" s="1236"/>
      <c r="E38" s="1354"/>
      <c r="F38" s="1237"/>
      <c r="G38" s="1237" t="e">
        <f>$C38*#REF!*#REF!</f>
        <v>#REF!</v>
      </c>
      <c r="H38" s="1237"/>
      <c r="I38" s="1237"/>
      <c r="J38" s="1386"/>
      <c r="K38" s="1237"/>
      <c r="L38" s="1237"/>
      <c r="M38" s="1237"/>
      <c r="N38" s="1237"/>
      <c r="O38" s="1237"/>
      <c r="P38" s="1237"/>
      <c r="Q38" s="1386"/>
      <c r="R38" s="1237"/>
      <c r="S38" s="1237"/>
      <c r="T38" s="1237"/>
      <c r="U38" s="1237"/>
      <c r="V38" s="1237"/>
      <c r="W38" s="1237"/>
      <c r="X38" s="1237"/>
      <c r="Y38" s="1237"/>
      <c r="Z38" s="1237"/>
      <c r="AA38" s="1237"/>
      <c r="AB38" s="1237"/>
      <c r="AC38" s="1237"/>
      <c r="AD38" s="1283"/>
      <c r="AE38" s="1283"/>
      <c r="AF38" s="1283"/>
      <c r="AG38" s="1283"/>
      <c r="AH38" s="1283"/>
      <c r="AI38" s="1317" t="e">
        <f>+SUMPRODUCT(D38:AH38,D35:AH35)</f>
        <v>#REF!</v>
      </c>
      <c r="AJ38" s="1185" t="e">
        <f>$C38*#REF!*#REF!</f>
        <v>#REF!</v>
      </c>
    </row>
    <row r="39" spans="1:113">
      <c r="A39" s="1623"/>
      <c r="B39" s="1267" t="s">
        <v>1258</v>
      </c>
      <c r="C39" s="1282">
        <f>+'CANTIDADES Fase II todo'!BO26</f>
        <v>5170.2000000000007</v>
      </c>
      <c r="D39" s="1236"/>
      <c r="E39" s="1354"/>
      <c r="F39" s="1237"/>
      <c r="G39" s="1237" t="e">
        <f>$C39*#REF!*#REF!</f>
        <v>#REF!</v>
      </c>
      <c r="H39" s="1237"/>
      <c r="I39" s="1237"/>
      <c r="J39" s="1386"/>
      <c r="K39" s="1237"/>
      <c r="L39" s="1237"/>
      <c r="M39" s="1237"/>
      <c r="N39" s="1237"/>
      <c r="O39" s="1237"/>
      <c r="P39" s="1237"/>
      <c r="Q39" s="1386"/>
      <c r="R39" s="1237"/>
      <c r="S39" s="1237"/>
      <c r="T39" s="1237"/>
      <c r="U39" s="1237"/>
      <c r="V39" s="1237"/>
      <c r="W39" s="1237"/>
      <c r="X39" s="1237"/>
      <c r="Y39" s="1237"/>
      <c r="Z39" s="1237"/>
      <c r="AA39" s="1237"/>
      <c r="AB39" s="1237"/>
      <c r="AC39" s="1237"/>
      <c r="AD39" s="1283"/>
      <c r="AE39" s="1283"/>
      <c r="AF39" s="1283"/>
      <c r="AG39" s="1283"/>
      <c r="AH39" s="1283"/>
      <c r="AI39" s="1317" t="e">
        <f>+SUMPRODUCT(D39:AH39,D35:AH35)</f>
        <v>#REF!</v>
      </c>
      <c r="AJ39" s="1185" t="e">
        <f>$C39*#REF!*#REF!</f>
        <v>#REF!</v>
      </c>
    </row>
    <row r="40" spans="1:113">
      <c r="A40" s="1623"/>
      <c r="B40" s="1267" t="s">
        <v>1259</v>
      </c>
      <c r="C40" s="1282">
        <f>+'CANTIDADES Fase II todo'!BO72</f>
        <v>21.86</v>
      </c>
      <c r="D40" s="1236"/>
      <c r="E40" s="1354"/>
      <c r="F40" s="1237"/>
      <c r="G40" s="1237"/>
      <c r="H40" s="1237" t="e">
        <f>+$C40*#REF!*#REF!</f>
        <v>#REF!</v>
      </c>
      <c r="I40" s="1237"/>
      <c r="J40" s="1386"/>
      <c r="K40" s="1237"/>
      <c r="L40" s="1237"/>
      <c r="M40" s="1237"/>
      <c r="N40" s="1237"/>
      <c r="O40" s="1237"/>
      <c r="P40" s="1237"/>
      <c r="Q40" s="1386"/>
      <c r="R40" s="1237"/>
      <c r="S40" s="1237"/>
      <c r="T40" s="1237"/>
      <c r="U40" s="1237"/>
      <c r="V40" s="1237"/>
      <c r="W40" s="1237"/>
      <c r="X40" s="1237"/>
      <c r="Y40" s="1237"/>
      <c r="Z40" s="1237"/>
      <c r="AA40" s="1237"/>
      <c r="AB40" s="1237"/>
      <c r="AC40" s="1237"/>
      <c r="AD40" s="1283"/>
      <c r="AE40" s="1283"/>
      <c r="AF40" s="1283"/>
      <c r="AG40" s="1283"/>
      <c r="AH40" s="1283"/>
      <c r="AI40" s="1317" t="e">
        <f>+SUMPRODUCT(D40:AH40,D35:AH35)</f>
        <v>#REF!</v>
      </c>
      <c r="AJ40" s="1236" t="e">
        <f>+$C40*#REF!*#REF!</f>
        <v>#REF!</v>
      </c>
    </row>
    <row r="41" spans="1:113">
      <c r="A41" s="1623"/>
      <c r="B41" s="1267" t="s">
        <v>1260</v>
      </c>
      <c r="C41" s="1282">
        <f>+'CANTIDADES Fase II todo'!BO83+'CANTIDADES Fase II todo'!BO84+'CANTIDADES Fase II todo'!BO85</f>
        <v>4963.84</v>
      </c>
      <c r="D41" s="1236"/>
      <c r="E41" s="1354"/>
      <c r="F41" s="1237"/>
      <c r="G41" s="1237"/>
      <c r="H41" s="1237"/>
      <c r="I41" s="1237"/>
      <c r="J41" s="1386"/>
      <c r="K41" s="1237"/>
      <c r="L41" s="1237"/>
      <c r="M41" s="1237"/>
      <c r="N41" s="1237"/>
      <c r="O41" s="1237"/>
      <c r="P41" s="1237"/>
      <c r="Q41" s="1386"/>
      <c r="R41" s="1237"/>
      <c r="S41" s="1237"/>
      <c r="T41" s="1237"/>
      <c r="U41" s="1237"/>
      <c r="V41" s="1237"/>
      <c r="W41" s="1237"/>
      <c r="X41" s="1237"/>
      <c r="Y41" s="1237"/>
      <c r="Z41" s="1237"/>
      <c r="AA41" s="1237"/>
      <c r="AB41" s="1237"/>
      <c r="AC41" s="1237"/>
      <c r="AD41" s="1283" t="e">
        <f>+$C41*#REF!*#REF!</f>
        <v>#REF!</v>
      </c>
      <c r="AE41" s="1283"/>
      <c r="AF41" s="1283"/>
      <c r="AG41" s="1283"/>
      <c r="AH41" s="1283"/>
      <c r="AI41" s="1317" t="e">
        <f>+SUMPRODUCT(D41:AH41,D35:AH35)</f>
        <v>#REF!</v>
      </c>
      <c r="AJ41" s="1185" t="e">
        <f>+$C41*#REF!*#REF!</f>
        <v>#REF!</v>
      </c>
    </row>
    <row r="42" spans="1:113">
      <c r="A42" s="1624"/>
      <c r="B42" s="1292" t="s">
        <v>1261</v>
      </c>
      <c r="C42" s="1293">
        <f>+'CANTIDADES Fase II todo'!BO92+'CANTIDADES Fase II todo'!BO93</f>
        <v>1364.25</v>
      </c>
      <c r="D42" s="1243"/>
      <c r="E42" s="1359"/>
      <c r="F42" s="1244"/>
      <c r="G42" s="1244"/>
      <c r="H42" s="1244"/>
      <c r="I42" s="1244"/>
      <c r="J42" s="1391"/>
      <c r="K42" s="1244"/>
      <c r="L42" s="1244"/>
      <c r="M42" s="1244"/>
      <c r="N42" s="1244"/>
      <c r="O42" s="1244"/>
      <c r="P42" s="1244"/>
      <c r="Q42" s="1391"/>
      <c r="R42" s="1244"/>
      <c r="S42" s="1244"/>
      <c r="T42" s="1244"/>
      <c r="U42" s="1244"/>
      <c r="V42" s="1244"/>
      <c r="W42" s="1244"/>
      <c r="X42" s="1244"/>
      <c r="Y42" s="1244"/>
      <c r="Z42" s="1244"/>
      <c r="AA42" s="1244"/>
      <c r="AB42" s="1244"/>
      <c r="AC42" s="1244"/>
      <c r="AD42" s="1294" t="e">
        <f>+$C42*#REF!*#REF!</f>
        <v>#REF!</v>
      </c>
      <c r="AE42" s="1294"/>
      <c r="AF42" s="1294"/>
      <c r="AG42" s="1294"/>
      <c r="AH42" s="1294"/>
      <c r="AI42" s="1318" t="e">
        <f>+SUMPRODUCT(D42:AH42,D35:AH35)</f>
        <v>#REF!</v>
      </c>
      <c r="AJ42" s="1185" t="e">
        <f>+$C42*#REF!*#REF!</f>
        <v>#REF!</v>
      </c>
    </row>
    <row r="43" spans="1:113">
      <c r="A43" s="1253" t="s">
        <v>1247</v>
      </c>
      <c r="B43" s="1310"/>
      <c r="C43" s="1255" t="s">
        <v>798</v>
      </c>
      <c r="D43" s="1366"/>
      <c r="E43" s="1367"/>
      <c r="F43" s="1257"/>
      <c r="G43" s="1257"/>
      <c r="H43" s="1257"/>
      <c r="I43" s="1257"/>
      <c r="J43" s="1368"/>
      <c r="K43" s="1257"/>
      <c r="L43" s="1257"/>
      <c r="M43" s="1257"/>
      <c r="N43" s="1257"/>
      <c r="O43" s="1257"/>
      <c r="P43" s="1257"/>
      <c r="Q43" s="1368"/>
      <c r="R43" s="1257"/>
      <c r="S43" s="1257"/>
      <c r="T43" s="1257"/>
      <c r="U43" s="1257"/>
      <c r="V43" s="1257"/>
      <c r="W43" s="1257"/>
      <c r="X43" s="1257"/>
      <c r="Y43" s="1257"/>
      <c r="Z43" s="1257"/>
      <c r="AA43" s="1257"/>
      <c r="AB43" s="1257"/>
      <c r="AC43" s="1257"/>
      <c r="AD43" s="1312"/>
      <c r="AE43" s="1312"/>
      <c r="AF43" s="1312"/>
      <c r="AG43" s="1312"/>
      <c r="AH43" s="1312"/>
      <c r="AI43" s="1313"/>
      <c r="AJ43" s="1260"/>
      <c r="AK43" s="1260"/>
      <c r="AL43" s="1260"/>
      <c r="AM43" s="1260"/>
      <c r="AN43" s="1260"/>
      <c r="AO43" s="1260"/>
      <c r="AP43" s="1260"/>
      <c r="AQ43" s="1260"/>
      <c r="AR43" s="1260"/>
      <c r="AS43" s="1260"/>
      <c r="AT43" s="1260"/>
      <c r="AU43" s="1260"/>
      <c r="AV43" s="1260"/>
      <c r="AW43" s="1260"/>
      <c r="AX43" s="1260"/>
      <c r="AY43" s="1260"/>
      <c r="AZ43" s="1260"/>
      <c r="BA43" s="1260"/>
      <c r="BB43" s="1260"/>
      <c r="BC43" s="1260"/>
      <c r="BD43" s="1260"/>
      <c r="BE43" s="1260"/>
      <c r="BF43" s="1260"/>
      <c r="BG43" s="1260"/>
      <c r="BH43" s="1260"/>
      <c r="BI43" s="1260"/>
      <c r="BJ43" s="1260"/>
      <c r="BK43" s="1260"/>
      <c r="BL43" s="1260"/>
      <c r="BM43" s="1260"/>
      <c r="BN43" s="1260"/>
      <c r="BO43" s="1260"/>
      <c r="BP43" s="1260"/>
      <c r="BQ43" s="1260"/>
      <c r="BR43" s="1260"/>
      <c r="BS43" s="1260"/>
      <c r="BT43" s="1260"/>
      <c r="BU43" s="1260"/>
      <c r="BV43" s="1260"/>
      <c r="BW43" s="1260"/>
      <c r="BX43" s="1260"/>
      <c r="BY43" s="1260"/>
      <c r="BZ43" s="1260"/>
      <c r="CA43" s="1260"/>
      <c r="CB43" s="1260"/>
      <c r="CC43" s="1260"/>
      <c r="CD43" s="1260"/>
      <c r="CE43" s="1260"/>
      <c r="CF43" s="1260"/>
      <c r="CG43" s="1260"/>
      <c r="CH43" s="1260"/>
      <c r="CI43" s="1260"/>
      <c r="CJ43" s="1260"/>
      <c r="CK43" s="1260"/>
      <c r="CL43" s="1260"/>
      <c r="CM43" s="1260"/>
      <c r="CN43" s="1260"/>
      <c r="CO43" s="1260"/>
      <c r="CP43" s="1260"/>
      <c r="CQ43" s="1260"/>
      <c r="CR43" s="1260"/>
      <c r="CS43" s="1260"/>
      <c r="CT43" s="1260"/>
      <c r="CU43" s="1260"/>
      <c r="CV43" s="1260"/>
      <c r="CW43" s="1260"/>
      <c r="CX43" s="1260"/>
      <c r="CY43" s="1260"/>
      <c r="CZ43" s="1260"/>
      <c r="DA43" s="1260"/>
      <c r="DB43" s="1260"/>
      <c r="DC43" s="1260"/>
      <c r="DD43" s="1260"/>
      <c r="DE43" s="1260"/>
      <c r="DF43" s="1260"/>
      <c r="DG43" s="1260"/>
      <c r="DH43" s="1260"/>
      <c r="DI43" s="1260"/>
    </row>
    <row r="44" spans="1:113">
      <c r="A44" s="1261" t="s">
        <v>1227</v>
      </c>
      <c r="B44" s="1262"/>
      <c r="C44" s="1263">
        <v>4515</v>
      </c>
      <c r="D44" s="1369"/>
      <c r="E44" s="1370"/>
      <c r="F44" s="1265"/>
      <c r="G44" s="1265"/>
      <c r="H44" s="1265"/>
      <c r="I44" s="1265"/>
      <c r="J44" s="1371"/>
      <c r="K44" s="1265"/>
      <c r="L44" s="1265"/>
      <c r="M44" s="1265"/>
      <c r="N44" s="1265"/>
      <c r="O44" s="1265"/>
      <c r="P44" s="1265"/>
      <c r="Q44" s="1371"/>
      <c r="R44" s="1265"/>
      <c r="S44" s="1265"/>
      <c r="T44" s="1265"/>
      <c r="U44" s="1265"/>
      <c r="V44" s="1265"/>
      <c r="W44" s="1265"/>
      <c r="X44" s="1265"/>
      <c r="Y44" s="1265"/>
      <c r="Z44" s="1265"/>
      <c r="AA44" s="1265"/>
      <c r="AB44" s="1265"/>
      <c r="AC44" s="1265"/>
      <c r="AD44" s="1314"/>
      <c r="AE44" s="1314"/>
      <c r="AF44" s="1314"/>
      <c r="AG44" s="1314"/>
      <c r="AH44" s="1314"/>
      <c r="AI44" s="1313"/>
      <c r="AJ44" s="1260"/>
      <c r="AK44" s="1260"/>
      <c r="AL44" s="1260"/>
      <c r="AM44" s="1260"/>
      <c r="AN44" s="1260"/>
      <c r="AO44" s="1260"/>
      <c r="AP44" s="1260"/>
      <c r="AQ44" s="1260"/>
      <c r="AR44" s="1260"/>
      <c r="AS44" s="1260"/>
      <c r="AT44" s="1260"/>
      <c r="AU44" s="1260"/>
      <c r="AV44" s="1260"/>
      <c r="AW44" s="1260"/>
      <c r="AX44" s="1260"/>
      <c r="AY44" s="1260"/>
      <c r="AZ44" s="1260"/>
      <c r="BA44" s="1260"/>
      <c r="BB44" s="1260"/>
      <c r="BC44" s="1260"/>
      <c r="BD44" s="1260"/>
      <c r="BE44" s="1260"/>
      <c r="BF44" s="1260"/>
      <c r="BG44" s="1260"/>
      <c r="BH44" s="1260"/>
      <c r="BI44" s="1260"/>
      <c r="BJ44" s="1260"/>
      <c r="BK44" s="1260"/>
      <c r="BL44" s="1260"/>
      <c r="BM44" s="1260"/>
      <c r="BN44" s="1260"/>
      <c r="BO44" s="1260"/>
      <c r="BP44" s="1260"/>
      <c r="BQ44" s="1260"/>
      <c r="BR44" s="1260"/>
      <c r="BS44" s="1260"/>
      <c r="BT44" s="1260"/>
      <c r="BU44" s="1260"/>
      <c r="BV44" s="1260"/>
      <c r="BW44" s="1260"/>
      <c r="BX44" s="1260"/>
      <c r="BY44" s="1260"/>
      <c r="BZ44" s="1260"/>
      <c r="CA44" s="1260"/>
      <c r="CB44" s="1260"/>
      <c r="CC44" s="1260"/>
      <c r="CD44" s="1260"/>
      <c r="CE44" s="1260"/>
      <c r="CF44" s="1260"/>
      <c r="CG44" s="1260"/>
      <c r="CH44" s="1260"/>
      <c r="CI44" s="1260"/>
      <c r="CJ44" s="1260"/>
      <c r="CK44" s="1260"/>
      <c r="CL44" s="1260"/>
      <c r="CM44" s="1260"/>
      <c r="CN44" s="1260"/>
      <c r="CO44" s="1260"/>
      <c r="CP44" s="1260"/>
      <c r="CQ44" s="1260"/>
      <c r="CR44" s="1260"/>
      <c r="CS44" s="1260"/>
      <c r="CT44" s="1260"/>
      <c r="CU44" s="1260"/>
      <c r="CV44" s="1260"/>
      <c r="CW44" s="1260"/>
      <c r="CX44" s="1260"/>
      <c r="CY44" s="1260"/>
      <c r="CZ44" s="1260"/>
      <c r="DA44" s="1260"/>
      <c r="DB44" s="1260"/>
      <c r="DC44" s="1260"/>
      <c r="DD44" s="1260"/>
      <c r="DE44" s="1260"/>
      <c r="DF44" s="1260"/>
      <c r="DG44" s="1260"/>
      <c r="DH44" s="1260"/>
      <c r="DI44" s="1260"/>
    </row>
    <row r="45" spans="1:113" ht="15" customHeight="1">
      <c r="A45" s="1622" t="s">
        <v>1249</v>
      </c>
      <c r="B45" s="1267" t="s">
        <v>1250</v>
      </c>
      <c r="C45" s="1268">
        <v>22000</v>
      </c>
      <c r="D45" s="1372"/>
      <c r="E45" s="1373"/>
      <c r="F45" s="1270"/>
      <c r="G45" s="1270"/>
      <c r="H45" s="1270"/>
      <c r="I45" s="1270"/>
      <c r="J45" s="1374"/>
      <c r="K45" s="1270"/>
      <c r="L45" s="1270"/>
      <c r="M45" s="1270"/>
      <c r="N45" s="1270"/>
      <c r="O45" s="1270"/>
      <c r="P45" s="1270"/>
      <c r="Q45" s="1374"/>
      <c r="R45" s="1270"/>
      <c r="S45" s="1270"/>
      <c r="T45" s="1270"/>
      <c r="U45" s="1270"/>
      <c r="V45" s="1270"/>
      <c r="W45" s="1270"/>
      <c r="X45" s="1270"/>
      <c r="Y45" s="1270"/>
      <c r="Z45" s="1270"/>
      <c r="AA45" s="1270"/>
      <c r="AB45" s="1270"/>
      <c r="AC45" s="1270"/>
      <c r="AD45" s="1303"/>
      <c r="AE45" s="1303"/>
      <c r="AF45" s="1303"/>
      <c r="AG45" s="1303"/>
      <c r="AH45" s="1303"/>
      <c r="AI45" s="1313"/>
      <c r="AJ45" s="1260"/>
      <c r="AK45" s="1260"/>
      <c r="AL45" s="1260"/>
      <c r="AM45" s="1260"/>
      <c r="AN45" s="1260"/>
      <c r="AO45" s="1260"/>
      <c r="AP45" s="1260"/>
      <c r="AQ45" s="1260"/>
      <c r="AR45" s="1260"/>
      <c r="AS45" s="1260"/>
      <c r="AT45" s="1260"/>
      <c r="AU45" s="1260"/>
      <c r="AV45" s="1260"/>
      <c r="AW45" s="1260"/>
      <c r="AX45" s="1260"/>
      <c r="AY45" s="1260"/>
      <c r="AZ45" s="1260"/>
      <c r="BA45" s="1260"/>
      <c r="BB45" s="1260"/>
      <c r="BC45" s="1260"/>
      <c r="BD45" s="1260"/>
      <c r="BE45" s="1260"/>
      <c r="BF45" s="1260"/>
      <c r="BG45" s="1260"/>
      <c r="BH45" s="1260"/>
      <c r="BI45" s="1260"/>
      <c r="BJ45" s="1260"/>
      <c r="BK45" s="1260"/>
      <c r="BL45" s="1260"/>
      <c r="BM45" s="1260"/>
      <c r="BN45" s="1260"/>
      <c r="BO45" s="1260"/>
      <c r="BP45" s="1260"/>
      <c r="BQ45" s="1260"/>
      <c r="BR45" s="1260"/>
      <c r="BS45" s="1260"/>
      <c r="BT45" s="1260"/>
      <c r="BU45" s="1260"/>
      <c r="BV45" s="1260"/>
      <c r="BW45" s="1260"/>
      <c r="BX45" s="1260"/>
      <c r="BY45" s="1260"/>
      <c r="BZ45" s="1260"/>
      <c r="CA45" s="1260"/>
      <c r="CB45" s="1260"/>
      <c r="CC45" s="1260"/>
      <c r="CD45" s="1260"/>
      <c r="CE45" s="1260"/>
      <c r="CF45" s="1260"/>
      <c r="CG45" s="1260"/>
      <c r="CH45" s="1260"/>
      <c r="CI45" s="1260"/>
      <c r="CJ45" s="1260"/>
      <c r="CK45" s="1260"/>
      <c r="CL45" s="1260"/>
      <c r="CM45" s="1260"/>
      <c r="CN45" s="1260"/>
      <c r="CO45" s="1260"/>
      <c r="CP45" s="1260"/>
      <c r="CQ45" s="1260"/>
      <c r="CR45" s="1260"/>
      <c r="CS45" s="1260"/>
      <c r="CT45" s="1260"/>
      <c r="CU45" s="1260"/>
      <c r="CV45" s="1260"/>
      <c r="CW45" s="1260"/>
      <c r="CX45" s="1260"/>
      <c r="CY45" s="1260"/>
      <c r="CZ45" s="1260"/>
      <c r="DA45" s="1260"/>
      <c r="DB45" s="1260"/>
      <c r="DC45" s="1260"/>
      <c r="DD45" s="1260"/>
      <c r="DE45" s="1260"/>
      <c r="DF45" s="1260"/>
      <c r="DG45" s="1260"/>
      <c r="DH45" s="1260"/>
      <c r="DI45" s="1260"/>
    </row>
    <row r="46" spans="1:113">
      <c r="A46" s="1622"/>
      <c r="B46" s="1267" t="s">
        <v>1251</v>
      </c>
      <c r="C46" s="1268">
        <v>30780</v>
      </c>
      <c r="D46" s="1372"/>
      <c r="E46" s="1373"/>
      <c r="F46" s="1270"/>
      <c r="G46" s="1270"/>
      <c r="H46" s="1270"/>
      <c r="I46" s="1270"/>
      <c r="J46" s="1374"/>
      <c r="K46" s="1270"/>
      <c r="L46" s="1270"/>
      <c r="M46" s="1270"/>
      <c r="N46" s="1270"/>
      <c r="O46" s="1270"/>
      <c r="P46" s="1270"/>
      <c r="Q46" s="1374"/>
      <c r="R46" s="1270"/>
      <c r="S46" s="1270"/>
      <c r="T46" s="1270"/>
      <c r="U46" s="1270"/>
      <c r="V46" s="1270"/>
      <c r="W46" s="1270"/>
      <c r="X46" s="1270"/>
      <c r="Y46" s="1270"/>
      <c r="Z46" s="1270"/>
      <c r="AA46" s="1270"/>
      <c r="AB46" s="1270"/>
      <c r="AC46" s="1270"/>
      <c r="AD46" s="1315"/>
      <c r="AE46" s="1315"/>
      <c r="AF46" s="1315"/>
      <c r="AG46" s="1315"/>
      <c r="AH46" s="1315"/>
      <c r="AI46" s="1316"/>
    </row>
    <row r="47" spans="1:113">
      <c r="A47" s="1272" t="s">
        <v>1252</v>
      </c>
      <c r="B47" s="1273"/>
      <c r="C47" s="1268">
        <f>+(C46-C45)/2+C45</f>
        <v>26390</v>
      </c>
      <c r="D47" s="1372"/>
      <c r="E47" s="1373"/>
      <c r="F47" s="1270"/>
      <c r="G47" s="1270"/>
      <c r="H47" s="1270"/>
      <c r="I47" s="1270"/>
      <c r="J47" s="1374"/>
      <c r="K47" s="1270"/>
      <c r="L47" s="1270"/>
      <c r="M47" s="1270"/>
      <c r="N47" s="1270"/>
      <c r="O47" s="1270"/>
      <c r="P47" s="1270"/>
      <c r="Q47" s="1374"/>
      <c r="R47" s="1270"/>
      <c r="S47" s="1270"/>
      <c r="T47" s="1270"/>
      <c r="U47" s="1270"/>
      <c r="V47" s="1270"/>
      <c r="W47" s="1270"/>
      <c r="X47" s="1270"/>
      <c r="Y47" s="1270"/>
      <c r="Z47" s="1270"/>
      <c r="AA47" s="1270"/>
      <c r="AB47" s="1270"/>
      <c r="AC47" s="1270"/>
      <c r="AD47" s="1315"/>
      <c r="AE47" s="1315"/>
      <c r="AF47" s="1315"/>
      <c r="AG47" s="1315"/>
      <c r="AH47" s="1315"/>
      <c r="AI47" s="1316"/>
    </row>
    <row r="48" spans="1:113">
      <c r="A48" s="1272" t="s">
        <v>1253</v>
      </c>
      <c r="B48" s="1273"/>
      <c r="C48" s="1274"/>
      <c r="D48" s="1390">
        <f>IF(D50&gt;D49,(D50-D49)+D$2*1000+D$3*1000,(D49-D50)+D$2*1000+D$4*1000)/1000</f>
        <v>41.44</v>
      </c>
      <c r="E48" s="1376">
        <f t="shared" ref="E48:AH48" si="7">IF(E50&gt;E49,(E50-E49)+E$2*1000+E$3*1000,(E49-E50)+E$2*1000+E$4*1000)/1000</f>
        <v>41.89</v>
      </c>
      <c r="F48" s="1276">
        <f t="shared" si="7"/>
        <v>21.19</v>
      </c>
      <c r="G48" s="1276">
        <f t="shared" si="7"/>
        <v>17.46</v>
      </c>
      <c r="H48" s="1276">
        <f t="shared" si="7"/>
        <v>17.489999999999998</v>
      </c>
      <c r="I48" s="1276">
        <f t="shared" si="7"/>
        <v>18.39</v>
      </c>
      <c r="J48" s="1377">
        <f t="shared" si="7"/>
        <v>10.89</v>
      </c>
      <c r="K48" s="1276">
        <f t="shared" si="7"/>
        <v>10.39</v>
      </c>
      <c r="L48" s="1276">
        <f t="shared" si="7"/>
        <v>3.19</v>
      </c>
      <c r="M48" s="1276">
        <f t="shared" si="7"/>
        <v>5.09</v>
      </c>
      <c r="N48" s="1276">
        <f t="shared" si="7"/>
        <v>17.010000000000002</v>
      </c>
      <c r="O48" s="1276">
        <f t="shared" si="7"/>
        <v>18.61</v>
      </c>
      <c r="P48" s="1276">
        <f t="shared" si="7"/>
        <v>80.39</v>
      </c>
      <c r="Q48" s="1377">
        <f t="shared" si="7"/>
        <v>76.39</v>
      </c>
      <c r="R48" s="1276">
        <f t="shared" si="7"/>
        <v>88.69</v>
      </c>
      <c r="S48" s="1276">
        <f t="shared" si="7"/>
        <v>25.41</v>
      </c>
      <c r="T48" s="1276">
        <f t="shared" si="7"/>
        <v>29.06</v>
      </c>
      <c r="U48" s="1276">
        <f t="shared" si="7"/>
        <v>27.36</v>
      </c>
      <c r="V48" s="1276">
        <f t="shared" si="7"/>
        <v>29.64</v>
      </c>
      <c r="W48" s="1276">
        <f t="shared" si="7"/>
        <v>3.61</v>
      </c>
      <c r="X48" s="1276">
        <f t="shared" si="7"/>
        <v>37.31</v>
      </c>
      <c r="Y48" s="1276">
        <f t="shared" si="7"/>
        <v>46.61</v>
      </c>
      <c r="Z48" s="1276">
        <f t="shared" si="7"/>
        <v>52.41</v>
      </c>
      <c r="AA48" s="1276">
        <f t="shared" si="7"/>
        <v>58.96</v>
      </c>
      <c r="AB48" s="1276">
        <f t="shared" si="7"/>
        <v>63.53</v>
      </c>
      <c r="AC48" s="1276">
        <f t="shared" si="7"/>
        <v>70.03</v>
      </c>
      <c r="AD48" s="1277">
        <f t="shared" si="7"/>
        <v>37.44</v>
      </c>
      <c r="AE48" s="1277">
        <f t="shared" si="7"/>
        <v>1.61</v>
      </c>
      <c r="AF48" s="1277">
        <f t="shared" si="7"/>
        <v>11.61</v>
      </c>
      <c r="AG48" s="1277">
        <f t="shared" si="7"/>
        <v>44.61</v>
      </c>
      <c r="AH48" s="1277">
        <f t="shared" si="7"/>
        <v>56.41</v>
      </c>
      <c r="AI48" s="1316"/>
    </row>
    <row r="49" spans="1:113" hidden="1">
      <c r="A49" s="1278" t="s">
        <v>1254</v>
      </c>
      <c r="B49" s="1279"/>
      <c r="C49" s="1280"/>
      <c r="D49" s="1326">
        <f>+IF($C44=4514,IF(D$6=4514,$C47,$C47),IF(D$6=4515,$C47+101000,101000+$C47))</f>
        <v>127390</v>
      </c>
      <c r="E49" s="1326">
        <f t="shared" ref="E49:AH49" si="8">+IF($C44=4514,IF(E$6=4514,$C47,$C47),IF(E$6=4515,$C47+101000,101000+$C47))</f>
        <v>127390</v>
      </c>
      <c r="F49" s="1200">
        <f t="shared" si="8"/>
        <v>127390</v>
      </c>
      <c r="G49" s="1200">
        <f t="shared" si="8"/>
        <v>127390</v>
      </c>
      <c r="H49" s="1200">
        <f t="shared" si="8"/>
        <v>127390</v>
      </c>
      <c r="I49" s="1200">
        <f t="shared" si="8"/>
        <v>127390</v>
      </c>
      <c r="J49" s="1378">
        <f t="shared" si="8"/>
        <v>127390</v>
      </c>
      <c r="K49" s="1200">
        <f t="shared" si="8"/>
        <v>127390</v>
      </c>
      <c r="L49" s="1200">
        <f t="shared" si="8"/>
        <v>127390</v>
      </c>
      <c r="M49" s="1200">
        <f t="shared" si="8"/>
        <v>127390</v>
      </c>
      <c r="N49" s="1200">
        <f t="shared" si="8"/>
        <v>127390</v>
      </c>
      <c r="O49" s="1200">
        <f t="shared" si="8"/>
        <v>127390</v>
      </c>
      <c r="P49" s="1200">
        <f t="shared" si="8"/>
        <v>127390</v>
      </c>
      <c r="Q49" s="1378">
        <f t="shared" si="8"/>
        <v>127390</v>
      </c>
      <c r="R49" s="1200">
        <f t="shared" si="8"/>
        <v>127390</v>
      </c>
      <c r="S49" s="1200">
        <f t="shared" si="8"/>
        <v>127390</v>
      </c>
      <c r="T49" s="1200">
        <f t="shared" si="8"/>
        <v>127390</v>
      </c>
      <c r="U49" s="1200">
        <f t="shared" si="8"/>
        <v>127390</v>
      </c>
      <c r="V49" s="1200">
        <f t="shared" si="8"/>
        <v>127390</v>
      </c>
      <c r="W49" s="1200">
        <f t="shared" si="8"/>
        <v>127390</v>
      </c>
      <c r="X49" s="1200">
        <f t="shared" si="8"/>
        <v>127390</v>
      </c>
      <c r="Y49" s="1200">
        <f t="shared" si="8"/>
        <v>127390</v>
      </c>
      <c r="Z49" s="1200">
        <f t="shared" si="8"/>
        <v>127390</v>
      </c>
      <c r="AA49" s="1200">
        <f t="shared" si="8"/>
        <v>127390</v>
      </c>
      <c r="AB49" s="1200">
        <f t="shared" si="8"/>
        <v>127390</v>
      </c>
      <c r="AC49" s="1200">
        <f t="shared" si="8"/>
        <v>127390</v>
      </c>
      <c r="AD49" s="1281">
        <f t="shared" si="8"/>
        <v>127390</v>
      </c>
      <c r="AE49" s="1281">
        <f t="shared" si="8"/>
        <v>127390</v>
      </c>
      <c r="AF49" s="1281">
        <f t="shared" si="8"/>
        <v>127390</v>
      </c>
      <c r="AG49" s="1281">
        <f t="shared" si="8"/>
        <v>127390</v>
      </c>
      <c r="AH49" s="1281">
        <f t="shared" si="8"/>
        <v>127390</v>
      </c>
      <c r="AI49" s="1316"/>
    </row>
    <row r="50" spans="1:113" hidden="1">
      <c r="A50" s="1278" t="s">
        <v>1255</v>
      </c>
      <c r="B50" s="1279"/>
      <c r="C50" s="1280"/>
      <c r="D50" s="1326">
        <f>+IF($C44=4514,IF(D$6=4514,D$5,D$5+101000),IF(D$6=4515,D$5+101000,D$5))</f>
        <v>85950</v>
      </c>
      <c r="E50" s="1326">
        <f t="shared" ref="E50:AH50" si="9">+IF($C44=4514,IF(E$6=4514,E$5,E$5+101000),IF(E$6=4515,E$5+101000,E$5))</f>
        <v>85500</v>
      </c>
      <c r="F50" s="1200">
        <f t="shared" si="9"/>
        <v>106200</v>
      </c>
      <c r="G50" s="1200">
        <f t="shared" si="9"/>
        <v>110930</v>
      </c>
      <c r="H50" s="1200">
        <f t="shared" si="9"/>
        <v>109900</v>
      </c>
      <c r="I50" s="1200">
        <f t="shared" si="9"/>
        <v>110000</v>
      </c>
      <c r="J50" s="1378">
        <f t="shared" si="9"/>
        <v>116500</v>
      </c>
      <c r="K50" s="1200">
        <f t="shared" si="9"/>
        <v>117000</v>
      </c>
      <c r="L50" s="1200">
        <f t="shared" si="9"/>
        <v>124200</v>
      </c>
      <c r="M50" s="1200">
        <f t="shared" si="9"/>
        <v>126800</v>
      </c>
      <c r="N50" s="1200">
        <f t="shared" si="9"/>
        <v>144400</v>
      </c>
      <c r="O50" s="1200">
        <f t="shared" si="9"/>
        <v>146000</v>
      </c>
      <c r="P50" s="1200">
        <f t="shared" si="9"/>
        <v>47500</v>
      </c>
      <c r="Q50" s="1378">
        <f t="shared" si="9"/>
        <v>51000</v>
      </c>
      <c r="R50" s="1200">
        <f t="shared" si="9"/>
        <v>40000</v>
      </c>
      <c r="S50" s="1200">
        <f t="shared" si="9"/>
        <v>149800</v>
      </c>
      <c r="T50" s="1200">
        <f t="shared" si="9"/>
        <v>154650</v>
      </c>
      <c r="U50" s="1200">
        <f t="shared" si="9"/>
        <v>153350</v>
      </c>
      <c r="V50" s="1200">
        <f t="shared" si="9"/>
        <v>154730</v>
      </c>
      <c r="W50" s="1200">
        <f t="shared" si="9"/>
        <v>131000</v>
      </c>
      <c r="X50" s="1200">
        <f t="shared" si="9"/>
        <v>164700</v>
      </c>
      <c r="Y50" s="1200">
        <f t="shared" si="9"/>
        <v>173000</v>
      </c>
      <c r="Z50" s="1200">
        <f t="shared" si="9"/>
        <v>176000</v>
      </c>
      <c r="AA50" s="1200">
        <f t="shared" si="9"/>
        <v>185150</v>
      </c>
      <c r="AB50" s="1200">
        <f t="shared" si="9"/>
        <v>190920</v>
      </c>
      <c r="AC50" s="1200">
        <f t="shared" si="9"/>
        <v>190920</v>
      </c>
      <c r="AD50" s="1281">
        <f t="shared" si="9"/>
        <v>89950</v>
      </c>
      <c r="AE50" s="1281">
        <f t="shared" si="9"/>
        <v>129000</v>
      </c>
      <c r="AF50" s="1281">
        <f t="shared" si="9"/>
        <v>139000</v>
      </c>
      <c r="AG50" s="1281">
        <f t="shared" si="9"/>
        <v>172000</v>
      </c>
      <c r="AH50" s="1281">
        <f t="shared" si="9"/>
        <v>177800</v>
      </c>
      <c r="AI50" s="1316"/>
    </row>
    <row r="51" spans="1:113" ht="15" customHeight="1">
      <c r="A51" s="1623" t="s">
        <v>1266</v>
      </c>
      <c r="B51" s="1267" t="s">
        <v>1257</v>
      </c>
      <c r="C51" s="1398">
        <f>+'CANTIDADES Fase II todo'!BU25+'CANTIDADES Fase II todo'!BU28</f>
        <v>466.7</v>
      </c>
      <c r="D51" s="1237"/>
      <c r="E51" s="1354"/>
      <c r="F51" s="1237"/>
      <c r="G51" s="1237" t="e">
        <f>$C51*#REF!*#REF!</f>
        <v>#REF!</v>
      </c>
      <c r="H51" s="1237"/>
      <c r="I51" s="1237"/>
      <c r="J51" s="1386"/>
      <c r="K51" s="1237"/>
      <c r="L51" s="1237"/>
      <c r="M51" s="1237"/>
      <c r="N51" s="1237"/>
      <c r="O51" s="1237"/>
      <c r="P51" s="1237"/>
      <c r="Q51" s="1386"/>
      <c r="R51" s="1237"/>
      <c r="S51" s="1237"/>
      <c r="T51" s="1237"/>
      <c r="U51" s="1237"/>
      <c r="V51" s="1237"/>
      <c r="W51" s="1237"/>
      <c r="X51" s="1237"/>
      <c r="Y51" s="1237"/>
      <c r="Z51" s="1237"/>
      <c r="AA51" s="1237"/>
      <c r="AB51" s="1237"/>
      <c r="AC51" s="1237"/>
      <c r="AD51" s="1283"/>
      <c r="AE51" s="1283"/>
      <c r="AF51" s="1283"/>
      <c r="AG51" s="1283"/>
      <c r="AH51" s="1283"/>
      <c r="AI51" s="1317" t="e">
        <f>+SUMPRODUCT(D51:AH51,D48:AH48)</f>
        <v>#REF!</v>
      </c>
      <c r="AJ51" s="1185" t="e">
        <f>$C51*#REF!*#REF!</f>
        <v>#REF!</v>
      </c>
    </row>
    <row r="52" spans="1:113">
      <c r="A52" s="1623"/>
      <c r="B52" s="1267" t="s">
        <v>1258</v>
      </c>
      <c r="C52" s="1398">
        <f>+'CANTIDADES Fase II todo'!BU26</f>
        <v>360</v>
      </c>
      <c r="D52" s="1237"/>
      <c r="E52" s="1354"/>
      <c r="F52" s="1237"/>
      <c r="G52" s="1237" t="e">
        <f>$C52*#REF!*#REF!</f>
        <v>#REF!</v>
      </c>
      <c r="H52" s="1237"/>
      <c r="I52" s="1237"/>
      <c r="J52" s="1386"/>
      <c r="K52" s="1237"/>
      <c r="L52" s="1237"/>
      <c r="M52" s="1237"/>
      <c r="N52" s="1237"/>
      <c r="O52" s="1237"/>
      <c r="P52" s="1237"/>
      <c r="Q52" s="1386"/>
      <c r="R52" s="1237"/>
      <c r="S52" s="1237"/>
      <c r="T52" s="1237"/>
      <c r="U52" s="1237"/>
      <c r="V52" s="1237"/>
      <c r="W52" s="1237"/>
      <c r="X52" s="1237"/>
      <c r="Y52" s="1237"/>
      <c r="Z52" s="1237"/>
      <c r="AA52" s="1237"/>
      <c r="AB52" s="1237"/>
      <c r="AC52" s="1237"/>
      <c r="AD52" s="1283"/>
      <c r="AE52" s="1283"/>
      <c r="AF52" s="1283"/>
      <c r="AG52" s="1283"/>
      <c r="AH52" s="1283"/>
      <c r="AI52" s="1317" t="e">
        <f>+SUMPRODUCT(D52:AH52,D48:AH48)</f>
        <v>#REF!</v>
      </c>
      <c r="AJ52" s="1185" t="e">
        <f>$C52*#REF!*#REF!</f>
        <v>#REF!</v>
      </c>
    </row>
    <row r="53" spans="1:113">
      <c r="A53" s="1623"/>
      <c r="B53" s="1267" t="s">
        <v>1259</v>
      </c>
      <c r="C53" s="1398">
        <f>+'CANTIDADES Fase II todo'!BU72</f>
        <v>12</v>
      </c>
      <c r="D53" s="1237"/>
      <c r="E53" s="1354"/>
      <c r="F53" s="1237"/>
      <c r="G53" s="1237"/>
      <c r="H53" s="1237" t="e">
        <f>+$C53*#REF!*#REF!</f>
        <v>#REF!</v>
      </c>
      <c r="I53" s="1237"/>
      <c r="J53" s="1386"/>
      <c r="K53" s="1237"/>
      <c r="L53" s="1237"/>
      <c r="M53" s="1237"/>
      <c r="N53" s="1237"/>
      <c r="O53" s="1237"/>
      <c r="P53" s="1237"/>
      <c r="Q53" s="1386"/>
      <c r="R53" s="1237"/>
      <c r="S53" s="1237"/>
      <c r="T53" s="1237"/>
      <c r="U53" s="1237"/>
      <c r="V53" s="1237"/>
      <c r="W53" s="1237"/>
      <c r="X53" s="1237"/>
      <c r="Y53" s="1237"/>
      <c r="Z53" s="1237"/>
      <c r="AA53" s="1237"/>
      <c r="AB53" s="1237"/>
      <c r="AC53" s="1237"/>
      <c r="AD53" s="1283"/>
      <c r="AE53" s="1283"/>
      <c r="AF53" s="1283"/>
      <c r="AG53" s="1283"/>
      <c r="AH53" s="1283"/>
      <c r="AI53" s="1317" t="e">
        <f>+SUMPRODUCT(D53:AH53,D48:AH48)</f>
        <v>#REF!</v>
      </c>
      <c r="AJ53" s="1236" t="e">
        <f>+$C53*#REF!*#REF!</f>
        <v>#REF!</v>
      </c>
    </row>
    <row r="54" spans="1:113">
      <c r="A54" s="1623"/>
      <c r="B54" s="1267" t="s">
        <v>1260</v>
      </c>
      <c r="C54" s="1398">
        <f>+'CANTIDADES Fase II todo'!BU83+'CANTIDADES Fase II todo'!BU84+'CANTIDADES Fase II todo'!BU85</f>
        <v>240</v>
      </c>
      <c r="D54" s="1237"/>
      <c r="E54" s="1354"/>
      <c r="F54" s="1237"/>
      <c r="G54" s="1237"/>
      <c r="H54" s="1237"/>
      <c r="I54" s="1237"/>
      <c r="J54" s="1386"/>
      <c r="K54" s="1237"/>
      <c r="L54" s="1237"/>
      <c r="M54" s="1237"/>
      <c r="N54" s="1237"/>
      <c r="O54" s="1237"/>
      <c r="P54" s="1237"/>
      <c r="Q54" s="1386"/>
      <c r="R54" s="1237"/>
      <c r="S54" s="1237"/>
      <c r="T54" s="1237"/>
      <c r="U54" s="1237"/>
      <c r="V54" s="1237"/>
      <c r="W54" s="1237"/>
      <c r="X54" s="1237"/>
      <c r="Y54" s="1237"/>
      <c r="Z54" s="1237"/>
      <c r="AA54" s="1237"/>
      <c r="AB54" s="1237"/>
      <c r="AC54" s="1237"/>
      <c r="AD54" s="1283" t="e">
        <f>+$C54*#REF!*#REF!</f>
        <v>#REF!</v>
      </c>
      <c r="AE54" s="1283"/>
      <c r="AF54" s="1283"/>
      <c r="AG54" s="1283"/>
      <c r="AH54" s="1283"/>
      <c r="AI54" s="1317" t="e">
        <f>+SUMPRODUCT(D54:AH54,D48:AH48)</f>
        <v>#REF!</v>
      </c>
      <c r="AJ54" s="1185" t="e">
        <f>+$C54*#REF!*#REF!</f>
        <v>#REF!</v>
      </c>
    </row>
    <row r="55" spans="1:113">
      <c r="A55" s="1623"/>
      <c r="B55" s="1267" t="s">
        <v>1261</v>
      </c>
      <c r="C55" s="1398">
        <f>+'CANTIDADES Fase II todo'!BU92+'CANTIDADES Fase II todo'!BU93</f>
        <v>693.56999999999994</v>
      </c>
      <c r="D55" s="1237"/>
      <c r="E55" s="1354"/>
      <c r="F55" s="1237"/>
      <c r="G55" s="1237"/>
      <c r="H55" s="1237"/>
      <c r="I55" s="1237"/>
      <c r="J55" s="1386"/>
      <c r="K55" s="1237"/>
      <c r="L55" s="1237"/>
      <c r="M55" s="1237"/>
      <c r="N55" s="1237"/>
      <c r="O55" s="1237"/>
      <c r="P55" s="1237"/>
      <c r="Q55" s="1386"/>
      <c r="R55" s="1237"/>
      <c r="S55" s="1237"/>
      <c r="T55" s="1237"/>
      <c r="U55" s="1237"/>
      <c r="V55" s="1237"/>
      <c r="W55" s="1237"/>
      <c r="X55" s="1237"/>
      <c r="Y55" s="1237"/>
      <c r="Z55" s="1237"/>
      <c r="AA55" s="1237"/>
      <c r="AB55" s="1237"/>
      <c r="AC55" s="1237"/>
      <c r="AD55" s="1283" t="e">
        <f>+$C55*#REF!*#REF!</f>
        <v>#REF!</v>
      </c>
      <c r="AE55" s="1283"/>
      <c r="AF55" s="1283"/>
      <c r="AG55" s="1283"/>
      <c r="AH55" s="1283"/>
      <c r="AI55" s="1317" t="e">
        <f>+SUMPRODUCT(D55:AH55,D48:AH48)</f>
        <v>#REF!</v>
      </c>
      <c r="AJ55" s="1185" t="e">
        <f>+$C55*#REF!*#REF!</f>
        <v>#REF!</v>
      </c>
    </row>
    <row r="56" spans="1:113" s="1186" customFormat="1" ht="30">
      <c r="A56" s="1624"/>
      <c r="B56" s="1285" t="s">
        <v>1262</v>
      </c>
      <c r="C56" s="1404">
        <f>+'CANTIDADES Fase II todo'!BU99</f>
        <v>246.96</v>
      </c>
      <c r="D56" s="1246"/>
      <c r="E56" s="1246"/>
      <c r="F56" s="1246"/>
      <c r="G56" s="1246"/>
      <c r="H56" s="1246"/>
      <c r="I56" s="1246"/>
      <c r="J56" s="1246"/>
      <c r="K56" s="1246"/>
      <c r="L56" s="1246"/>
      <c r="M56" s="1246"/>
      <c r="N56" s="1246"/>
      <c r="O56" s="1246"/>
      <c r="P56" s="1246"/>
      <c r="Q56" s="1246"/>
      <c r="R56" s="1246"/>
      <c r="S56" s="1246"/>
      <c r="T56" s="1246"/>
      <c r="U56" s="1246"/>
      <c r="V56" s="1246"/>
      <c r="W56" s="1246"/>
      <c r="X56" s="1246"/>
      <c r="Y56" s="1246"/>
      <c r="Z56" s="1246"/>
      <c r="AA56" s="1246"/>
      <c r="AB56" s="1246"/>
      <c r="AC56" s="1246"/>
      <c r="AD56" s="1247" t="e">
        <f>+$C56*#REF!</f>
        <v>#REF!</v>
      </c>
      <c r="AE56" s="1247"/>
      <c r="AF56" s="1247"/>
      <c r="AG56" s="1247"/>
      <c r="AH56" s="1247"/>
      <c r="AI56" s="1388" t="e">
        <f>+SUMPRODUCT($D56:AH56,$D48:AH48)</f>
        <v>#REF!</v>
      </c>
      <c r="AJ56" s="1287" t="e">
        <f>+$C56*#REF!</f>
        <v>#REF!</v>
      </c>
    </row>
    <row r="57" spans="1:113">
      <c r="A57" s="1253" t="s">
        <v>1247</v>
      </c>
      <c r="B57" s="1310"/>
      <c r="C57" s="1255" t="s">
        <v>1308</v>
      </c>
      <c r="D57" s="1366"/>
      <c r="E57" s="1367"/>
      <c r="F57" s="1257"/>
      <c r="G57" s="1257"/>
      <c r="H57" s="1257"/>
      <c r="I57" s="1257"/>
      <c r="J57" s="1368"/>
      <c r="K57" s="1257"/>
      <c r="L57" s="1257"/>
      <c r="M57" s="1257"/>
      <c r="N57" s="1257"/>
      <c r="O57" s="1257"/>
      <c r="P57" s="1257"/>
      <c r="Q57" s="1368"/>
      <c r="R57" s="1257"/>
      <c r="S57" s="1257"/>
      <c r="T57" s="1257"/>
      <c r="U57" s="1257"/>
      <c r="V57" s="1257"/>
      <c r="W57" s="1257"/>
      <c r="X57" s="1257"/>
      <c r="Y57" s="1257"/>
      <c r="Z57" s="1257"/>
      <c r="AA57" s="1257"/>
      <c r="AB57" s="1257"/>
      <c r="AC57" s="1257"/>
      <c r="AD57" s="1312"/>
      <c r="AE57" s="1312"/>
      <c r="AF57" s="1312"/>
      <c r="AG57" s="1312"/>
      <c r="AH57" s="1312"/>
      <c r="AI57" s="1313"/>
      <c r="AJ57" s="1260"/>
      <c r="AK57" s="1260"/>
      <c r="AL57" s="1260"/>
      <c r="AM57" s="1260"/>
      <c r="AN57" s="1260"/>
      <c r="AO57" s="1260"/>
      <c r="AP57" s="1260"/>
      <c r="AQ57" s="1260"/>
      <c r="AR57" s="1260"/>
      <c r="AS57" s="1260"/>
      <c r="AT57" s="1260"/>
      <c r="AU57" s="1260"/>
      <c r="AV57" s="1260"/>
      <c r="AW57" s="1260"/>
      <c r="AX57" s="1260"/>
      <c r="AY57" s="1260"/>
      <c r="AZ57" s="1260"/>
      <c r="BA57" s="1260"/>
      <c r="BB57" s="1260"/>
      <c r="BC57" s="1260"/>
      <c r="BD57" s="1260"/>
      <c r="BE57" s="1260"/>
      <c r="BF57" s="1260"/>
      <c r="BG57" s="1260"/>
      <c r="BH57" s="1260"/>
      <c r="BI57" s="1260"/>
      <c r="BJ57" s="1260"/>
      <c r="BK57" s="1260"/>
      <c r="BL57" s="1260"/>
      <c r="BM57" s="1260"/>
      <c r="BN57" s="1260"/>
      <c r="BO57" s="1260"/>
      <c r="BP57" s="1260"/>
      <c r="BQ57" s="1260"/>
      <c r="BR57" s="1260"/>
      <c r="BS57" s="1260"/>
      <c r="BT57" s="1260"/>
      <c r="BU57" s="1260"/>
      <c r="BV57" s="1260"/>
      <c r="BW57" s="1260"/>
      <c r="BX57" s="1260"/>
      <c r="BY57" s="1260"/>
      <c r="BZ57" s="1260"/>
      <c r="CA57" s="1260"/>
      <c r="CB57" s="1260"/>
      <c r="CC57" s="1260"/>
      <c r="CD57" s="1260"/>
      <c r="CE57" s="1260"/>
      <c r="CF57" s="1260"/>
      <c r="CG57" s="1260"/>
      <c r="CH57" s="1260"/>
      <c r="CI57" s="1260"/>
      <c r="CJ57" s="1260"/>
      <c r="CK57" s="1260"/>
      <c r="CL57" s="1260"/>
      <c r="CM57" s="1260"/>
      <c r="CN57" s="1260"/>
      <c r="CO57" s="1260"/>
      <c r="CP57" s="1260"/>
      <c r="CQ57" s="1260"/>
      <c r="CR57" s="1260"/>
      <c r="CS57" s="1260"/>
      <c r="CT57" s="1260"/>
      <c r="CU57" s="1260"/>
      <c r="CV57" s="1260"/>
      <c r="CW57" s="1260"/>
      <c r="CX57" s="1260"/>
      <c r="CY57" s="1260"/>
      <c r="CZ57" s="1260"/>
      <c r="DA57" s="1260"/>
      <c r="DB57" s="1260"/>
      <c r="DC57" s="1260"/>
      <c r="DD57" s="1260"/>
      <c r="DE57" s="1260"/>
      <c r="DF57" s="1260"/>
      <c r="DG57" s="1260"/>
      <c r="DH57" s="1260"/>
      <c r="DI57" s="1260"/>
    </row>
    <row r="58" spans="1:113">
      <c r="A58" s="1261" t="s">
        <v>1227</v>
      </c>
      <c r="B58" s="1262"/>
      <c r="C58" s="1263">
        <v>4515</v>
      </c>
      <c r="D58" s="1369"/>
      <c r="E58" s="1370"/>
      <c r="F58" s="1265"/>
      <c r="G58" s="1265"/>
      <c r="H58" s="1265"/>
      <c r="I58" s="1265"/>
      <c r="J58" s="1371"/>
      <c r="K58" s="1265"/>
      <c r="L58" s="1265"/>
      <c r="M58" s="1265"/>
      <c r="N58" s="1265"/>
      <c r="O58" s="1265"/>
      <c r="P58" s="1265"/>
      <c r="Q58" s="1371"/>
      <c r="R58" s="1265"/>
      <c r="S58" s="1265"/>
      <c r="T58" s="1265"/>
      <c r="U58" s="1265"/>
      <c r="V58" s="1265"/>
      <c r="W58" s="1265"/>
      <c r="X58" s="1265"/>
      <c r="Y58" s="1265"/>
      <c r="Z58" s="1265"/>
      <c r="AA58" s="1265"/>
      <c r="AB58" s="1265"/>
      <c r="AC58" s="1265"/>
      <c r="AD58" s="1314"/>
      <c r="AE58" s="1314"/>
      <c r="AF58" s="1314"/>
      <c r="AG58" s="1314"/>
      <c r="AH58" s="1314"/>
      <c r="AI58" s="1313"/>
      <c r="AJ58" s="1260"/>
      <c r="AK58" s="1260"/>
      <c r="AL58" s="1260"/>
      <c r="AM58" s="1260"/>
      <c r="AN58" s="1260"/>
      <c r="AO58" s="1260"/>
      <c r="AP58" s="1260"/>
      <c r="AQ58" s="1260"/>
      <c r="AR58" s="1260"/>
      <c r="AS58" s="1260"/>
      <c r="AT58" s="1260"/>
      <c r="AU58" s="1260"/>
      <c r="AV58" s="1260"/>
      <c r="AW58" s="1260"/>
      <c r="AX58" s="1260"/>
      <c r="AY58" s="1260"/>
      <c r="AZ58" s="1260"/>
      <c r="BA58" s="1260"/>
      <c r="BB58" s="1260"/>
      <c r="BC58" s="1260"/>
      <c r="BD58" s="1260"/>
      <c r="BE58" s="1260"/>
      <c r="BF58" s="1260"/>
      <c r="BG58" s="1260"/>
      <c r="BH58" s="1260"/>
      <c r="BI58" s="1260"/>
      <c r="BJ58" s="1260"/>
      <c r="BK58" s="1260"/>
      <c r="BL58" s="1260"/>
      <c r="BM58" s="1260"/>
      <c r="BN58" s="1260"/>
      <c r="BO58" s="1260"/>
      <c r="BP58" s="1260"/>
      <c r="BQ58" s="1260"/>
      <c r="BR58" s="1260"/>
      <c r="BS58" s="1260"/>
      <c r="BT58" s="1260"/>
      <c r="BU58" s="1260"/>
      <c r="BV58" s="1260"/>
      <c r="BW58" s="1260"/>
      <c r="BX58" s="1260"/>
      <c r="BY58" s="1260"/>
      <c r="BZ58" s="1260"/>
      <c r="CA58" s="1260"/>
      <c r="CB58" s="1260"/>
      <c r="CC58" s="1260"/>
      <c r="CD58" s="1260"/>
      <c r="CE58" s="1260"/>
      <c r="CF58" s="1260"/>
      <c r="CG58" s="1260"/>
      <c r="CH58" s="1260"/>
      <c r="CI58" s="1260"/>
      <c r="CJ58" s="1260"/>
      <c r="CK58" s="1260"/>
      <c r="CL58" s="1260"/>
      <c r="CM58" s="1260"/>
      <c r="CN58" s="1260"/>
      <c r="CO58" s="1260"/>
      <c r="CP58" s="1260"/>
      <c r="CQ58" s="1260"/>
      <c r="CR58" s="1260"/>
      <c r="CS58" s="1260"/>
      <c r="CT58" s="1260"/>
      <c r="CU58" s="1260"/>
      <c r="CV58" s="1260"/>
      <c r="CW58" s="1260"/>
      <c r="CX58" s="1260"/>
      <c r="CY58" s="1260"/>
      <c r="CZ58" s="1260"/>
      <c r="DA58" s="1260"/>
      <c r="DB58" s="1260"/>
      <c r="DC58" s="1260"/>
      <c r="DD58" s="1260"/>
      <c r="DE58" s="1260"/>
      <c r="DF58" s="1260"/>
      <c r="DG58" s="1260"/>
      <c r="DH58" s="1260"/>
      <c r="DI58" s="1260"/>
    </row>
    <row r="59" spans="1:113" ht="15" customHeight="1">
      <c r="A59" s="1622" t="s">
        <v>1249</v>
      </c>
      <c r="B59" s="1267" t="s">
        <v>1250</v>
      </c>
      <c r="C59" s="1268">
        <v>27620</v>
      </c>
      <c r="D59" s="1372"/>
      <c r="E59" s="1373"/>
      <c r="F59" s="1270"/>
      <c r="G59" s="1270"/>
      <c r="H59" s="1270"/>
      <c r="I59" s="1270"/>
      <c r="J59" s="1374"/>
      <c r="K59" s="1270"/>
      <c r="L59" s="1270"/>
      <c r="M59" s="1270"/>
      <c r="N59" s="1270"/>
      <c r="O59" s="1270"/>
      <c r="P59" s="1270"/>
      <c r="Q59" s="1374"/>
      <c r="R59" s="1270"/>
      <c r="S59" s="1270"/>
      <c r="T59" s="1270"/>
      <c r="U59" s="1270"/>
      <c r="V59" s="1270"/>
      <c r="W59" s="1270"/>
      <c r="X59" s="1270"/>
      <c r="Y59" s="1270"/>
      <c r="Z59" s="1270"/>
      <c r="AA59" s="1270"/>
      <c r="AB59" s="1270"/>
      <c r="AC59" s="1270"/>
      <c r="AD59" s="1303"/>
      <c r="AE59" s="1303"/>
      <c r="AF59" s="1303"/>
      <c r="AG59" s="1303"/>
      <c r="AH59" s="1303"/>
      <c r="AI59" s="1313"/>
      <c r="AJ59" s="1260"/>
      <c r="AK59" s="1260"/>
      <c r="AL59" s="1260"/>
      <c r="AM59" s="1260"/>
      <c r="AN59" s="1260"/>
      <c r="AO59" s="1260"/>
      <c r="AP59" s="1260"/>
      <c r="AQ59" s="1260"/>
      <c r="AR59" s="1260"/>
      <c r="AS59" s="1260"/>
      <c r="AT59" s="1260"/>
      <c r="AU59" s="1260"/>
      <c r="AV59" s="1260"/>
      <c r="AW59" s="1260"/>
      <c r="AX59" s="1260"/>
      <c r="AY59" s="1260"/>
      <c r="AZ59" s="1260"/>
      <c r="BA59" s="1260"/>
      <c r="BB59" s="1260"/>
      <c r="BC59" s="1260"/>
      <c r="BD59" s="1260"/>
      <c r="BE59" s="1260"/>
      <c r="BF59" s="1260"/>
      <c r="BG59" s="1260"/>
      <c r="BH59" s="1260"/>
      <c r="BI59" s="1260"/>
      <c r="BJ59" s="1260"/>
      <c r="BK59" s="1260"/>
      <c r="BL59" s="1260"/>
      <c r="BM59" s="1260"/>
      <c r="BN59" s="1260"/>
      <c r="BO59" s="1260"/>
      <c r="BP59" s="1260"/>
      <c r="BQ59" s="1260"/>
      <c r="BR59" s="1260"/>
      <c r="BS59" s="1260"/>
      <c r="BT59" s="1260"/>
      <c r="BU59" s="1260"/>
      <c r="BV59" s="1260"/>
      <c r="BW59" s="1260"/>
      <c r="BX59" s="1260"/>
      <c r="BY59" s="1260"/>
      <c r="BZ59" s="1260"/>
      <c r="CA59" s="1260"/>
      <c r="CB59" s="1260"/>
      <c r="CC59" s="1260"/>
      <c r="CD59" s="1260"/>
      <c r="CE59" s="1260"/>
      <c r="CF59" s="1260"/>
      <c r="CG59" s="1260"/>
      <c r="CH59" s="1260"/>
      <c r="CI59" s="1260"/>
      <c r="CJ59" s="1260"/>
      <c r="CK59" s="1260"/>
      <c r="CL59" s="1260"/>
      <c r="CM59" s="1260"/>
      <c r="CN59" s="1260"/>
      <c r="CO59" s="1260"/>
      <c r="CP59" s="1260"/>
      <c r="CQ59" s="1260"/>
      <c r="CR59" s="1260"/>
      <c r="CS59" s="1260"/>
      <c r="CT59" s="1260"/>
      <c r="CU59" s="1260"/>
      <c r="CV59" s="1260"/>
      <c r="CW59" s="1260"/>
      <c r="CX59" s="1260"/>
      <c r="CY59" s="1260"/>
      <c r="CZ59" s="1260"/>
      <c r="DA59" s="1260"/>
      <c r="DB59" s="1260"/>
      <c r="DC59" s="1260"/>
      <c r="DD59" s="1260"/>
      <c r="DE59" s="1260"/>
      <c r="DF59" s="1260"/>
      <c r="DG59" s="1260"/>
      <c r="DH59" s="1260"/>
      <c r="DI59" s="1260"/>
    </row>
    <row r="60" spans="1:113">
      <c r="A60" s="1622"/>
      <c r="B60" s="1267" t="s">
        <v>1251</v>
      </c>
      <c r="C60" s="1268">
        <v>32520</v>
      </c>
      <c r="D60" s="1372"/>
      <c r="E60" s="1373"/>
      <c r="F60" s="1270"/>
      <c r="G60" s="1270"/>
      <c r="H60" s="1270"/>
      <c r="I60" s="1270"/>
      <c r="J60" s="1374"/>
      <c r="K60" s="1270"/>
      <c r="L60" s="1270"/>
      <c r="M60" s="1270"/>
      <c r="N60" s="1270"/>
      <c r="O60" s="1270"/>
      <c r="P60" s="1270"/>
      <c r="Q60" s="1374"/>
      <c r="R60" s="1270"/>
      <c r="S60" s="1270"/>
      <c r="T60" s="1270"/>
      <c r="U60" s="1270"/>
      <c r="V60" s="1270"/>
      <c r="W60" s="1270"/>
      <c r="X60" s="1270"/>
      <c r="Y60" s="1270"/>
      <c r="Z60" s="1270"/>
      <c r="AA60" s="1270"/>
      <c r="AB60" s="1270"/>
      <c r="AC60" s="1270"/>
      <c r="AD60" s="1315"/>
      <c r="AE60" s="1315"/>
      <c r="AF60" s="1315"/>
      <c r="AG60" s="1315"/>
      <c r="AH60" s="1315"/>
      <c r="AI60" s="1316"/>
    </row>
    <row r="61" spans="1:113">
      <c r="A61" s="1272" t="s">
        <v>1252</v>
      </c>
      <c r="B61" s="1273"/>
      <c r="C61" s="1268">
        <f>+(C60-C59)/2+C59</f>
        <v>30070</v>
      </c>
      <c r="D61" s="1372"/>
      <c r="E61" s="1373"/>
      <c r="F61" s="1270"/>
      <c r="G61" s="1270"/>
      <c r="H61" s="1270"/>
      <c r="I61" s="1270"/>
      <c r="J61" s="1374"/>
      <c r="K61" s="1270"/>
      <c r="L61" s="1270"/>
      <c r="M61" s="1270"/>
      <c r="N61" s="1270"/>
      <c r="O61" s="1270"/>
      <c r="P61" s="1270"/>
      <c r="Q61" s="1374"/>
      <c r="R61" s="1270"/>
      <c r="S61" s="1270"/>
      <c r="T61" s="1270"/>
      <c r="U61" s="1270"/>
      <c r="V61" s="1270"/>
      <c r="W61" s="1270"/>
      <c r="X61" s="1270"/>
      <c r="Y61" s="1270"/>
      <c r="Z61" s="1270"/>
      <c r="AA61" s="1270"/>
      <c r="AB61" s="1270"/>
      <c r="AC61" s="1270"/>
      <c r="AD61" s="1315"/>
      <c r="AE61" s="1315"/>
      <c r="AF61" s="1315"/>
      <c r="AG61" s="1315"/>
      <c r="AH61" s="1315"/>
      <c r="AI61" s="1316"/>
    </row>
    <row r="62" spans="1:113">
      <c r="A62" s="1272" t="s">
        <v>1253</v>
      </c>
      <c r="B62" s="1273"/>
      <c r="C62" s="1274"/>
      <c r="D62" s="1390">
        <f>IF(D64&gt;D63,(D64-D63)+D$2*1000+D$3*1000,(D63-D64)+D$2*1000+D$4*1000)/1000</f>
        <v>45.12</v>
      </c>
      <c r="E62" s="1376">
        <f t="shared" ref="E62:AH62" si="10">IF(E64&gt;E63,(E64-E63)+E$2*1000+E$3*1000,(E63-E64)+E$2*1000+E$4*1000)/1000</f>
        <v>45.57</v>
      </c>
      <c r="F62" s="1276">
        <f t="shared" si="10"/>
        <v>24.87</v>
      </c>
      <c r="G62" s="1276">
        <f t="shared" si="10"/>
        <v>21.14</v>
      </c>
      <c r="H62" s="1276">
        <f t="shared" si="10"/>
        <v>21.17</v>
      </c>
      <c r="I62" s="1276">
        <f t="shared" si="10"/>
        <v>22.07</v>
      </c>
      <c r="J62" s="1377">
        <f t="shared" si="10"/>
        <v>14.57</v>
      </c>
      <c r="K62" s="1276">
        <f t="shared" si="10"/>
        <v>14.07</v>
      </c>
      <c r="L62" s="1276">
        <f t="shared" si="10"/>
        <v>6.87</v>
      </c>
      <c r="M62" s="1276">
        <f t="shared" si="10"/>
        <v>8.77</v>
      </c>
      <c r="N62" s="1276">
        <f t="shared" si="10"/>
        <v>13.33</v>
      </c>
      <c r="O62" s="1276">
        <f t="shared" si="10"/>
        <v>14.93</v>
      </c>
      <c r="P62" s="1276">
        <f t="shared" si="10"/>
        <v>84.07</v>
      </c>
      <c r="Q62" s="1377">
        <f t="shared" si="10"/>
        <v>80.069999999999993</v>
      </c>
      <c r="R62" s="1276">
        <f t="shared" si="10"/>
        <v>92.37</v>
      </c>
      <c r="S62" s="1276">
        <f t="shared" si="10"/>
        <v>21.73</v>
      </c>
      <c r="T62" s="1276">
        <f t="shared" si="10"/>
        <v>25.38</v>
      </c>
      <c r="U62" s="1276">
        <f t="shared" si="10"/>
        <v>23.68</v>
      </c>
      <c r="V62" s="1276">
        <f t="shared" si="10"/>
        <v>25.96</v>
      </c>
      <c r="W62" s="1276">
        <f t="shared" si="10"/>
        <v>7.0000000000000007E-2</v>
      </c>
      <c r="X62" s="1276">
        <f t="shared" si="10"/>
        <v>33.630000000000003</v>
      </c>
      <c r="Y62" s="1276">
        <f t="shared" si="10"/>
        <v>42.93</v>
      </c>
      <c r="Z62" s="1276">
        <f t="shared" si="10"/>
        <v>48.73</v>
      </c>
      <c r="AA62" s="1276">
        <f t="shared" si="10"/>
        <v>55.28</v>
      </c>
      <c r="AB62" s="1276">
        <f t="shared" si="10"/>
        <v>59.85</v>
      </c>
      <c r="AC62" s="1276">
        <f t="shared" si="10"/>
        <v>66.349999999999994</v>
      </c>
      <c r="AD62" s="1277">
        <f t="shared" si="10"/>
        <v>41.12</v>
      </c>
      <c r="AE62" s="1277">
        <f t="shared" si="10"/>
        <v>2.0699999999999998</v>
      </c>
      <c r="AF62" s="1277">
        <f t="shared" si="10"/>
        <v>7.93</v>
      </c>
      <c r="AG62" s="1277">
        <f t="shared" si="10"/>
        <v>40.93</v>
      </c>
      <c r="AH62" s="1277">
        <f t="shared" si="10"/>
        <v>52.73</v>
      </c>
      <c r="AI62" s="1316"/>
    </row>
    <row r="63" spans="1:113" hidden="1">
      <c r="A63" s="1278" t="s">
        <v>1254</v>
      </c>
      <c r="B63" s="1279"/>
      <c r="C63" s="1280"/>
      <c r="D63" s="1326">
        <f>+IF($C58=4514,IF(D$6=4514,$C61,$C61),IF(D$6=4515,$C61+101000,101000+$C61))</f>
        <v>131070</v>
      </c>
      <c r="E63" s="1326">
        <f t="shared" ref="E63:AH63" si="11">+IF($C58=4514,IF(E$6=4514,$C61,$C61),IF(E$6=4515,$C61+101000,101000+$C61))</f>
        <v>131070</v>
      </c>
      <c r="F63" s="1200">
        <f t="shared" si="11"/>
        <v>131070</v>
      </c>
      <c r="G63" s="1200">
        <f t="shared" si="11"/>
        <v>131070</v>
      </c>
      <c r="H63" s="1200">
        <f t="shared" si="11"/>
        <v>131070</v>
      </c>
      <c r="I63" s="1200">
        <f t="shared" si="11"/>
        <v>131070</v>
      </c>
      <c r="J63" s="1378">
        <f t="shared" si="11"/>
        <v>131070</v>
      </c>
      <c r="K63" s="1200">
        <f t="shared" si="11"/>
        <v>131070</v>
      </c>
      <c r="L63" s="1200">
        <f t="shared" si="11"/>
        <v>131070</v>
      </c>
      <c r="M63" s="1200">
        <f t="shared" si="11"/>
        <v>131070</v>
      </c>
      <c r="N63" s="1200">
        <f t="shared" si="11"/>
        <v>131070</v>
      </c>
      <c r="O63" s="1200">
        <f t="shared" si="11"/>
        <v>131070</v>
      </c>
      <c r="P63" s="1200">
        <f t="shared" si="11"/>
        <v>131070</v>
      </c>
      <c r="Q63" s="1378">
        <f t="shared" si="11"/>
        <v>131070</v>
      </c>
      <c r="R63" s="1200">
        <f t="shared" si="11"/>
        <v>131070</v>
      </c>
      <c r="S63" s="1200">
        <f t="shared" si="11"/>
        <v>131070</v>
      </c>
      <c r="T63" s="1200">
        <f t="shared" si="11"/>
        <v>131070</v>
      </c>
      <c r="U63" s="1200">
        <f t="shared" si="11"/>
        <v>131070</v>
      </c>
      <c r="V63" s="1200">
        <f t="shared" si="11"/>
        <v>131070</v>
      </c>
      <c r="W63" s="1200">
        <f t="shared" si="11"/>
        <v>131070</v>
      </c>
      <c r="X63" s="1200">
        <f t="shared" si="11"/>
        <v>131070</v>
      </c>
      <c r="Y63" s="1200">
        <f t="shared" si="11"/>
        <v>131070</v>
      </c>
      <c r="Z63" s="1200">
        <f t="shared" si="11"/>
        <v>131070</v>
      </c>
      <c r="AA63" s="1200">
        <f t="shared" si="11"/>
        <v>131070</v>
      </c>
      <c r="AB63" s="1200">
        <f t="shared" si="11"/>
        <v>131070</v>
      </c>
      <c r="AC63" s="1200">
        <f t="shared" si="11"/>
        <v>131070</v>
      </c>
      <c r="AD63" s="1281">
        <f t="shared" si="11"/>
        <v>131070</v>
      </c>
      <c r="AE63" s="1281">
        <f t="shared" si="11"/>
        <v>131070</v>
      </c>
      <c r="AF63" s="1281">
        <f t="shared" si="11"/>
        <v>131070</v>
      </c>
      <c r="AG63" s="1281">
        <f t="shared" si="11"/>
        <v>131070</v>
      </c>
      <c r="AH63" s="1281">
        <f t="shared" si="11"/>
        <v>131070</v>
      </c>
      <c r="AI63" s="1316"/>
    </row>
    <row r="64" spans="1:113" hidden="1">
      <c r="A64" s="1278" t="s">
        <v>1255</v>
      </c>
      <c r="B64" s="1279"/>
      <c r="C64" s="1280"/>
      <c r="D64" s="1326">
        <f>+IF($C58=4514,IF(D$6=4514,D$5,D$5+101000),IF(D$6=4515,D$5+101000,D$5))</f>
        <v>85950</v>
      </c>
      <c r="E64" s="1326">
        <f t="shared" ref="E64:AH64" si="12">+IF($C58=4514,IF(E$6=4514,E$5,E$5+101000),IF(E$6=4515,E$5+101000,E$5))</f>
        <v>85500</v>
      </c>
      <c r="F64" s="1200">
        <f t="shared" si="12"/>
        <v>106200</v>
      </c>
      <c r="G64" s="1200">
        <f t="shared" si="12"/>
        <v>110930</v>
      </c>
      <c r="H64" s="1200">
        <f t="shared" si="12"/>
        <v>109900</v>
      </c>
      <c r="I64" s="1200">
        <f t="shared" si="12"/>
        <v>110000</v>
      </c>
      <c r="J64" s="1378">
        <f t="shared" si="12"/>
        <v>116500</v>
      </c>
      <c r="K64" s="1200">
        <f t="shared" si="12"/>
        <v>117000</v>
      </c>
      <c r="L64" s="1200">
        <f t="shared" si="12"/>
        <v>124200</v>
      </c>
      <c r="M64" s="1200">
        <f t="shared" si="12"/>
        <v>126800</v>
      </c>
      <c r="N64" s="1200">
        <f t="shared" si="12"/>
        <v>144400</v>
      </c>
      <c r="O64" s="1200">
        <f t="shared" si="12"/>
        <v>146000</v>
      </c>
      <c r="P64" s="1200">
        <f t="shared" si="12"/>
        <v>47500</v>
      </c>
      <c r="Q64" s="1378">
        <f t="shared" si="12"/>
        <v>51000</v>
      </c>
      <c r="R64" s="1200">
        <f t="shared" si="12"/>
        <v>40000</v>
      </c>
      <c r="S64" s="1200">
        <f t="shared" si="12"/>
        <v>149800</v>
      </c>
      <c r="T64" s="1200">
        <f t="shared" si="12"/>
        <v>154650</v>
      </c>
      <c r="U64" s="1200">
        <f t="shared" si="12"/>
        <v>153350</v>
      </c>
      <c r="V64" s="1200">
        <f t="shared" si="12"/>
        <v>154730</v>
      </c>
      <c r="W64" s="1200">
        <f t="shared" si="12"/>
        <v>131000</v>
      </c>
      <c r="X64" s="1200">
        <f t="shared" si="12"/>
        <v>164700</v>
      </c>
      <c r="Y64" s="1200">
        <f t="shared" si="12"/>
        <v>173000</v>
      </c>
      <c r="Z64" s="1200">
        <f t="shared" si="12"/>
        <v>176000</v>
      </c>
      <c r="AA64" s="1200">
        <f t="shared" si="12"/>
        <v>185150</v>
      </c>
      <c r="AB64" s="1200">
        <f t="shared" si="12"/>
        <v>190920</v>
      </c>
      <c r="AC64" s="1200">
        <f t="shared" si="12"/>
        <v>190920</v>
      </c>
      <c r="AD64" s="1281">
        <f t="shared" si="12"/>
        <v>89950</v>
      </c>
      <c r="AE64" s="1281">
        <f t="shared" si="12"/>
        <v>129000</v>
      </c>
      <c r="AF64" s="1281">
        <f t="shared" si="12"/>
        <v>139000</v>
      </c>
      <c r="AG64" s="1281">
        <f t="shared" si="12"/>
        <v>172000</v>
      </c>
      <c r="AH64" s="1281">
        <f t="shared" si="12"/>
        <v>177800</v>
      </c>
      <c r="AI64" s="1316"/>
    </row>
    <row r="65" spans="1:113" ht="15" customHeight="1">
      <c r="A65" s="1623" t="s">
        <v>1266</v>
      </c>
      <c r="B65" s="1267" t="s">
        <v>1257</v>
      </c>
      <c r="C65" s="1282">
        <f>+'CANTIDADES Fase II todo'!CH25+'CANTIDADES Fase II todo'!CH28</f>
        <v>5541.48</v>
      </c>
      <c r="D65" s="1236"/>
      <c r="E65" s="1354"/>
      <c r="F65" s="1237"/>
      <c r="G65" s="1237"/>
      <c r="H65" s="1237"/>
      <c r="I65" s="1237"/>
      <c r="J65" s="1386"/>
      <c r="K65" s="1237"/>
      <c r="L65" s="1237"/>
      <c r="M65" s="1237"/>
      <c r="N65" s="1237" t="e">
        <f>$C65*#REF!*#REF!</f>
        <v>#REF!</v>
      </c>
      <c r="O65" s="1237"/>
      <c r="P65" s="1237"/>
      <c r="Q65" s="1386"/>
      <c r="R65" s="1237"/>
      <c r="S65" s="1237"/>
      <c r="T65" s="1237"/>
      <c r="U65" s="1237"/>
      <c r="V65" s="1237"/>
      <c r="W65" s="1237"/>
      <c r="X65" s="1237"/>
      <c r="Y65" s="1237"/>
      <c r="Z65" s="1237"/>
      <c r="AA65" s="1237"/>
      <c r="AB65" s="1237"/>
      <c r="AC65" s="1237"/>
      <c r="AD65" s="1283"/>
      <c r="AE65" s="1283"/>
      <c r="AF65" s="1283"/>
      <c r="AG65" s="1283"/>
      <c r="AH65" s="1283"/>
      <c r="AI65" s="1317" t="e">
        <f>+SUMPRODUCT(D65:AH65,D62:AH62)</f>
        <v>#REF!</v>
      </c>
      <c r="AJ65" s="1185" t="e">
        <f>$C65*#REF!*#REF!</f>
        <v>#REF!</v>
      </c>
    </row>
    <row r="66" spans="1:113">
      <c r="A66" s="1623"/>
      <c r="B66" s="1267" t="s">
        <v>1258</v>
      </c>
      <c r="C66" s="1282">
        <f>+'CANTIDADES Fase II todo'!CH26</f>
        <v>2515.59</v>
      </c>
      <c r="D66" s="1236"/>
      <c r="E66" s="1354"/>
      <c r="F66" s="1237"/>
      <c r="G66" s="1237"/>
      <c r="H66" s="1237"/>
      <c r="I66" s="1237"/>
      <c r="J66" s="1386"/>
      <c r="K66" s="1237"/>
      <c r="L66" s="1237"/>
      <c r="M66" s="1237"/>
      <c r="N66" s="1237" t="e">
        <f>$C66*#REF!*#REF!</f>
        <v>#REF!</v>
      </c>
      <c r="O66" s="1237"/>
      <c r="P66" s="1237"/>
      <c r="Q66" s="1386"/>
      <c r="R66" s="1237"/>
      <c r="S66" s="1237"/>
      <c r="T66" s="1237"/>
      <c r="U66" s="1237"/>
      <c r="V66" s="1237"/>
      <c r="W66" s="1237"/>
      <c r="X66" s="1237"/>
      <c r="Y66" s="1237"/>
      <c r="Z66" s="1237"/>
      <c r="AA66" s="1237"/>
      <c r="AB66" s="1237"/>
      <c r="AC66" s="1237"/>
      <c r="AD66" s="1283"/>
      <c r="AE66" s="1283"/>
      <c r="AF66" s="1283"/>
      <c r="AG66" s="1283"/>
      <c r="AH66" s="1283"/>
      <c r="AI66" s="1317" t="e">
        <f>+SUMPRODUCT(D66:AH66,D62:AH62)</f>
        <v>#REF!</v>
      </c>
      <c r="AJ66" s="1185" t="e">
        <f>$C66*#REF!*#REF!</f>
        <v>#REF!</v>
      </c>
    </row>
    <row r="67" spans="1:113">
      <c r="A67" s="1623"/>
      <c r="B67" s="1267" t="s">
        <v>1259</v>
      </c>
      <c r="C67" s="1282">
        <f>+'CANTIDADES Fase II todo'!CH72</f>
        <v>28.161000000000001</v>
      </c>
      <c r="D67" s="1236"/>
      <c r="E67" s="1354"/>
      <c r="F67" s="1237"/>
      <c r="G67" s="1237"/>
      <c r="H67" s="1237" t="e">
        <f>+$C67*#REF!*#REF!</f>
        <v>#REF!</v>
      </c>
      <c r="I67" s="1237"/>
      <c r="J67" s="1386"/>
      <c r="K67" s="1237"/>
      <c r="L67" s="1237"/>
      <c r="M67" s="1237"/>
      <c r="N67" s="1237"/>
      <c r="O67" s="1237"/>
      <c r="P67" s="1237"/>
      <c r="Q67" s="1386"/>
      <c r="R67" s="1237"/>
      <c r="S67" s="1237"/>
      <c r="T67" s="1237"/>
      <c r="U67" s="1237"/>
      <c r="V67" s="1237"/>
      <c r="W67" s="1237"/>
      <c r="X67" s="1237"/>
      <c r="Y67" s="1237"/>
      <c r="Z67" s="1237"/>
      <c r="AA67" s="1237"/>
      <c r="AB67" s="1237"/>
      <c r="AC67" s="1237"/>
      <c r="AD67" s="1283"/>
      <c r="AE67" s="1283"/>
      <c r="AF67" s="1283"/>
      <c r="AG67" s="1283"/>
      <c r="AH67" s="1283"/>
      <c r="AI67" s="1317" t="e">
        <f>+SUMPRODUCT(D67:AH67,D62:AH62)</f>
        <v>#REF!</v>
      </c>
      <c r="AJ67" s="1236" t="e">
        <f>+$C67*#REF!*#REF!</f>
        <v>#REF!</v>
      </c>
    </row>
    <row r="68" spans="1:113">
      <c r="A68" s="1623"/>
      <c r="B68" s="1267" t="s">
        <v>1260</v>
      </c>
      <c r="C68" s="1282">
        <f>+'CANTIDADES Fase II todo'!CH83+'CANTIDADES Fase II todo'!CH84+'CANTIDADES Fase II todo'!CH85</f>
        <v>2294.2080000000001</v>
      </c>
      <c r="D68" s="1236"/>
      <c r="E68" s="1354"/>
      <c r="F68" s="1237"/>
      <c r="G68" s="1237"/>
      <c r="H68" s="1237"/>
      <c r="I68" s="1237"/>
      <c r="J68" s="1386"/>
      <c r="K68" s="1237"/>
      <c r="L68" s="1237"/>
      <c r="M68" s="1237"/>
      <c r="N68" s="1237"/>
      <c r="O68" s="1237"/>
      <c r="P68" s="1237"/>
      <c r="Q68" s="1386"/>
      <c r="R68" s="1237"/>
      <c r="S68" s="1237"/>
      <c r="T68" s="1237"/>
      <c r="U68" s="1237"/>
      <c r="V68" s="1237"/>
      <c r="W68" s="1237"/>
      <c r="X68" s="1237"/>
      <c r="Y68" s="1237"/>
      <c r="Z68" s="1237"/>
      <c r="AA68" s="1237"/>
      <c r="AB68" s="1237"/>
      <c r="AC68" s="1237"/>
      <c r="AD68" s="1283"/>
      <c r="AE68" s="1283"/>
      <c r="AF68" s="1283"/>
      <c r="AG68" s="1283" t="e">
        <f>+$C68*#REF!*#REF!</f>
        <v>#REF!</v>
      </c>
      <c r="AH68" s="1283"/>
      <c r="AI68" s="1317" t="e">
        <f>+SUMPRODUCT(D68:AH68,D62:AH62)</f>
        <v>#REF!</v>
      </c>
      <c r="AJ68" s="1185" t="e">
        <f>+$C68*#REF!*#REF!</f>
        <v>#REF!</v>
      </c>
    </row>
    <row r="69" spans="1:113">
      <c r="A69" s="1624"/>
      <c r="B69" s="1292" t="s">
        <v>1261</v>
      </c>
      <c r="C69" s="1293">
        <f>+'CANTIDADES Fase II todo'!CH92+'CANTIDADES Fase II todo'!CH93</f>
        <v>615.35500000000002</v>
      </c>
      <c r="D69" s="1243"/>
      <c r="E69" s="1359"/>
      <c r="F69" s="1244"/>
      <c r="G69" s="1244"/>
      <c r="H69" s="1244"/>
      <c r="I69" s="1244"/>
      <c r="J69" s="1391"/>
      <c r="K69" s="1244"/>
      <c r="L69" s="1244"/>
      <c r="M69" s="1244"/>
      <c r="N69" s="1244"/>
      <c r="O69" s="1244"/>
      <c r="P69" s="1244"/>
      <c r="Q69" s="1391"/>
      <c r="R69" s="1244"/>
      <c r="S69" s="1244"/>
      <c r="T69" s="1244"/>
      <c r="U69" s="1244"/>
      <c r="V69" s="1244"/>
      <c r="W69" s="1244"/>
      <c r="X69" s="1244"/>
      <c r="Y69" s="1244"/>
      <c r="Z69" s="1244"/>
      <c r="AA69" s="1244"/>
      <c r="AB69" s="1244"/>
      <c r="AC69" s="1244"/>
      <c r="AD69" s="1294" t="e">
        <f>+$C69*#REF!*#REF!</f>
        <v>#REF!</v>
      </c>
      <c r="AE69" s="1294"/>
      <c r="AF69" s="1294"/>
      <c r="AG69" s="1294"/>
      <c r="AH69" s="1294"/>
      <c r="AI69" s="1318" t="e">
        <f>+SUMPRODUCT(D69:AH69,D62:AH62)</f>
        <v>#REF!</v>
      </c>
      <c r="AJ69" s="1185" t="e">
        <f>+$C69*#REF!*#REF!</f>
        <v>#REF!</v>
      </c>
    </row>
    <row r="70" spans="1:113">
      <c r="A70" s="1253" t="s">
        <v>1247</v>
      </c>
      <c r="B70" s="1310"/>
      <c r="C70" s="1255" t="s">
        <v>1444</v>
      </c>
      <c r="D70" s="1366"/>
      <c r="E70" s="1367"/>
      <c r="F70" s="1257"/>
      <c r="G70" s="1257"/>
      <c r="H70" s="1257"/>
      <c r="I70" s="1257"/>
      <c r="J70" s="1368"/>
      <c r="K70" s="1257"/>
      <c r="L70" s="1257"/>
      <c r="M70" s="1257"/>
      <c r="N70" s="1257"/>
      <c r="O70" s="1257"/>
      <c r="P70" s="1257"/>
      <c r="Q70" s="1368"/>
      <c r="R70" s="1257"/>
      <c r="S70" s="1257"/>
      <c r="T70" s="1257"/>
      <c r="U70" s="1257"/>
      <c r="V70" s="1257"/>
      <c r="W70" s="1257"/>
      <c r="X70" s="1257"/>
      <c r="Y70" s="1257"/>
      <c r="Z70" s="1257"/>
      <c r="AA70" s="1257"/>
      <c r="AB70" s="1257"/>
      <c r="AC70" s="1257"/>
      <c r="AD70" s="1312"/>
      <c r="AE70" s="1312"/>
      <c r="AF70" s="1312"/>
      <c r="AG70" s="1312"/>
      <c r="AH70" s="1312"/>
      <c r="AI70" s="1313"/>
      <c r="AJ70" s="1260"/>
      <c r="AK70" s="1260"/>
      <c r="AL70" s="1260"/>
      <c r="AM70" s="1260"/>
      <c r="AN70" s="1260"/>
      <c r="AO70" s="1260"/>
      <c r="AP70" s="1260"/>
      <c r="AQ70" s="1260"/>
      <c r="AR70" s="1260"/>
      <c r="AS70" s="1260"/>
      <c r="AT70" s="1260"/>
      <c r="AU70" s="1260"/>
      <c r="AV70" s="1260"/>
      <c r="AW70" s="1260"/>
      <c r="AX70" s="1260"/>
      <c r="AY70" s="1260"/>
      <c r="AZ70" s="1260"/>
      <c r="BA70" s="1260"/>
      <c r="BB70" s="1260"/>
      <c r="BC70" s="1260"/>
      <c r="BD70" s="1260"/>
      <c r="BE70" s="1260"/>
      <c r="BF70" s="1260"/>
      <c r="BG70" s="1260"/>
      <c r="BH70" s="1260"/>
      <c r="BI70" s="1260"/>
      <c r="BJ70" s="1260"/>
      <c r="BK70" s="1260"/>
      <c r="BL70" s="1260"/>
      <c r="BM70" s="1260"/>
      <c r="BN70" s="1260"/>
      <c r="BO70" s="1260"/>
      <c r="BP70" s="1260"/>
      <c r="BQ70" s="1260"/>
      <c r="BR70" s="1260"/>
      <c r="BS70" s="1260"/>
      <c r="BT70" s="1260"/>
      <c r="BU70" s="1260"/>
      <c r="BV70" s="1260"/>
      <c r="BW70" s="1260"/>
      <c r="BX70" s="1260"/>
      <c r="BY70" s="1260"/>
      <c r="BZ70" s="1260"/>
      <c r="CA70" s="1260"/>
      <c r="CB70" s="1260"/>
      <c r="CC70" s="1260"/>
      <c r="CD70" s="1260"/>
      <c r="CE70" s="1260"/>
      <c r="CF70" s="1260"/>
      <c r="CG70" s="1260"/>
      <c r="CH70" s="1260"/>
      <c r="CI70" s="1260"/>
      <c r="CJ70" s="1260"/>
      <c r="CK70" s="1260"/>
      <c r="CL70" s="1260"/>
      <c r="CM70" s="1260"/>
      <c r="CN70" s="1260"/>
      <c r="CO70" s="1260"/>
      <c r="CP70" s="1260"/>
      <c r="CQ70" s="1260"/>
      <c r="CR70" s="1260"/>
      <c r="CS70" s="1260"/>
      <c r="CT70" s="1260"/>
      <c r="CU70" s="1260"/>
      <c r="CV70" s="1260"/>
      <c r="CW70" s="1260"/>
      <c r="CX70" s="1260"/>
      <c r="CY70" s="1260"/>
      <c r="CZ70" s="1260"/>
      <c r="DA70" s="1260"/>
      <c r="DB70" s="1260"/>
      <c r="DC70" s="1260"/>
      <c r="DD70" s="1260"/>
      <c r="DE70" s="1260"/>
      <c r="DF70" s="1260"/>
      <c r="DG70" s="1260"/>
      <c r="DH70" s="1260"/>
      <c r="DI70" s="1260"/>
    </row>
    <row r="71" spans="1:113">
      <c r="A71" s="1261" t="s">
        <v>1227</v>
      </c>
      <c r="B71" s="1262"/>
      <c r="C71" s="1263">
        <v>4515</v>
      </c>
      <c r="D71" s="1369"/>
      <c r="E71" s="1370"/>
      <c r="F71" s="1265"/>
      <c r="G71" s="1265"/>
      <c r="H71" s="1265"/>
      <c r="I71" s="1265"/>
      <c r="J71" s="1371"/>
      <c r="K71" s="1265"/>
      <c r="L71" s="1265"/>
      <c r="M71" s="1265"/>
      <c r="N71" s="1265"/>
      <c r="O71" s="1265"/>
      <c r="P71" s="1265"/>
      <c r="Q71" s="1371"/>
      <c r="R71" s="1265"/>
      <c r="S71" s="1265"/>
      <c r="T71" s="1265"/>
      <c r="U71" s="1265"/>
      <c r="V71" s="1265"/>
      <c r="W71" s="1265"/>
      <c r="X71" s="1265"/>
      <c r="Y71" s="1265"/>
      <c r="Z71" s="1265"/>
      <c r="AA71" s="1265"/>
      <c r="AB71" s="1265"/>
      <c r="AC71" s="1265"/>
      <c r="AD71" s="1314"/>
      <c r="AE71" s="1314"/>
      <c r="AF71" s="1314"/>
      <c r="AG71" s="1314"/>
      <c r="AH71" s="1314"/>
      <c r="AI71" s="1313"/>
      <c r="AJ71" s="1260"/>
      <c r="AK71" s="1260"/>
      <c r="AL71" s="1260"/>
      <c r="AM71" s="1260"/>
      <c r="AN71" s="1260"/>
      <c r="AO71" s="1260"/>
      <c r="AP71" s="1260"/>
      <c r="AQ71" s="1260"/>
      <c r="AR71" s="1260"/>
      <c r="AS71" s="1260"/>
      <c r="AT71" s="1260"/>
      <c r="AU71" s="1260"/>
      <c r="AV71" s="1260"/>
      <c r="AW71" s="1260"/>
      <c r="AX71" s="1260"/>
      <c r="AY71" s="1260"/>
      <c r="AZ71" s="1260"/>
      <c r="BA71" s="1260"/>
      <c r="BB71" s="1260"/>
      <c r="BC71" s="1260"/>
      <c r="BD71" s="1260"/>
      <c r="BE71" s="1260"/>
      <c r="BF71" s="1260"/>
      <c r="BG71" s="1260"/>
      <c r="BH71" s="1260"/>
      <c r="BI71" s="1260"/>
      <c r="BJ71" s="1260"/>
      <c r="BK71" s="1260"/>
      <c r="BL71" s="1260"/>
      <c r="BM71" s="1260"/>
      <c r="BN71" s="1260"/>
      <c r="BO71" s="1260"/>
      <c r="BP71" s="1260"/>
      <c r="BQ71" s="1260"/>
      <c r="BR71" s="1260"/>
      <c r="BS71" s="1260"/>
      <c r="BT71" s="1260"/>
      <c r="BU71" s="1260"/>
      <c r="BV71" s="1260"/>
      <c r="BW71" s="1260"/>
      <c r="BX71" s="1260"/>
      <c r="BY71" s="1260"/>
      <c r="BZ71" s="1260"/>
      <c r="CA71" s="1260"/>
      <c r="CB71" s="1260"/>
      <c r="CC71" s="1260"/>
      <c r="CD71" s="1260"/>
      <c r="CE71" s="1260"/>
      <c r="CF71" s="1260"/>
      <c r="CG71" s="1260"/>
      <c r="CH71" s="1260"/>
      <c r="CI71" s="1260"/>
      <c r="CJ71" s="1260"/>
      <c r="CK71" s="1260"/>
      <c r="CL71" s="1260"/>
      <c r="CM71" s="1260"/>
      <c r="CN71" s="1260"/>
      <c r="CO71" s="1260"/>
      <c r="CP71" s="1260"/>
      <c r="CQ71" s="1260"/>
      <c r="CR71" s="1260"/>
      <c r="CS71" s="1260"/>
      <c r="CT71" s="1260"/>
      <c r="CU71" s="1260"/>
      <c r="CV71" s="1260"/>
      <c r="CW71" s="1260"/>
      <c r="CX71" s="1260"/>
      <c r="CY71" s="1260"/>
      <c r="CZ71" s="1260"/>
      <c r="DA71" s="1260"/>
      <c r="DB71" s="1260"/>
      <c r="DC71" s="1260"/>
      <c r="DD71" s="1260"/>
      <c r="DE71" s="1260"/>
      <c r="DF71" s="1260"/>
      <c r="DG71" s="1260"/>
      <c r="DH71" s="1260"/>
      <c r="DI71" s="1260"/>
    </row>
    <row r="72" spans="1:113" ht="15" customHeight="1">
      <c r="A72" s="1622" t="s">
        <v>1249</v>
      </c>
      <c r="B72" s="1267" t="s">
        <v>1250</v>
      </c>
      <c r="C72" s="1268">
        <v>32080</v>
      </c>
      <c r="D72" s="1372"/>
      <c r="E72" s="1373"/>
      <c r="F72" s="1270"/>
      <c r="G72" s="1270"/>
      <c r="H72" s="1270"/>
      <c r="I72" s="1270"/>
      <c r="J72" s="1374"/>
      <c r="K72" s="1270"/>
      <c r="L72" s="1270"/>
      <c r="M72" s="1270"/>
      <c r="N72" s="1270"/>
      <c r="O72" s="1270"/>
      <c r="P72" s="1270"/>
      <c r="Q72" s="1374"/>
      <c r="R72" s="1270"/>
      <c r="S72" s="1270"/>
      <c r="T72" s="1270"/>
      <c r="U72" s="1270"/>
      <c r="V72" s="1270"/>
      <c r="W72" s="1270"/>
      <c r="X72" s="1270"/>
      <c r="Y72" s="1270"/>
      <c r="Z72" s="1270"/>
      <c r="AA72" s="1270"/>
      <c r="AB72" s="1270"/>
      <c r="AC72" s="1270"/>
      <c r="AD72" s="1303"/>
      <c r="AE72" s="1303"/>
      <c r="AF72" s="1303"/>
      <c r="AG72" s="1303"/>
      <c r="AH72" s="1303"/>
      <c r="AI72" s="1313"/>
      <c r="AJ72" s="1260"/>
      <c r="AK72" s="1260"/>
      <c r="AL72" s="1260"/>
      <c r="AM72" s="1260"/>
      <c r="AN72" s="1260"/>
      <c r="AO72" s="1260"/>
      <c r="AP72" s="1260"/>
      <c r="AQ72" s="1260"/>
      <c r="AR72" s="1260"/>
      <c r="AS72" s="1260"/>
      <c r="AT72" s="1260"/>
      <c r="AU72" s="1260"/>
      <c r="AV72" s="1260"/>
      <c r="AW72" s="1260"/>
      <c r="AX72" s="1260"/>
      <c r="AY72" s="1260"/>
      <c r="AZ72" s="1260"/>
      <c r="BA72" s="1260"/>
      <c r="BB72" s="1260"/>
      <c r="BC72" s="1260"/>
      <c r="BD72" s="1260"/>
      <c r="BE72" s="1260"/>
      <c r="BF72" s="1260"/>
      <c r="BG72" s="1260"/>
      <c r="BH72" s="1260"/>
      <c r="BI72" s="1260"/>
      <c r="BJ72" s="1260"/>
      <c r="BK72" s="1260"/>
      <c r="BL72" s="1260"/>
      <c r="BM72" s="1260"/>
      <c r="BN72" s="1260"/>
      <c r="BO72" s="1260"/>
      <c r="BP72" s="1260"/>
      <c r="BQ72" s="1260"/>
      <c r="BR72" s="1260"/>
      <c r="BS72" s="1260"/>
      <c r="BT72" s="1260"/>
      <c r="BU72" s="1260"/>
      <c r="BV72" s="1260"/>
      <c r="BW72" s="1260"/>
      <c r="BX72" s="1260"/>
      <c r="BY72" s="1260"/>
      <c r="BZ72" s="1260"/>
      <c r="CA72" s="1260"/>
      <c r="CB72" s="1260"/>
      <c r="CC72" s="1260"/>
      <c r="CD72" s="1260"/>
      <c r="CE72" s="1260"/>
      <c r="CF72" s="1260"/>
      <c r="CG72" s="1260"/>
      <c r="CH72" s="1260"/>
      <c r="CI72" s="1260"/>
      <c r="CJ72" s="1260"/>
      <c r="CK72" s="1260"/>
      <c r="CL72" s="1260"/>
      <c r="CM72" s="1260"/>
      <c r="CN72" s="1260"/>
      <c r="CO72" s="1260"/>
      <c r="CP72" s="1260"/>
      <c r="CQ72" s="1260"/>
      <c r="CR72" s="1260"/>
      <c r="CS72" s="1260"/>
      <c r="CT72" s="1260"/>
      <c r="CU72" s="1260"/>
      <c r="CV72" s="1260"/>
      <c r="CW72" s="1260"/>
      <c r="CX72" s="1260"/>
      <c r="CY72" s="1260"/>
      <c r="CZ72" s="1260"/>
      <c r="DA72" s="1260"/>
      <c r="DB72" s="1260"/>
      <c r="DC72" s="1260"/>
      <c r="DD72" s="1260"/>
      <c r="DE72" s="1260"/>
      <c r="DF72" s="1260"/>
      <c r="DG72" s="1260"/>
      <c r="DH72" s="1260"/>
      <c r="DI72" s="1260"/>
    </row>
    <row r="73" spans="1:113">
      <c r="A73" s="1622"/>
      <c r="B73" s="1267" t="s">
        <v>1251</v>
      </c>
      <c r="C73" s="1268">
        <v>37110</v>
      </c>
      <c r="D73" s="1372"/>
      <c r="E73" s="1373"/>
      <c r="F73" s="1270"/>
      <c r="G73" s="1270"/>
      <c r="H73" s="1270"/>
      <c r="I73" s="1270"/>
      <c r="J73" s="1374"/>
      <c r="K73" s="1270"/>
      <c r="L73" s="1270"/>
      <c r="M73" s="1270"/>
      <c r="N73" s="1270"/>
      <c r="O73" s="1270"/>
      <c r="P73" s="1270"/>
      <c r="Q73" s="1374"/>
      <c r="R73" s="1270"/>
      <c r="S73" s="1270"/>
      <c r="T73" s="1270"/>
      <c r="U73" s="1270"/>
      <c r="V73" s="1270"/>
      <c r="W73" s="1270"/>
      <c r="X73" s="1270"/>
      <c r="Y73" s="1270"/>
      <c r="Z73" s="1270"/>
      <c r="AA73" s="1270"/>
      <c r="AB73" s="1270"/>
      <c r="AC73" s="1270"/>
      <c r="AD73" s="1315"/>
      <c r="AE73" s="1315"/>
      <c r="AF73" s="1315"/>
      <c r="AG73" s="1315"/>
      <c r="AH73" s="1315"/>
      <c r="AI73" s="1316"/>
    </row>
    <row r="74" spans="1:113">
      <c r="A74" s="1272" t="s">
        <v>1252</v>
      </c>
      <c r="B74" s="1273"/>
      <c r="C74" s="1268">
        <f>+(C73-C72)/2+C72</f>
        <v>34595</v>
      </c>
      <c r="D74" s="1372"/>
      <c r="E74" s="1373"/>
      <c r="F74" s="1270"/>
      <c r="G74" s="1270"/>
      <c r="H74" s="1270"/>
      <c r="I74" s="1270"/>
      <c r="J74" s="1374"/>
      <c r="K74" s="1270"/>
      <c r="L74" s="1270"/>
      <c r="M74" s="1270"/>
      <c r="N74" s="1270"/>
      <c r="O74" s="1270"/>
      <c r="P74" s="1270"/>
      <c r="Q74" s="1374"/>
      <c r="R74" s="1270"/>
      <c r="S74" s="1270"/>
      <c r="T74" s="1270"/>
      <c r="U74" s="1270"/>
      <c r="V74" s="1270"/>
      <c r="W74" s="1270"/>
      <c r="X74" s="1270"/>
      <c r="Y74" s="1270"/>
      <c r="Z74" s="1270"/>
      <c r="AA74" s="1270"/>
      <c r="AB74" s="1270"/>
      <c r="AC74" s="1270"/>
      <c r="AD74" s="1315"/>
      <c r="AE74" s="1315"/>
      <c r="AF74" s="1315"/>
      <c r="AG74" s="1315"/>
      <c r="AH74" s="1315"/>
      <c r="AI74" s="1316"/>
    </row>
    <row r="75" spans="1:113">
      <c r="A75" s="1272" t="s">
        <v>1253</v>
      </c>
      <c r="B75" s="1273"/>
      <c r="C75" s="1274"/>
      <c r="D75" s="1390">
        <f>IF(D77&gt;D76,(D77-D76)+D$2*1000+D$3*1000,(D76-D77)+D$2*1000+D$4*1000)/1000</f>
        <v>49.645000000000003</v>
      </c>
      <c r="E75" s="1376">
        <f t="shared" ref="E75:AH75" si="13">IF(E77&gt;E76,(E77-E76)+E$2*1000+E$3*1000,(E76-E77)+E$2*1000+E$4*1000)/1000</f>
        <v>50.094999999999999</v>
      </c>
      <c r="F75" s="1276">
        <f t="shared" si="13"/>
        <v>29.395</v>
      </c>
      <c r="G75" s="1276">
        <f t="shared" si="13"/>
        <v>25.664999999999999</v>
      </c>
      <c r="H75" s="1276">
        <f t="shared" si="13"/>
        <v>25.695</v>
      </c>
      <c r="I75" s="1276">
        <f t="shared" si="13"/>
        <v>26.594999999999999</v>
      </c>
      <c r="J75" s="1377">
        <f t="shared" si="13"/>
        <v>19.094999999999999</v>
      </c>
      <c r="K75" s="1276">
        <f t="shared" si="13"/>
        <v>18.594999999999999</v>
      </c>
      <c r="L75" s="1276">
        <f t="shared" si="13"/>
        <v>11.395</v>
      </c>
      <c r="M75" s="1276">
        <f t="shared" si="13"/>
        <v>13.295</v>
      </c>
      <c r="N75" s="1276">
        <f t="shared" si="13"/>
        <v>8.8049999999999997</v>
      </c>
      <c r="O75" s="1276">
        <f t="shared" si="13"/>
        <v>10.404999999999999</v>
      </c>
      <c r="P75" s="1276">
        <f t="shared" si="13"/>
        <v>88.594999999999999</v>
      </c>
      <c r="Q75" s="1377">
        <f t="shared" si="13"/>
        <v>84.594999999999999</v>
      </c>
      <c r="R75" s="1276">
        <f t="shared" si="13"/>
        <v>96.894999999999996</v>
      </c>
      <c r="S75" s="1276">
        <f t="shared" si="13"/>
        <v>17.204999999999998</v>
      </c>
      <c r="T75" s="1276">
        <f t="shared" si="13"/>
        <v>20.855</v>
      </c>
      <c r="U75" s="1276">
        <f t="shared" si="13"/>
        <v>19.155000000000001</v>
      </c>
      <c r="V75" s="1276">
        <f t="shared" si="13"/>
        <v>21.434999999999999</v>
      </c>
      <c r="W75" s="1276">
        <f t="shared" si="13"/>
        <v>4.5949999999999998</v>
      </c>
      <c r="X75" s="1276">
        <f t="shared" si="13"/>
        <v>29.105</v>
      </c>
      <c r="Y75" s="1276">
        <f t="shared" si="13"/>
        <v>38.405000000000001</v>
      </c>
      <c r="Z75" s="1276">
        <f t="shared" si="13"/>
        <v>44.204999999999998</v>
      </c>
      <c r="AA75" s="1276">
        <f t="shared" si="13"/>
        <v>50.755000000000003</v>
      </c>
      <c r="AB75" s="1276">
        <f t="shared" si="13"/>
        <v>55.325000000000003</v>
      </c>
      <c r="AC75" s="1276">
        <f t="shared" si="13"/>
        <v>61.825000000000003</v>
      </c>
      <c r="AD75" s="1277">
        <f t="shared" si="13"/>
        <v>45.645000000000003</v>
      </c>
      <c r="AE75" s="1277">
        <f t="shared" si="13"/>
        <v>6.5949999999999998</v>
      </c>
      <c r="AF75" s="1277">
        <f t="shared" si="13"/>
        <v>3.4049999999999998</v>
      </c>
      <c r="AG75" s="1277">
        <f t="shared" si="13"/>
        <v>36.405000000000001</v>
      </c>
      <c r="AH75" s="1277">
        <f t="shared" si="13"/>
        <v>48.204999999999998</v>
      </c>
      <c r="AI75" s="1316"/>
    </row>
    <row r="76" spans="1:113" hidden="1">
      <c r="A76" s="1278" t="s">
        <v>1254</v>
      </c>
      <c r="B76" s="1279"/>
      <c r="C76" s="1280"/>
      <c r="D76" s="1326">
        <f>+IF($C71=4514,IF(D$6=4514,$C74,$C74),IF(D$6=4515,$C74+101000,101000+$C74))</f>
        <v>135595</v>
      </c>
      <c r="E76" s="1326">
        <f t="shared" ref="E76:AH76" si="14">+IF($C71=4514,IF(E$6=4514,$C74,$C74),IF(E$6=4515,$C74+101000,101000+$C74))</f>
        <v>135595</v>
      </c>
      <c r="F76" s="1200">
        <f t="shared" si="14"/>
        <v>135595</v>
      </c>
      <c r="G76" s="1200">
        <f t="shared" si="14"/>
        <v>135595</v>
      </c>
      <c r="H76" s="1200">
        <f t="shared" si="14"/>
        <v>135595</v>
      </c>
      <c r="I76" s="1200">
        <f t="shared" si="14"/>
        <v>135595</v>
      </c>
      <c r="J76" s="1378">
        <f t="shared" si="14"/>
        <v>135595</v>
      </c>
      <c r="K76" s="1200">
        <f t="shared" si="14"/>
        <v>135595</v>
      </c>
      <c r="L76" s="1200">
        <f t="shared" si="14"/>
        <v>135595</v>
      </c>
      <c r="M76" s="1200">
        <f t="shared" si="14"/>
        <v>135595</v>
      </c>
      <c r="N76" s="1200">
        <f t="shared" si="14"/>
        <v>135595</v>
      </c>
      <c r="O76" s="1200">
        <f t="shared" si="14"/>
        <v>135595</v>
      </c>
      <c r="P76" s="1200">
        <f t="shared" si="14"/>
        <v>135595</v>
      </c>
      <c r="Q76" s="1378">
        <f t="shared" si="14"/>
        <v>135595</v>
      </c>
      <c r="R76" s="1200">
        <f t="shared" si="14"/>
        <v>135595</v>
      </c>
      <c r="S76" s="1200">
        <f t="shared" si="14"/>
        <v>135595</v>
      </c>
      <c r="T76" s="1200">
        <f t="shared" si="14"/>
        <v>135595</v>
      </c>
      <c r="U76" s="1200">
        <f t="shared" si="14"/>
        <v>135595</v>
      </c>
      <c r="V76" s="1200">
        <f t="shared" si="14"/>
        <v>135595</v>
      </c>
      <c r="W76" s="1200">
        <f t="shared" si="14"/>
        <v>135595</v>
      </c>
      <c r="X76" s="1200">
        <f t="shared" si="14"/>
        <v>135595</v>
      </c>
      <c r="Y76" s="1200">
        <f t="shared" si="14"/>
        <v>135595</v>
      </c>
      <c r="Z76" s="1200">
        <f t="shared" si="14"/>
        <v>135595</v>
      </c>
      <c r="AA76" s="1200">
        <f t="shared" si="14"/>
        <v>135595</v>
      </c>
      <c r="AB76" s="1200">
        <f t="shared" si="14"/>
        <v>135595</v>
      </c>
      <c r="AC76" s="1200">
        <f t="shared" si="14"/>
        <v>135595</v>
      </c>
      <c r="AD76" s="1281">
        <f t="shared" si="14"/>
        <v>135595</v>
      </c>
      <c r="AE76" s="1281">
        <f t="shared" si="14"/>
        <v>135595</v>
      </c>
      <c r="AF76" s="1281">
        <f t="shared" si="14"/>
        <v>135595</v>
      </c>
      <c r="AG76" s="1281">
        <f t="shared" si="14"/>
        <v>135595</v>
      </c>
      <c r="AH76" s="1281">
        <f t="shared" si="14"/>
        <v>135595</v>
      </c>
      <c r="AI76" s="1316"/>
    </row>
    <row r="77" spans="1:113" hidden="1">
      <c r="A77" s="1278" t="s">
        <v>1255</v>
      </c>
      <c r="B77" s="1279"/>
      <c r="C77" s="1280"/>
      <c r="D77" s="1326">
        <f>+IF($C71=4514,IF(D$6=4514,D$5,D$5+101000),IF(D$6=4515,D$5+101000,D$5))</f>
        <v>85950</v>
      </c>
      <c r="E77" s="1326">
        <f t="shared" ref="E77:AH77" si="15">+IF($C71=4514,IF(E$6=4514,E$5,E$5+101000),IF(E$6=4515,E$5+101000,E$5))</f>
        <v>85500</v>
      </c>
      <c r="F77" s="1200">
        <f t="shared" si="15"/>
        <v>106200</v>
      </c>
      <c r="G77" s="1200">
        <f t="shared" si="15"/>
        <v>110930</v>
      </c>
      <c r="H77" s="1200">
        <f t="shared" si="15"/>
        <v>109900</v>
      </c>
      <c r="I77" s="1200">
        <f t="shared" si="15"/>
        <v>110000</v>
      </c>
      <c r="J77" s="1378">
        <f t="shared" si="15"/>
        <v>116500</v>
      </c>
      <c r="K77" s="1200">
        <f t="shared" si="15"/>
        <v>117000</v>
      </c>
      <c r="L77" s="1200">
        <f t="shared" si="15"/>
        <v>124200</v>
      </c>
      <c r="M77" s="1200">
        <f t="shared" si="15"/>
        <v>126800</v>
      </c>
      <c r="N77" s="1200">
        <f t="shared" si="15"/>
        <v>144400</v>
      </c>
      <c r="O77" s="1200">
        <f t="shared" si="15"/>
        <v>146000</v>
      </c>
      <c r="P77" s="1200">
        <f t="shared" si="15"/>
        <v>47500</v>
      </c>
      <c r="Q77" s="1378">
        <f t="shared" si="15"/>
        <v>51000</v>
      </c>
      <c r="R77" s="1200">
        <f t="shared" si="15"/>
        <v>40000</v>
      </c>
      <c r="S77" s="1200">
        <f t="shared" si="15"/>
        <v>149800</v>
      </c>
      <c r="T77" s="1200">
        <f t="shared" si="15"/>
        <v>154650</v>
      </c>
      <c r="U77" s="1200">
        <f t="shared" si="15"/>
        <v>153350</v>
      </c>
      <c r="V77" s="1200">
        <f t="shared" si="15"/>
        <v>154730</v>
      </c>
      <c r="W77" s="1200">
        <f t="shared" si="15"/>
        <v>131000</v>
      </c>
      <c r="X77" s="1200">
        <f t="shared" si="15"/>
        <v>164700</v>
      </c>
      <c r="Y77" s="1200">
        <f t="shared" si="15"/>
        <v>173000</v>
      </c>
      <c r="Z77" s="1200">
        <f t="shared" si="15"/>
        <v>176000</v>
      </c>
      <c r="AA77" s="1200">
        <f t="shared" si="15"/>
        <v>185150</v>
      </c>
      <c r="AB77" s="1200">
        <f t="shared" si="15"/>
        <v>190920</v>
      </c>
      <c r="AC77" s="1200">
        <f t="shared" si="15"/>
        <v>190920</v>
      </c>
      <c r="AD77" s="1281">
        <f t="shared" si="15"/>
        <v>89950</v>
      </c>
      <c r="AE77" s="1281">
        <f t="shared" si="15"/>
        <v>129000</v>
      </c>
      <c r="AF77" s="1281">
        <f t="shared" si="15"/>
        <v>139000</v>
      </c>
      <c r="AG77" s="1281">
        <f t="shared" si="15"/>
        <v>172000</v>
      </c>
      <c r="AH77" s="1281">
        <f t="shared" si="15"/>
        <v>177800</v>
      </c>
      <c r="AI77" s="1316"/>
    </row>
    <row r="78" spans="1:113" ht="15" customHeight="1">
      <c r="A78" s="1623" t="s">
        <v>1266</v>
      </c>
      <c r="B78" s="1267" t="s">
        <v>1257</v>
      </c>
      <c r="C78" s="1398">
        <f>+'CANTIDADES Fase II todo'!CC25+'CANTIDADES Fase II todo'!CC28</f>
        <v>12885.48</v>
      </c>
      <c r="D78" s="1237"/>
      <c r="E78" s="1354"/>
      <c r="F78" s="1237"/>
      <c r="G78" s="1237" t="e">
        <f>$C78*#REF!*#REF!</f>
        <v>#REF!</v>
      </c>
      <c r="H78" s="1237"/>
      <c r="I78" s="1237"/>
      <c r="J78" s="1386"/>
      <c r="K78" s="1237"/>
      <c r="L78" s="1237"/>
      <c r="M78" s="1237"/>
      <c r="N78" s="1237"/>
      <c r="O78" s="1237"/>
      <c r="P78" s="1237"/>
      <c r="Q78" s="1386"/>
      <c r="R78" s="1237"/>
      <c r="S78" s="1237"/>
      <c r="T78" s="1237"/>
      <c r="U78" s="1237"/>
      <c r="V78" s="1237"/>
      <c r="W78" s="1237"/>
      <c r="X78" s="1237"/>
      <c r="Y78" s="1237"/>
      <c r="Z78" s="1237"/>
      <c r="AA78" s="1237"/>
      <c r="AB78" s="1237"/>
      <c r="AC78" s="1237"/>
      <c r="AD78" s="1283"/>
      <c r="AE78" s="1283"/>
      <c r="AF78" s="1283"/>
      <c r="AG78" s="1283"/>
      <c r="AH78" s="1283"/>
      <c r="AI78" s="1317" t="e">
        <f>+SUMPRODUCT(D78:AH78,D75:AH75)</f>
        <v>#REF!</v>
      </c>
      <c r="AJ78" s="1185" t="e">
        <f>$C78*#REF!*#REF!</f>
        <v>#REF!</v>
      </c>
    </row>
    <row r="79" spans="1:113">
      <c r="A79" s="1623"/>
      <c r="B79" s="1267" t="s">
        <v>1258</v>
      </c>
      <c r="C79" s="1398">
        <f>+'CANTIDADES Fase II todo'!CC26</f>
        <v>4291.18</v>
      </c>
      <c r="D79" s="1237"/>
      <c r="E79" s="1354"/>
      <c r="F79" s="1237"/>
      <c r="G79" s="1237" t="e">
        <f>$C79*#REF!*#REF!</f>
        <v>#REF!</v>
      </c>
      <c r="H79" s="1237"/>
      <c r="I79" s="1237"/>
      <c r="J79" s="1386"/>
      <c r="K79" s="1237"/>
      <c r="L79" s="1237"/>
      <c r="M79" s="1237"/>
      <c r="N79" s="1237"/>
      <c r="O79" s="1237"/>
      <c r="P79" s="1237"/>
      <c r="Q79" s="1386"/>
      <c r="R79" s="1237"/>
      <c r="S79" s="1237"/>
      <c r="T79" s="1237"/>
      <c r="U79" s="1237"/>
      <c r="V79" s="1237"/>
      <c r="W79" s="1237"/>
      <c r="X79" s="1237"/>
      <c r="Y79" s="1237"/>
      <c r="Z79" s="1237"/>
      <c r="AA79" s="1237"/>
      <c r="AB79" s="1237"/>
      <c r="AC79" s="1237"/>
      <c r="AD79" s="1283"/>
      <c r="AE79" s="1283"/>
      <c r="AF79" s="1283"/>
      <c r="AG79" s="1283"/>
      <c r="AH79" s="1283"/>
      <c r="AI79" s="1317" t="e">
        <f>+SUMPRODUCT(D79:AH79,D75:AH75)</f>
        <v>#REF!</v>
      </c>
      <c r="AJ79" s="1185" t="e">
        <f>$C79*#REF!*#REF!</f>
        <v>#REF!</v>
      </c>
    </row>
    <row r="80" spans="1:113">
      <c r="A80" s="1623"/>
      <c r="B80" s="1267" t="s">
        <v>1259</v>
      </c>
      <c r="C80" s="1398">
        <f>+'CANTIDADES Fase II todo'!CC72</f>
        <v>304.83</v>
      </c>
      <c r="D80" s="1237"/>
      <c r="E80" s="1354"/>
      <c r="F80" s="1237"/>
      <c r="G80" s="1237"/>
      <c r="H80" s="1237"/>
      <c r="I80" s="1237"/>
      <c r="J80" s="1386"/>
      <c r="K80" s="1237"/>
      <c r="L80" s="1237"/>
      <c r="M80" s="1237"/>
      <c r="N80" s="1237"/>
      <c r="O80" s="1237"/>
      <c r="P80" s="1237"/>
      <c r="Q80" s="1386"/>
      <c r="R80" s="1237"/>
      <c r="S80" s="1237"/>
      <c r="T80" s="1237"/>
      <c r="U80" s="1237"/>
      <c r="V80" s="1237"/>
      <c r="W80" s="1237"/>
      <c r="X80" s="1237"/>
      <c r="Y80" s="1237"/>
      <c r="Z80" s="1237"/>
      <c r="AA80" s="1237"/>
      <c r="AB80" s="1237"/>
      <c r="AC80" s="1237"/>
      <c r="AD80" s="1283"/>
      <c r="AE80" s="1283"/>
      <c r="AF80" s="1283"/>
      <c r="AG80" s="1283" t="e">
        <f>+$C80*#REF!*#REF!</f>
        <v>#REF!</v>
      </c>
      <c r="AH80" s="1283"/>
      <c r="AI80" s="1317" t="e">
        <f>+SUMPRODUCT(D80:AH80,D75:AH75)</f>
        <v>#REF!</v>
      </c>
      <c r="AJ80" s="1236" t="e">
        <f>+$C80*#REF!*#REF!</f>
        <v>#REF!</v>
      </c>
    </row>
    <row r="81" spans="1:113">
      <c r="A81" s="1623"/>
      <c r="B81" s="1267" t="s">
        <v>1260</v>
      </c>
      <c r="C81" s="1398">
        <f>+'CANTIDADES Fase II todo'!CC83+'CANTIDADES Fase II todo'!CC84+'CANTIDADES Fase II todo'!CC85</f>
        <v>4952.42</v>
      </c>
      <c r="D81" s="1237"/>
      <c r="E81" s="1354"/>
      <c r="F81" s="1237"/>
      <c r="G81" s="1237"/>
      <c r="H81" s="1237"/>
      <c r="I81" s="1237"/>
      <c r="J81" s="1386"/>
      <c r="K81" s="1237"/>
      <c r="L81" s="1237"/>
      <c r="M81" s="1237"/>
      <c r="N81" s="1237"/>
      <c r="O81" s="1237"/>
      <c r="P81" s="1237"/>
      <c r="Q81" s="1386"/>
      <c r="R81" s="1237"/>
      <c r="S81" s="1237"/>
      <c r="T81" s="1237"/>
      <c r="U81" s="1237"/>
      <c r="V81" s="1237"/>
      <c r="W81" s="1237"/>
      <c r="X81" s="1237"/>
      <c r="Y81" s="1237"/>
      <c r="Z81" s="1237"/>
      <c r="AA81" s="1237"/>
      <c r="AB81" s="1237"/>
      <c r="AC81" s="1237"/>
      <c r="AD81" s="1283"/>
      <c r="AE81" s="1283"/>
      <c r="AF81" s="1283"/>
      <c r="AG81" s="1283" t="e">
        <f>+$C81*#REF!*#REF!</f>
        <v>#REF!</v>
      </c>
      <c r="AH81" s="1283"/>
      <c r="AI81" s="1317" t="e">
        <f>+SUMPRODUCT(D81:AH81,D75:AH75)</f>
        <v>#REF!</v>
      </c>
      <c r="AJ81" s="1185" t="e">
        <f>+$C81*#REF!*#REF!</f>
        <v>#REF!</v>
      </c>
    </row>
    <row r="82" spans="1:113">
      <c r="A82" s="1623"/>
      <c r="B82" s="1267" t="s">
        <v>1261</v>
      </c>
      <c r="C82" s="1398">
        <f>+'CANTIDADES Fase II todo'!CC92+'CANTIDADES Fase II todo'!CC93</f>
        <v>2307.1999999999998</v>
      </c>
      <c r="D82" s="1237"/>
      <c r="E82" s="1354"/>
      <c r="F82" s="1237"/>
      <c r="G82" s="1237"/>
      <c r="H82" s="1237"/>
      <c r="I82" s="1237"/>
      <c r="J82" s="1386"/>
      <c r="K82" s="1237"/>
      <c r="L82" s="1237"/>
      <c r="M82" s="1237"/>
      <c r="N82" s="1237"/>
      <c r="O82" s="1237"/>
      <c r="P82" s="1237"/>
      <c r="Q82" s="1386"/>
      <c r="R82" s="1237"/>
      <c r="S82" s="1237"/>
      <c r="T82" s="1237"/>
      <c r="U82" s="1237"/>
      <c r="V82" s="1237"/>
      <c r="W82" s="1237"/>
      <c r="X82" s="1237"/>
      <c r="Y82" s="1237"/>
      <c r="Z82" s="1237"/>
      <c r="AA82" s="1237"/>
      <c r="AB82" s="1237"/>
      <c r="AC82" s="1237"/>
      <c r="AD82" s="1283" t="e">
        <f>+$C82*#REF!*#REF!</f>
        <v>#REF!</v>
      </c>
      <c r="AE82" s="1283"/>
      <c r="AF82" s="1283"/>
      <c r="AG82" s="1283"/>
      <c r="AH82" s="1283"/>
      <c r="AI82" s="1317" t="e">
        <f>+SUMPRODUCT(D82:AH82,D75:AH75)</f>
        <v>#REF!</v>
      </c>
      <c r="AJ82" s="1185" t="e">
        <f>+$C82*#REF!*#REF!</f>
        <v>#REF!</v>
      </c>
    </row>
    <row r="83" spans="1:113" s="1186" customFormat="1" ht="30">
      <c r="A83" s="1624"/>
      <c r="B83" s="1285" t="s">
        <v>1262</v>
      </c>
      <c r="C83" s="1404">
        <f>+'CANTIDADES Fase II todo'!CC99</f>
        <v>422.47999999999996</v>
      </c>
      <c r="D83" s="1246"/>
      <c r="E83" s="1246"/>
      <c r="F83" s="1246"/>
      <c r="G83" s="1246"/>
      <c r="H83" s="1246"/>
      <c r="I83" s="1246"/>
      <c r="J83" s="1246"/>
      <c r="K83" s="1246"/>
      <c r="L83" s="1246"/>
      <c r="M83" s="1246"/>
      <c r="N83" s="1246"/>
      <c r="O83" s="1246"/>
      <c r="P83" s="1246"/>
      <c r="Q83" s="1246"/>
      <c r="R83" s="1246"/>
      <c r="S83" s="1246"/>
      <c r="T83" s="1246"/>
      <c r="U83" s="1246"/>
      <c r="V83" s="1246"/>
      <c r="W83" s="1246"/>
      <c r="X83" s="1246"/>
      <c r="Y83" s="1246"/>
      <c r="Z83" s="1246"/>
      <c r="AA83" s="1246"/>
      <c r="AB83" s="1246"/>
      <c r="AC83" s="1246"/>
      <c r="AD83" s="1247" t="e">
        <f>+$C83*#REF!</f>
        <v>#REF!</v>
      </c>
      <c r="AE83" s="1247"/>
      <c r="AF83" s="1247"/>
      <c r="AG83" s="1247"/>
      <c r="AH83" s="1247"/>
      <c r="AI83" s="1388" t="e">
        <f>+SUMPRODUCT($D83:AH83,$D75:AH75)</f>
        <v>#REF!</v>
      </c>
      <c r="AJ83" s="1287" t="e">
        <f>+$C83*#REF!</f>
        <v>#REF!</v>
      </c>
    </row>
    <row r="84" spans="1:113">
      <c r="A84" s="1253" t="s">
        <v>1247</v>
      </c>
      <c r="B84" s="1310"/>
      <c r="C84" s="1255" t="s">
        <v>1309</v>
      </c>
      <c r="D84" s="1366"/>
      <c r="E84" s="1367"/>
      <c r="F84" s="1257"/>
      <c r="G84" s="1257"/>
      <c r="H84" s="1257"/>
      <c r="I84" s="1257"/>
      <c r="J84" s="1368"/>
      <c r="K84" s="1257"/>
      <c r="L84" s="1257"/>
      <c r="M84" s="1257"/>
      <c r="N84" s="1257"/>
      <c r="O84" s="1257"/>
      <c r="P84" s="1257"/>
      <c r="Q84" s="1368"/>
      <c r="R84" s="1257"/>
      <c r="S84" s="1257"/>
      <c r="T84" s="1257"/>
      <c r="U84" s="1257"/>
      <c r="V84" s="1257"/>
      <c r="W84" s="1257"/>
      <c r="X84" s="1257"/>
      <c r="Y84" s="1257"/>
      <c r="Z84" s="1257"/>
      <c r="AA84" s="1257"/>
      <c r="AB84" s="1257"/>
      <c r="AC84" s="1257"/>
      <c r="AD84" s="1312"/>
      <c r="AE84" s="1312"/>
      <c r="AF84" s="1312"/>
      <c r="AG84" s="1312"/>
      <c r="AH84" s="1312"/>
      <c r="AI84" s="1313"/>
      <c r="AJ84" s="1260"/>
      <c r="AK84" s="1260"/>
      <c r="AL84" s="1260"/>
      <c r="AM84" s="1260"/>
      <c r="AN84" s="1260"/>
      <c r="AO84" s="1260"/>
      <c r="AP84" s="1260"/>
      <c r="AQ84" s="1260"/>
      <c r="AR84" s="1260"/>
      <c r="AS84" s="1260"/>
      <c r="AT84" s="1260"/>
      <c r="AU84" s="1260"/>
      <c r="AV84" s="1260"/>
      <c r="AW84" s="1260"/>
      <c r="AX84" s="1260"/>
      <c r="AY84" s="1260"/>
      <c r="AZ84" s="1260"/>
      <c r="BA84" s="1260"/>
      <c r="BB84" s="1260"/>
      <c r="BC84" s="1260"/>
      <c r="BD84" s="1260"/>
      <c r="BE84" s="1260"/>
      <c r="BF84" s="1260"/>
      <c r="BG84" s="1260"/>
      <c r="BH84" s="1260"/>
      <c r="BI84" s="1260"/>
      <c r="BJ84" s="1260"/>
      <c r="BK84" s="1260"/>
      <c r="BL84" s="1260"/>
      <c r="BM84" s="1260"/>
      <c r="BN84" s="1260"/>
      <c r="BO84" s="1260"/>
      <c r="BP84" s="1260"/>
      <c r="BQ84" s="1260"/>
      <c r="BR84" s="1260"/>
      <c r="BS84" s="1260"/>
      <c r="BT84" s="1260"/>
      <c r="BU84" s="1260"/>
      <c r="BV84" s="1260"/>
      <c r="BW84" s="1260"/>
      <c r="BX84" s="1260"/>
      <c r="BY84" s="1260"/>
      <c r="BZ84" s="1260"/>
      <c r="CA84" s="1260"/>
      <c r="CB84" s="1260"/>
      <c r="CC84" s="1260"/>
      <c r="CD84" s="1260"/>
      <c r="CE84" s="1260"/>
      <c r="CF84" s="1260"/>
      <c r="CG84" s="1260"/>
      <c r="CH84" s="1260"/>
      <c r="CI84" s="1260"/>
      <c r="CJ84" s="1260"/>
      <c r="CK84" s="1260"/>
      <c r="CL84" s="1260"/>
      <c r="CM84" s="1260"/>
      <c r="CN84" s="1260"/>
      <c r="CO84" s="1260"/>
      <c r="CP84" s="1260"/>
      <c r="CQ84" s="1260"/>
      <c r="CR84" s="1260"/>
      <c r="CS84" s="1260"/>
      <c r="CT84" s="1260"/>
      <c r="CU84" s="1260"/>
      <c r="CV84" s="1260"/>
      <c r="CW84" s="1260"/>
      <c r="CX84" s="1260"/>
      <c r="CY84" s="1260"/>
      <c r="CZ84" s="1260"/>
      <c r="DA84" s="1260"/>
      <c r="DB84" s="1260"/>
      <c r="DC84" s="1260"/>
      <c r="DD84" s="1260"/>
      <c r="DE84" s="1260"/>
      <c r="DF84" s="1260"/>
      <c r="DG84" s="1260"/>
      <c r="DH84" s="1260"/>
      <c r="DI84" s="1260"/>
    </row>
    <row r="85" spans="1:113">
      <c r="A85" s="1261" t="s">
        <v>1227</v>
      </c>
      <c r="B85" s="1262"/>
      <c r="C85" s="1263">
        <v>4515</v>
      </c>
      <c r="D85" s="1369"/>
      <c r="E85" s="1370"/>
      <c r="F85" s="1265"/>
      <c r="G85" s="1265"/>
      <c r="H85" s="1265"/>
      <c r="I85" s="1265"/>
      <c r="J85" s="1371"/>
      <c r="K85" s="1265"/>
      <c r="L85" s="1265"/>
      <c r="M85" s="1265"/>
      <c r="N85" s="1265"/>
      <c r="O85" s="1265"/>
      <c r="P85" s="1265"/>
      <c r="Q85" s="1371"/>
      <c r="R85" s="1265"/>
      <c r="S85" s="1265"/>
      <c r="T85" s="1265"/>
      <c r="U85" s="1265"/>
      <c r="V85" s="1265"/>
      <c r="W85" s="1265"/>
      <c r="X85" s="1265"/>
      <c r="Y85" s="1265"/>
      <c r="Z85" s="1265"/>
      <c r="AA85" s="1265"/>
      <c r="AB85" s="1265"/>
      <c r="AC85" s="1265"/>
      <c r="AD85" s="1314"/>
      <c r="AE85" s="1314"/>
      <c r="AF85" s="1314"/>
      <c r="AG85" s="1314"/>
      <c r="AH85" s="1314"/>
      <c r="AI85" s="1313"/>
      <c r="AJ85" s="1260"/>
      <c r="AK85" s="1260"/>
      <c r="AL85" s="1260"/>
      <c r="AM85" s="1260"/>
      <c r="AN85" s="1260"/>
      <c r="AO85" s="1260"/>
      <c r="AP85" s="1260"/>
      <c r="AQ85" s="1260"/>
      <c r="AR85" s="1260"/>
      <c r="AS85" s="1260"/>
      <c r="AT85" s="1260"/>
      <c r="AU85" s="1260"/>
      <c r="AV85" s="1260"/>
      <c r="AW85" s="1260"/>
      <c r="AX85" s="1260"/>
      <c r="AY85" s="1260"/>
      <c r="AZ85" s="1260"/>
      <c r="BA85" s="1260"/>
      <c r="BB85" s="1260"/>
      <c r="BC85" s="1260"/>
      <c r="BD85" s="1260"/>
      <c r="BE85" s="1260"/>
      <c r="BF85" s="1260"/>
      <c r="BG85" s="1260"/>
      <c r="BH85" s="1260"/>
      <c r="BI85" s="1260"/>
      <c r="BJ85" s="1260"/>
      <c r="BK85" s="1260"/>
      <c r="BL85" s="1260"/>
      <c r="BM85" s="1260"/>
      <c r="BN85" s="1260"/>
      <c r="BO85" s="1260"/>
      <c r="BP85" s="1260"/>
      <c r="BQ85" s="1260"/>
      <c r="BR85" s="1260"/>
      <c r="BS85" s="1260"/>
      <c r="BT85" s="1260"/>
      <c r="BU85" s="1260"/>
      <c r="BV85" s="1260"/>
      <c r="BW85" s="1260"/>
      <c r="BX85" s="1260"/>
      <c r="BY85" s="1260"/>
      <c r="BZ85" s="1260"/>
      <c r="CA85" s="1260"/>
      <c r="CB85" s="1260"/>
      <c r="CC85" s="1260"/>
      <c r="CD85" s="1260"/>
      <c r="CE85" s="1260"/>
      <c r="CF85" s="1260"/>
      <c r="CG85" s="1260"/>
      <c r="CH85" s="1260"/>
      <c r="CI85" s="1260"/>
      <c r="CJ85" s="1260"/>
      <c r="CK85" s="1260"/>
      <c r="CL85" s="1260"/>
      <c r="CM85" s="1260"/>
      <c r="CN85" s="1260"/>
      <c r="CO85" s="1260"/>
      <c r="CP85" s="1260"/>
      <c r="CQ85" s="1260"/>
      <c r="CR85" s="1260"/>
      <c r="CS85" s="1260"/>
      <c r="CT85" s="1260"/>
      <c r="CU85" s="1260"/>
      <c r="CV85" s="1260"/>
      <c r="CW85" s="1260"/>
      <c r="CX85" s="1260"/>
      <c r="CY85" s="1260"/>
      <c r="CZ85" s="1260"/>
      <c r="DA85" s="1260"/>
      <c r="DB85" s="1260"/>
      <c r="DC85" s="1260"/>
      <c r="DD85" s="1260"/>
      <c r="DE85" s="1260"/>
      <c r="DF85" s="1260"/>
      <c r="DG85" s="1260"/>
      <c r="DH85" s="1260"/>
      <c r="DI85" s="1260"/>
    </row>
    <row r="86" spans="1:113" ht="15" customHeight="1">
      <c r="A86" s="1622" t="s">
        <v>1249</v>
      </c>
      <c r="B86" s="1267" t="s">
        <v>1250</v>
      </c>
      <c r="C86" s="1268">
        <v>56570</v>
      </c>
      <c r="D86" s="1372"/>
      <c r="E86" s="1373"/>
      <c r="F86" s="1270"/>
      <c r="G86" s="1270"/>
      <c r="H86" s="1270"/>
      <c r="I86" s="1270"/>
      <c r="J86" s="1374"/>
      <c r="K86" s="1270"/>
      <c r="L86" s="1270"/>
      <c r="M86" s="1270"/>
      <c r="N86" s="1270"/>
      <c r="O86" s="1270"/>
      <c r="P86" s="1270"/>
      <c r="Q86" s="1374"/>
      <c r="R86" s="1270"/>
      <c r="S86" s="1270"/>
      <c r="T86" s="1270"/>
      <c r="U86" s="1270"/>
      <c r="V86" s="1270"/>
      <c r="W86" s="1270"/>
      <c r="X86" s="1270"/>
      <c r="Y86" s="1270"/>
      <c r="Z86" s="1270"/>
      <c r="AA86" s="1270"/>
      <c r="AB86" s="1270"/>
      <c r="AC86" s="1270"/>
      <c r="AD86" s="1303"/>
      <c r="AE86" s="1303"/>
      <c r="AF86" s="1303"/>
      <c r="AG86" s="1303"/>
      <c r="AH86" s="1303"/>
      <c r="AI86" s="1313"/>
      <c r="AJ86" s="1260"/>
      <c r="AK86" s="1260"/>
      <c r="AL86" s="1260"/>
      <c r="AM86" s="1260"/>
      <c r="AN86" s="1260"/>
      <c r="AO86" s="1260"/>
      <c r="AP86" s="1260"/>
      <c r="AQ86" s="1260"/>
      <c r="AR86" s="1260"/>
      <c r="AS86" s="1260"/>
      <c r="AT86" s="1260"/>
      <c r="AU86" s="1260"/>
      <c r="AV86" s="1260"/>
      <c r="AW86" s="1260"/>
      <c r="AX86" s="1260"/>
      <c r="AY86" s="1260"/>
      <c r="AZ86" s="1260"/>
      <c r="BA86" s="1260"/>
      <c r="BB86" s="1260"/>
      <c r="BC86" s="1260"/>
      <c r="BD86" s="1260"/>
      <c r="BE86" s="1260"/>
      <c r="BF86" s="1260"/>
      <c r="BG86" s="1260"/>
      <c r="BH86" s="1260"/>
      <c r="BI86" s="1260"/>
      <c r="BJ86" s="1260"/>
      <c r="BK86" s="1260"/>
      <c r="BL86" s="1260"/>
      <c r="BM86" s="1260"/>
      <c r="BN86" s="1260"/>
      <c r="BO86" s="1260"/>
      <c r="BP86" s="1260"/>
      <c r="BQ86" s="1260"/>
      <c r="BR86" s="1260"/>
      <c r="BS86" s="1260"/>
      <c r="BT86" s="1260"/>
      <c r="BU86" s="1260"/>
      <c r="BV86" s="1260"/>
      <c r="BW86" s="1260"/>
      <c r="BX86" s="1260"/>
      <c r="BY86" s="1260"/>
      <c r="BZ86" s="1260"/>
      <c r="CA86" s="1260"/>
      <c r="CB86" s="1260"/>
      <c r="CC86" s="1260"/>
      <c r="CD86" s="1260"/>
      <c r="CE86" s="1260"/>
      <c r="CF86" s="1260"/>
      <c r="CG86" s="1260"/>
      <c r="CH86" s="1260"/>
      <c r="CI86" s="1260"/>
      <c r="CJ86" s="1260"/>
      <c r="CK86" s="1260"/>
      <c r="CL86" s="1260"/>
      <c r="CM86" s="1260"/>
      <c r="CN86" s="1260"/>
      <c r="CO86" s="1260"/>
      <c r="CP86" s="1260"/>
      <c r="CQ86" s="1260"/>
      <c r="CR86" s="1260"/>
      <c r="CS86" s="1260"/>
      <c r="CT86" s="1260"/>
      <c r="CU86" s="1260"/>
      <c r="CV86" s="1260"/>
      <c r="CW86" s="1260"/>
      <c r="CX86" s="1260"/>
      <c r="CY86" s="1260"/>
      <c r="CZ86" s="1260"/>
      <c r="DA86" s="1260"/>
      <c r="DB86" s="1260"/>
      <c r="DC86" s="1260"/>
      <c r="DD86" s="1260"/>
      <c r="DE86" s="1260"/>
      <c r="DF86" s="1260"/>
      <c r="DG86" s="1260"/>
      <c r="DH86" s="1260"/>
      <c r="DI86" s="1260"/>
    </row>
    <row r="87" spans="1:113">
      <c r="A87" s="1622"/>
      <c r="B87" s="1267" t="s">
        <v>1251</v>
      </c>
      <c r="C87" s="1268">
        <v>65180</v>
      </c>
      <c r="D87" s="1372"/>
      <c r="E87" s="1373"/>
      <c r="F87" s="1270"/>
      <c r="G87" s="1270"/>
      <c r="H87" s="1270"/>
      <c r="I87" s="1270"/>
      <c r="J87" s="1374"/>
      <c r="K87" s="1270"/>
      <c r="L87" s="1270"/>
      <c r="M87" s="1270"/>
      <c r="N87" s="1270"/>
      <c r="O87" s="1270"/>
      <c r="P87" s="1270"/>
      <c r="Q87" s="1374"/>
      <c r="R87" s="1270"/>
      <c r="S87" s="1270"/>
      <c r="T87" s="1270"/>
      <c r="U87" s="1270"/>
      <c r="V87" s="1270"/>
      <c r="W87" s="1270"/>
      <c r="X87" s="1270"/>
      <c r="Y87" s="1270"/>
      <c r="Z87" s="1270"/>
      <c r="AA87" s="1270"/>
      <c r="AB87" s="1270"/>
      <c r="AC87" s="1270"/>
      <c r="AD87" s="1315"/>
      <c r="AE87" s="1315"/>
      <c r="AF87" s="1315"/>
      <c r="AG87" s="1315"/>
      <c r="AH87" s="1315"/>
      <c r="AI87" s="1316"/>
    </row>
    <row r="88" spans="1:113">
      <c r="A88" s="1272" t="s">
        <v>1252</v>
      </c>
      <c r="B88" s="1273"/>
      <c r="C88" s="1268">
        <f>+(C87-C86)/2+C86</f>
        <v>60875</v>
      </c>
      <c r="D88" s="1372"/>
      <c r="E88" s="1373"/>
      <c r="F88" s="1270"/>
      <c r="G88" s="1270"/>
      <c r="H88" s="1270"/>
      <c r="I88" s="1270"/>
      <c r="J88" s="1374"/>
      <c r="K88" s="1270"/>
      <c r="L88" s="1270"/>
      <c r="M88" s="1270"/>
      <c r="N88" s="1270"/>
      <c r="O88" s="1270"/>
      <c r="P88" s="1270"/>
      <c r="Q88" s="1374"/>
      <c r="R88" s="1270"/>
      <c r="S88" s="1270"/>
      <c r="T88" s="1270"/>
      <c r="U88" s="1270"/>
      <c r="V88" s="1270"/>
      <c r="W88" s="1270"/>
      <c r="X88" s="1270"/>
      <c r="Y88" s="1270"/>
      <c r="Z88" s="1270"/>
      <c r="AA88" s="1270"/>
      <c r="AB88" s="1270"/>
      <c r="AC88" s="1270"/>
      <c r="AD88" s="1315"/>
      <c r="AE88" s="1315"/>
      <c r="AF88" s="1315"/>
      <c r="AG88" s="1315"/>
      <c r="AH88" s="1315"/>
      <c r="AI88" s="1316"/>
    </row>
    <row r="89" spans="1:113">
      <c r="A89" s="1272" t="s">
        <v>1253</v>
      </c>
      <c r="B89" s="1273"/>
      <c r="C89" s="1274"/>
      <c r="D89" s="1390">
        <f>IF(D91&gt;D90,(D91-D90)+D$2*1000+D$3*1000,(D90-D91)+D$2*1000+D$4*1000)/1000</f>
        <v>75.924999999999997</v>
      </c>
      <c r="E89" s="1376">
        <f t="shared" ref="E89:AH89" si="16">IF(E91&gt;E90,(E91-E90)+E$2*1000+E$3*1000,(E90-E91)+E$2*1000+E$4*1000)/1000</f>
        <v>76.375</v>
      </c>
      <c r="F89" s="1276">
        <f t="shared" si="16"/>
        <v>55.674999999999997</v>
      </c>
      <c r="G89" s="1276">
        <f t="shared" si="16"/>
        <v>51.945</v>
      </c>
      <c r="H89" s="1276">
        <f t="shared" si="16"/>
        <v>51.975000000000001</v>
      </c>
      <c r="I89" s="1276">
        <f t="shared" si="16"/>
        <v>52.875</v>
      </c>
      <c r="J89" s="1377">
        <f t="shared" si="16"/>
        <v>45.375</v>
      </c>
      <c r="K89" s="1276">
        <f t="shared" si="16"/>
        <v>44.875</v>
      </c>
      <c r="L89" s="1276">
        <f t="shared" si="16"/>
        <v>37.674999999999997</v>
      </c>
      <c r="M89" s="1276">
        <f t="shared" si="16"/>
        <v>39.575000000000003</v>
      </c>
      <c r="N89" s="1276">
        <f t="shared" si="16"/>
        <v>17.475000000000001</v>
      </c>
      <c r="O89" s="1276">
        <f t="shared" si="16"/>
        <v>15.875</v>
      </c>
      <c r="P89" s="1276">
        <f t="shared" si="16"/>
        <v>114.875</v>
      </c>
      <c r="Q89" s="1377">
        <f t="shared" si="16"/>
        <v>110.875</v>
      </c>
      <c r="R89" s="1276">
        <f t="shared" si="16"/>
        <v>123.175</v>
      </c>
      <c r="S89" s="1276">
        <f t="shared" si="16"/>
        <v>15.074999999999999</v>
      </c>
      <c r="T89" s="1276">
        <f t="shared" si="16"/>
        <v>9.0250000000000004</v>
      </c>
      <c r="U89" s="1276">
        <f t="shared" si="16"/>
        <v>9.9250000000000007</v>
      </c>
      <c r="V89" s="1276">
        <f t="shared" si="16"/>
        <v>9.4450000000000003</v>
      </c>
      <c r="W89" s="1276">
        <f t="shared" si="16"/>
        <v>30.875</v>
      </c>
      <c r="X89" s="1276">
        <f t="shared" si="16"/>
        <v>2.8250000000000002</v>
      </c>
      <c r="Y89" s="1276">
        <f t="shared" si="16"/>
        <v>12.125</v>
      </c>
      <c r="Z89" s="1276">
        <f t="shared" si="16"/>
        <v>17.925000000000001</v>
      </c>
      <c r="AA89" s="1276">
        <f t="shared" si="16"/>
        <v>24.475000000000001</v>
      </c>
      <c r="AB89" s="1276">
        <f t="shared" si="16"/>
        <v>29.045000000000002</v>
      </c>
      <c r="AC89" s="1276">
        <f t="shared" si="16"/>
        <v>35.545000000000002</v>
      </c>
      <c r="AD89" s="1277">
        <f t="shared" si="16"/>
        <v>71.924999999999997</v>
      </c>
      <c r="AE89" s="1277">
        <f t="shared" si="16"/>
        <v>32.875</v>
      </c>
      <c r="AF89" s="1277">
        <f t="shared" si="16"/>
        <v>22.875</v>
      </c>
      <c r="AG89" s="1277">
        <f t="shared" si="16"/>
        <v>10.125</v>
      </c>
      <c r="AH89" s="1277">
        <f t="shared" si="16"/>
        <v>21.925000000000001</v>
      </c>
      <c r="AI89" s="1316"/>
    </row>
    <row r="90" spans="1:113" hidden="1">
      <c r="A90" s="1278" t="s">
        <v>1254</v>
      </c>
      <c r="B90" s="1279"/>
      <c r="C90" s="1280"/>
      <c r="D90" s="1326">
        <f>+IF($C85=4514,IF(D$6=4514,$C88,$C88),IF(D$6=4515,$C88+101000,101000+$C88))</f>
        <v>161875</v>
      </c>
      <c r="E90" s="1326">
        <f t="shared" ref="E90:AH90" si="17">+IF($C85=4514,IF(E$6=4514,$C88,$C88),IF(E$6=4515,$C88+101000,101000+$C88))</f>
        <v>161875</v>
      </c>
      <c r="F90" s="1200">
        <f t="shared" si="17"/>
        <v>161875</v>
      </c>
      <c r="G90" s="1200">
        <f t="shared" si="17"/>
        <v>161875</v>
      </c>
      <c r="H90" s="1200">
        <f t="shared" si="17"/>
        <v>161875</v>
      </c>
      <c r="I90" s="1200">
        <f t="shared" si="17"/>
        <v>161875</v>
      </c>
      <c r="J90" s="1378">
        <f t="shared" si="17"/>
        <v>161875</v>
      </c>
      <c r="K90" s="1200">
        <f t="shared" si="17"/>
        <v>161875</v>
      </c>
      <c r="L90" s="1200">
        <f t="shared" si="17"/>
        <v>161875</v>
      </c>
      <c r="M90" s="1200">
        <f t="shared" si="17"/>
        <v>161875</v>
      </c>
      <c r="N90" s="1200">
        <f t="shared" si="17"/>
        <v>161875</v>
      </c>
      <c r="O90" s="1200">
        <f t="shared" si="17"/>
        <v>161875</v>
      </c>
      <c r="P90" s="1200">
        <f t="shared" si="17"/>
        <v>161875</v>
      </c>
      <c r="Q90" s="1378">
        <f t="shared" si="17"/>
        <v>161875</v>
      </c>
      <c r="R90" s="1200">
        <f t="shared" si="17"/>
        <v>161875</v>
      </c>
      <c r="S90" s="1200">
        <f t="shared" si="17"/>
        <v>161875</v>
      </c>
      <c r="T90" s="1200">
        <f t="shared" si="17"/>
        <v>161875</v>
      </c>
      <c r="U90" s="1200">
        <f t="shared" si="17"/>
        <v>161875</v>
      </c>
      <c r="V90" s="1200">
        <f t="shared" si="17"/>
        <v>161875</v>
      </c>
      <c r="W90" s="1200">
        <f t="shared" si="17"/>
        <v>161875</v>
      </c>
      <c r="X90" s="1200">
        <f t="shared" si="17"/>
        <v>161875</v>
      </c>
      <c r="Y90" s="1200">
        <f t="shared" si="17"/>
        <v>161875</v>
      </c>
      <c r="Z90" s="1200">
        <f t="shared" si="17"/>
        <v>161875</v>
      </c>
      <c r="AA90" s="1200">
        <f t="shared" si="17"/>
        <v>161875</v>
      </c>
      <c r="AB90" s="1200">
        <f t="shared" si="17"/>
        <v>161875</v>
      </c>
      <c r="AC90" s="1200">
        <f t="shared" si="17"/>
        <v>161875</v>
      </c>
      <c r="AD90" s="1281">
        <f t="shared" si="17"/>
        <v>161875</v>
      </c>
      <c r="AE90" s="1281">
        <f t="shared" si="17"/>
        <v>161875</v>
      </c>
      <c r="AF90" s="1281">
        <f t="shared" si="17"/>
        <v>161875</v>
      </c>
      <c r="AG90" s="1281">
        <f t="shared" si="17"/>
        <v>161875</v>
      </c>
      <c r="AH90" s="1281">
        <f t="shared" si="17"/>
        <v>161875</v>
      </c>
      <c r="AI90" s="1316"/>
    </row>
    <row r="91" spans="1:113" hidden="1">
      <c r="A91" s="1278" t="s">
        <v>1255</v>
      </c>
      <c r="B91" s="1279"/>
      <c r="C91" s="1280"/>
      <c r="D91" s="1326">
        <f>+IF($C85=4514,IF(D$6=4514,D$5,D$5+101000),IF(D$6=4515,D$5+101000,D$5))</f>
        <v>85950</v>
      </c>
      <c r="E91" s="1326">
        <f t="shared" ref="E91:AH91" si="18">+IF($C85=4514,IF(E$6=4514,E$5,E$5+101000),IF(E$6=4515,E$5+101000,E$5))</f>
        <v>85500</v>
      </c>
      <c r="F91" s="1200">
        <f t="shared" si="18"/>
        <v>106200</v>
      </c>
      <c r="G91" s="1200">
        <f t="shared" si="18"/>
        <v>110930</v>
      </c>
      <c r="H91" s="1200">
        <f t="shared" si="18"/>
        <v>109900</v>
      </c>
      <c r="I91" s="1200">
        <f t="shared" si="18"/>
        <v>110000</v>
      </c>
      <c r="J91" s="1378">
        <f t="shared" si="18"/>
        <v>116500</v>
      </c>
      <c r="K91" s="1200">
        <f t="shared" si="18"/>
        <v>117000</v>
      </c>
      <c r="L91" s="1200">
        <f t="shared" si="18"/>
        <v>124200</v>
      </c>
      <c r="M91" s="1200">
        <f t="shared" si="18"/>
        <v>126800</v>
      </c>
      <c r="N91" s="1200">
        <f t="shared" si="18"/>
        <v>144400</v>
      </c>
      <c r="O91" s="1200">
        <f t="shared" si="18"/>
        <v>146000</v>
      </c>
      <c r="P91" s="1200">
        <f t="shared" si="18"/>
        <v>47500</v>
      </c>
      <c r="Q91" s="1378">
        <f t="shared" si="18"/>
        <v>51000</v>
      </c>
      <c r="R91" s="1200">
        <f t="shared" si="18"/>
        <v>40000</v>
      </c>
      <c r="S91" s="1200">
        <f t="shared" si="18"/>
        <v>149800</v>
      </c>
      <c r="T91" s="1200">
        <f t="shared" si="18"/>
        <v>154650</v>
      </c>
      <c r="U91" s="1200">
        <f t="shared" si="18"/>
        <v>153350</v>
      </c>
      <c r="V91" s="1200">
        <f t="shared" si="18"/>
        <v>154730</v>
      </c>
      <c r="W91" s="1200">
        <f t="shared" si="18"/>
        <v>131000</v>
      </c>
      <c r="X91" s="1200">
        <f t="shared" si="18"/>
        <v>164700</v>
      </c>
      <c r="Y91" s="1200">
        <f t="shared" si="18"/>
        <v>173000</v>
      </c>
      <c r="Z91" s="1200">
        <f t="shared" si="18"/>
        <v>176000</v>
      </c>
      <c r="AA91" s="1200">
        <f t="shared" si="18"/>
        <v>185150</v>
      </c>
      <c r="AB91" s="1200">
        <f t="shared" si="18"/>
        <v>190920</v>
      </c>
      <c r="AC91" s="1200">
        <f t="shared" si="18"/>
        <v>190920</v>
      </c>
      <c r="AD91" s="1281">
        <f t="shared" si="18"/>
        <v>89950</v>
      </c>
      <c r="AE91" s="1281">
        <f t="shared" si="18"/>
        <v>129000</v>
      </c>
      <c r="AF91" s="1281">
        <f t="shared" si="18"/>
        <v>139000</v>
      </c>
      <c r="AG91" s="1281">
        <f t="shared" si="18"/>
        <v>172000</v>
      </c>
      <c r="AH91" s="1281">
        <f t="shared" si="18"/>
        <v>177800</v>
      </c>
      <c r="AI91" s="1316"/>
    </row>
    <row r="92" spans="1:113" ht="15" customHeight="1">
      <c r="A92" s="1623" t="s">
        <v>1266</v>
      </c>
      <c r="B92" s="1267" t="s">
        <v>1257</v>
      </c>
      <c r="C92" s="1282">
        <f>+'CANTIDADES Fase II todo'!CR25+'CANTIDADES Fase II todo'!CR28</f>
        <v>26404.975999999999</v>
      </c>
      <c r="D92" s="1236"/>
      <c r="E92" s="1354"/>
      <c r="F92" s="1237"/>
      <c r="G92" s="1237" t="e">
        <f>$C92*#REF!*#REF!</f>
        <v>#REF!</v>
      </c>
      <c r="H92" s="1237"/>
      <c r="I92" s="1237"/>
      <c r="J92" s="1386"/>
      <c r="K92" s="1237"/>
      <c r="L92" s="1237"/>
      <c r="M92" s="1237"/>
      <c r="N92" s="1237"/>
      <c r="O92" s="1237"/>
      <c r="P92" s="1237"/>
      <c r="Q92" s="1386"/>
      <c r="R92" s="1237"/>
      <c r="S92" s="1237"/>
      <c r="T92" s="1237"/>
      <c r="U92" s="1237"/>
      <c r="V92" s="1237"/>
      <c r="W92" s="1237"/>
      <c r="X92" s="1237"/>
      <c r="Y92" s="1237"/>
      <c r="Z92" s="1237"/>
      <c r="AA92" s="1237"/>
      <c r="AB92" s="1237"/>
      <c r="AC92" s="1237"/>
      <c r="AD92" s="1283"/>
      <c r="AE92" s="1283"/>
      <c r="AF92" s="1283"/>
      <c r="AG92" s="1283"/>
      <c r="AH92" s="1283"/>
      <c r="AI92" s="1317" t="e">
        <f>+SUMPRODUCT(D92:AH92,D89:AH89)</f>
        <v>#REF!</v>
      </c>
      <c r="AJ92" s="1185" t="e">
        <f>$C92*#REF!*#REF!</f>
        <v>#REF!</v>
      </c>
    </row>
    <row r="93" spans="1:113">
      <c r="A93" s="1623"/>
      <c r="B93" s="1267" t="s">
        <v>1258</v>
      </c>
      <c r="C93" s="1282">
        <f>+'CANTIDADES Fase II todo'!CR26</f>
        <v>9458.9740000000002</v>
      </c>
      <c r="D93" s="1236"/>
      <c r="E93" s="1354"/>
      <c r="F93" s="1237"/>
      <c r="G93" s="1237" t="e">
        <f>$C93*#REF!*#REF!</f>
        <v>#REF!</v>
      </c>
      <c r="H93" s="1237"/>
      <c r="I93" s="1237"/>
      <c r="J93" s="1386"/>
      <c r="K93" s="1237"/>
      <c r="L93" s="1237"/>
      <c r="M93" s="1237"/>
      <c r="N93" s="1237"/>
      <c r="O93" s="1237"/>
      <c r="P93" s="1237"/>
      <c r="Q93" s="1386"/>
      <c r="R93" s="1237"/>
      <c r="S93" s="1237"/>
      <c r="T93" s="1237"/>
      <c r="U93" s="1237"/>
      <c r="V93" s="1237"/>
      <c r="W93" s="1237"/>
      <c r="X93" s="1237"/>
      <c r="Y93" s="1237"/>
      <c r="Z93" s="1237"/>
      <c r="AA93" s="1237"/>
      <c r="AB93" s="1237"/>
      <c r="AC93" s="1237"/>
      <c r="AD93" s="1283"/>
      <c r="AE93" s="1283"/>
      <c r="AF93" s="1283"/>
      <c r="AG93" s="1283"/>
      <c r="AH93" s="1283"/>
      <c r="AI93" s="1317" t="e">
        <f>+SUMPRODUCT(D93:AH93,D89:AH89)</f>
        <v>#REF!</v>
      </c>
      <c r="AJ93" s="1185" t="e">
        <f>$C93*#REF!*#REF!</f>
        <v>#REF!</v>
      </c>
    </row>
    <row r="94" spans="1:113">
      <c r="A94" s="1623"/>
      <c r="B94" s="1267" t="s">
        <v>1259</v>
      </c>
      <c r="C94" s="1282">
        <f>+'CANTIDADES Fase II todo'!CR72</f>
        <v>45.183999999999997</v>
      </c>
      <c r="D94" s="1236"/>
      <c r="E94" s="1354"/>
      <c r="F94" s="1237"/>
      <c r="G94" s="1237"/>
      <c r="H94" s="1237"/>
      <c r="I94" s="1237"/>
      <c r="J94" s="1386"/>
      <c r="K94" s="1237"/>
      <c r="L94" s="1237"/>
      <c r="M94" s="1237"/>
      <c r="N94" s="1237"/>
      <c r="O94" s="1237"/>
      <c r="P94" s="1237"/>
      <c r="Q94" s="1386"/>
      <c r="R94" s="1237"/>
      <c r="S94" s="1237"/>
      <c r="T94" s="1237"/>
      <c r="U94" s="1237"/>
      <c r="V94" s="1237"/>
      <c r="W94" s="1237"/>
      <c r="X94" s="1237"/>
      <c r="Y94" s="1237"/>
      <c r="Z94" s="1237"/>
      <c r="AA94" s="1237"/>
      <c r="AB94" s="1237"/>
      <c r="AC94" s="1237"/>
      <c r="AD94" s="1283"/>
      <c r="AE94" s="1283"/>
      <c r="AF94" s="1283"/>
      <c r="AG94" s="1283" t="e">
        <f>+$C94*#REF!*#REF!</f>
        <v>#REF!</v>
      </c>
      <c r="AH94" s="1283"/>
      <c r="AI94" s="1317" t="e">
        <f>+SUMPRODUCT(D94:AH94,D89:AH89)</f>
        <v>#REF!</v>
      </c>
      <c r="AJ94" s="1236" t="e">
        <f>+$C94*#REF!*#REF!</f>
        <v>#REF!</v>
      </c>
    </row>
    <row r="95" spans="1:113">
      <c r="A95" s="1623"/>
      <c r="B95" s="1267" t="s">
        <v>1260</v>
      </c>
      <c r="C95" s="1282">
        <f>+'CANTIDADES Fase II todo'!CR83+'CANTIDADES Fase II todo'!CR84+'CANTIDADES Fase II todo'!CR85</f>
        <v>3681.038</v>
      </c>
      <c r="D95" s="1236"/>
      <c r="E95" s="1354"/>
      <c r="F95" s="1237"/>
      <c r="G95" s="1237"/>
      <c r="H95" s="1237"/>
      <c r="I95" s="1237"/>
      <c r="J95" s="1386"/>
      <c r="K95" s="1237"/>
      <c r="L95" s="1237"/>
      <c r="M95" s="1237"/>
      <c r="N95" s="1237"/>
      <c r="O95" s="1237"/>
      <c r="P95" s="1237"/>
      <c r="Q95" s="1386"/>
      <c r="R95" s="1237"/>
      <c r="S95" s="1237"/>
      <c r="T95" s="1237"/>
      <c r="U95" s="1237"/>
      <c r="V95" s="1237"/>
      <c r="W95" s="1237"/>
      <c r="X95" s="1237"/>
      <c r="Y95" s="1237"/>
      <c r="Z95" s="1237"/>
      <c r="AA95" s="1237"/>
      <c r="AB95" s="1237"/>
      <c r="AC95" s="1237"/>
      <c r="AD95" s="1283"/>
      <c r="AE95" s="1283"/>
      <c r="AF95" s="1283"/>
      <c r="AG95" s="1283" t="e">
        <f>+$C95*#REF!*#REF!</f>
        <v>#REF!</v>
      </c>
      <c r="AH95" s="1283"/>
      <c r="AI95" s="1317" t="e">
        <f>+SUMPRODUCT(D95:AH95,D89:AH89)</f>
        <v>#REF!</v>
      </c>
      <c r="AJ95" s="1185" t="e">
        <f>+$C95*#REF!*#REF!</f>
        <v>#REF!</v>
      </c>
    </row>
    <row r="96" spans="1:113">
      <c r="A96" s="1624"/>
      <c r="B96" s="1292" t="s">
        <v>1261</v>
      </c>
      <c r="C96" s="1293">
        <f>+'CANTIDADES Fase II todo'!CR92+'CANTIDADES Fase II todo'!CR93</f>
        <v>987.33249999999998</v>
      </c>
      <c r="D96" s="1243"/>
      <c r="E96" s="1359"/>
      <c r="F96" s="1244"/>
      <c r="G96" s="1244"/>
      <c r="H96" s="1244"/>
      <c r="I96" s="1244"/>
      <c r="J96" s="1391"/>
      <c r="K96" s="1244"/>
      <c r="L96" s="1244"/>
      <c r="M96" s="1244"/>
      <c r="N96" s="1244"/>
      <c r="O96" s="1244"/>
      <c r="P96" s="1244"/>
      <c r="Q96" s="1391"/>
      <c r="R96" s="1244"/>
      <c r="S96" s="1244"/>
      <c r="T96" s="1244"/>
      <c r="U96" s="1244"/>
      <c r="V96" s="1244"/>
      <c r="W96" s="1244"/>
      <c r="X96" s="1244"/>
      <c r="Y96" s="1244"/>
      <c r="Z96" s="1244"/>
      <c r="AA96" s="1244"/>
      <c r="AB96" s="1244"/>
      <c r="AC96" s="1244"/>
      <c r="AD96" s="1294" t="e">
        <f>+$C96*#REF!*#REF!</f>
        <v>#REF!</v>
      </c>
      <c r="AE96" s="1294"/>
      <c r="AF96" s="1294"/>
      <c r="AG96" s="1294"/>
      <c r="AH96" s="1294"/>
      <c r="AI96" s="1318" t="e">
        <f>+SUMPRODUCT(D96:AH96,D89:AH89)</f>
        <v>#REF!</v>
      </c>
      <c r="AJ96" s="1185" t="e">
        <f>+$C96*#REF!*#REF!</f>
        <v>#REF!</v>
      </c>
    </row>
    <row r="97" spans="1:113">
      <c r="A97" s="1253" t="s">
        <v>1247</v>
      </c>
      <c r="B97" s="1310"/>
      <c r="C97" s="1255" t="s">
        <v>1470</v>
      </c>
      <c r="D97" s="1366"/>
      <c r="E97" s="1367"/>
      <c r="F97" s="1257"/>
      <c r="G97" s="1257"/>
      <c r="H97" s="1257"/>
      <c r="I97" s="1257"/>
      <c r="J97" s="1368"/>
      <c r="K97" s="1257"/>
      <c r="L97" s="1257"/>
      <c r="M97" s="1257"/>
      <c r="N97" s="1257"/>
      <c r="O97" s="1257"/>
      <c r="P97" s="1257"/>
      <c r="Q97" s="1368"/>
      <c r="R97" s="1257"/>
      <c r="S97" s="1257"/>
      <c r="T97" s="1257"/>
      <c r="U97" s="1257"/>
      <c r="V97" s="1257"/>
      <c r="W97" s="1257"/>
      <c r="X97" s="1257"/>
      <c r="Y97" s="1257"/>
      <c r="Z97" s="1257"/>
      <c r="AA97" s="1257"/>
      <c r="AB97" s="1257"/>
      <c r="AC97" s="1257"/>
      <c r="AD97" s="1312"/>
      <c r="AE97" s="1312"/>
      <c r="AF97" s="1312"/>
      <c r="AG97" s="1312"/>
      <c r="AH97" s="1312"/>
      <c r="AI97" s="1313"/>
      <c r="AJ97" s="1260"/>
      <c r="AK97" s="1260"/>
      <c r="AL97" s="1260"/>
      <c r="AM97" s="1260"/>
      <c r="AN97" s="1260"/>
      <c r="AO97" s="1260"/>
      <c r="AP97" s="1260"/>
      <c r="AQ97" s="1260"/>
      <c r="AR97" s="1260"/>
      <c r="AS97" s="1260"/>
      <c r="AT97" s="1260"/>
      <c r="AU97" s="1260"/>
      <c r="AV97" s="1260"/>
      <c r="AW97" s="1260"/>
      <c r="AX97" s="1260"/>
      <c r="AY97" s="1260"/>
      <c r="AZ97" s="1260"/>
      <c r="BA97" s="1260"/>
      <c r="BB97" s="1260"/>
      <c r="BC97" s="1260"/>
      <c r="BD97" s="1260"/>
      <c r="BE97" s="1260"/>
      <c r="BF97" s="1260"/>
      <c r="BG97" s="1260"/>
      <c r="BH97" s="1260"/>
      <c r="BI97" s="1260"/>
      <c r="BJ97" s="1260"/>
      <c r="BK97" s="1260"/>
      <c r="BL97" s="1260"/>
      <c r="BM97" s="1260"/>
      <c r="BN97" s="1260"/>
      <c r="BO97" s="1260"/>
      <c r="BP97" s="1260"/>
      <c r="BQ97" s="1260"/>
      <c r="BR97" s="1260"/>
      <c r="BS97" s="1260"/>
      <c r="BT97" s="1260"/>
      <c r="BU97" s="1260"/>
      <c r="BV97" s="1260"/>
      <c r="BW97" s="1260"/>
      <c r="BX97" s="1260"/>
      <c r="BY97" s="1260"/>
      <c r="BZ97" s="1260"/>
      <c r="CA97" s="1260"/>
      <c r="CB97" s="1260"/>
      <c r="CC97" s="1260"/>
      <c r="CD97" s="1260"/>
      <c r="CE97" s="1260"/>
      <c r="CF97" s="1260"/>
      <c r="CG97" s="1260"/>
      <c r="CH97" s="1260"/>
      <c r="CI97" s="1260"/>
      <c r="CJ97" s="1260"/>
      <c r="CK97" s="1260"/>
      <c r="CL97" s="1260"/>
      <c r="CM97" s="1260"/>
      <c r="CN97" s="1260"/>
      <c r="CO97" s="1260"/>
      <c r="CP97" s="1260"/>
      <c r="CQ97" s="1260"/>
      <c r="CR97" s="1260"/>
      <c r="CS97" s="1260"/>
      <c r="CT97" s="1260"/>
      <c r="CU97" s="1260"/>
      <c r="CV97" s="1260"/>
      <c r="CW97" s="1260"/>
      <c r="CX97" s="1260"/>
      <c r="CY97" s="1260"/>
      <c r="CZ97" s="1260"/>
      <c r="DA97" s="1260"/>
      <c r="DB97" s="1260"/>
      <c r="DC97" s="1260"/>
      <c r="DD97" s="1260"/>
      <c r="DE97" s="1260"/>
      <c r="DF97" s="1260"/>
      <c r="DG97" s="1260"/>
      <c r="DH97" s="1260"/>
      <c r="DI97" s="1260"/>
    </row>
    <row r="98" spans="1:113">
      <c r="A98" s="1261" t="s">
        <v>1227</v>
      </c>
      <c r="B98" s="1262"/>
      <c r="C98" s="1263">
        <v>4515</v>
      </c>
      <c r="D98" s="1369"/>
      <c r="E98" s="1370"/>
      <c r="F98" s="1265"/>
      <c r="G98" s="1265"/>
      <c r="H98" s="1265"/>
      <c r="I98" s="1265"/>
      <c r="J98" s="1371"/>
      <c r="K98" s="1265"/>
      <c r="L98" s="1265"/>
      <c r="M98" s="1265"/>
      <c r="N98" s="1265"/>
      <c r="O98" s="1265"/>
      <c r="P98" s="1265"/>
      <c r="Q98" s="1371"/>
      <c r="R98" s="1265"/>
      <c r="S98" s="1265"/>
      <c r="T98" s="1265"/>
      <c r="U98" s="1265"/>
      <c r="V98" s="1265"/>
      <c r="W98" s="1265"/>
      <c r="X98" s="1265"/>
      <c r="Y98" s="1265"/>
      <c r="Z98" s="1265"/>
      <c r="AA98" s="1265"/>
      <c r="AB98" s="1265"/>
      <c r="AC98" s="1265"/>
      <c r="AD98" s="1314"/>
      <c r="AE98" s="1314"/>
      <c r="AF98" s="1314"/>
      <c r="AG98" s="1314"/>
      <c r="AH98" s="1314"/>
      <c r="AI98" s="1313"/>
      <c r="AJ98" s="1260"/>
      <c r="AK98" s="1260"/>
      <c r="AL98" s="1260"/>
      <c r="AM98" s="1260"/>
      <c r="AN98" s="1260"/>
      <c r="AO98" s="1260"/>
      <c r="AP98" s="1260"/>
      <c r="AQ98" s="1260"/>
      <c r="AR98" s="1260"/>
      <c r="AS98" s="1260"/>
      <c r="AT98" s="1260"/>
      <c r="AU98" s="1260"/>
      <c r="AV98" s="1260"/>
      <c r="AW98" s="1260"/>
      <c r="AX98" s="1260"/>
      <c r="AY98" s="1260"/>
      <c r="AZ98" s="1260"/>
      <c r="BA98" s="1260"/>
      <c r="BB98" s="1260"/>
      <c r="BC98" s="1260"/>
      <c r="BD98" s="1260"/>
      <c r="BE98" s="1260"/>
      <c r="BF98" s="1260"/>
      <c r="BG98" s="1260"/>
      <c r="BH98" s="1260"/>
      <c r="BI98" s="1260"/>
      <c r="BJ98" s="1260"/>
      <c r="BK98" s="1260"/>
      <c r="BL98" s="1260"/>
      <c r="BM98" s="1260"/>
      <c r="BN98" s="1260"/>
      <c r="BO98" s="1260"/>
      <c r="BP98" s="1260"/>
      <c r="BQ98" s="1260"/>
      <c r="BR98" s="1260"/>
      <c r="BS98" s="1260"/>
      <c r="BT98" s="1260"/>
      <c r="BU98" s="1260"/>
      <c r="BV98" s="1260"/>
      <c r="BW98" s="1260"/>
      <c r="BX98" s="1260"/>
      <c r="BY98" s="1260"/>
      <c r="BZ98" s="1260"/>
      <c r="CA98" s="1260"/>
      <c r="CB98" s="1260"/>
      <c r="CC98" s="1260"/>
      <c r="CD98" s="1260"/>
      <c r="CE98" s="1260"/>
      <c r="CF98" s="1260"/>
      <c r="CG98" s="1260"/>
      <c r="CH98" s="1260"/>
      <c r="CI98" s="1260"/>
      <c r="CJ98" s="1260"/>
      <c r="CK98" s="1260"/>
      <c r="CL98" s="1260"/>
      <c r="CM98" s="1260"/>
      <c r="CN98" s="1260"/>
      <c r="CO98" s="1260"/>
      <c r="CP98" s="1260"/>
      <c r="CQ98" s="1260"/>
      <c r="CR98" s="1260"/>
      <c r="CS98" s="1260"/>
      <c r="CT98" s="1260"/>
      <c r="CU98" s="1260"/>
      <c r="CV98" s="1260"/>
      <c r="CW98" s="1260"/>
      <c r="CX98" s="1260"/>
      <c r="CY98" s="1260"/>
      <c r="CZ98" s="1260"/>
      <c r="DA98" s="1260"/>
      <c r="DB98" s="1260"/>
      <c r="DC98" s="1260"/>
      <c r="DD98" s="1260"/>
      <c r="DE98" s="1260"/>
      <c r="DF98" s="1260"/>
      <c r="DG98" s="1260"/>
      <c r="DH98" s="1260"/>
      <c r="DI98" s="1260"/>
    </row>
    <row r="99" spans="1:113" ht="15" customHeight="1">
      <c r="A99" s="1622" t="s">
        <v>1249</v>
      </c>
      <c r="B99" s="1267" t="s">
        <v>1250</v>
      </c>
      <c r="C99" s="1268">
        <v>56550</v>
      </c>
      <c r="D99" s="1372"/>
      <c r="E99" s="1373"/>
      <c r="F99" s="1270"/>
      <c r="G99" s="1270"/>
      <c r="H99" s="1270"/>
      <c r="I99" s="1270"/>
      <c r="J99" s="1374"/>
      <c r="K99" s="1270"/>
      <c r="L99" s="1270"/>
      <c r="M99" s="1270"/>
      <c r="N99" s="1270"/>
      <c r="O99" s="1270"/>
      <c r="P99" s="1270"/>
      <c r="Q99" s="1374"/>
      <c r="R99" s="1270"/>
      <c r="S99" s="1270"/>
      <c r="T99" s="1270"/>
      <c r="U99" s="1270"/>
      <c r="V99" s="1270"/>
      <c r="W99" s="1270"/>
      <c r="X99" s="1270"/>
      <c r="Y99" s="1270"/>
      <c r="Z99" s="1270"/>
      <c r="AA99" s="1270"/>
      <c r="AB99" s="1270"/>
      <c r="AC99" s="1270"/>
      <c r="AD99" s="1303"/>
      <c r="AE99" s="1303"/>
      <c r="AF99" s="1303"/>
      <c r="AG99" s="1303"/>
      <c r="AH99" s="1303"/>
      <c r="AI99" s="1313"/>
      <c r="AJ99" s="1260"/>
      <c r="AK99" s="1260"/>
      <c r="AL99" s="1260"/>
      <c r="AM99" s="1260"/>
      <c r="AN99" s="1260"/>
      <c r="AO99" s="1260"/>
      <c r="AP99" s="1260"/>
      <c r="AQ99" s="1260"/>
      <c r="AR99" s="1260"/>
      <c r="AS99" s="1260"/>
      <c r="AT99" s="1260"/>
      <c r="AU99" s="1260"/>
      <c r="AV99" s="1260"/>
      <c r="AW99" s="1260"/>
      <c r="AX99" s="1260"/>
      <c r="AY99" s="1260"/>
      <c r="AZ99" s="1260"/>
      <c r="BA99" s="1260"/>
      <c r="BB99" s="1260"/>
      <c r="BC99" s="1260"/>
      <c r="BD99" s="1260"/>
      <c r="BE99" s="1260"/>
      <c r="BF99" s="1260"/>
      <c r="BG99" s="1260"/>
      <c r="BH99" s="1260"/>
      <c r="BI99" s="1260"/>
      <c r="BJ99" s="1260"/>
      <c r="BK99" s="1260"/>
      <c r="BL99" s="1260"/>
      <c r="BM99" s="1260"/>
      <c r="BN99" s="1260"/>
      <c r="BO99" s="1260"/>
      <c r="BP99" s="1260"/>
      <c r="BQ99" s="1260"/>
      <c r="BR99" s="1260"/>
      <c r="BS99" s="1260"/>
      <c r="BT99" s="1260"/>
      <c r="BU99" s="1260"/>
      <c r="BV99" s="1260"/>
      <c r="BW99" s="1260"/>
      <c r="BX99" s="1260"/>
      <c r="BY99" s="1260"/>
      <c r="BZ99" s="1260"/>
      <c r="CA99" s="1260"/>
      <c r="CB99" s="1260"/>
      <c r="CC99" s="1260"/>
      <c r="CD99" s="1260"/>
      <c r="CE99" s="1260"/>
      <c r="CF99" s="1260"/>
      <c r="CG99" s="1260"/>
      <c r="CH99" s="1260"/>
      <c r="CI99" s="1260"/>
      <c r="CJ99" s="1260"/>
      <c r="CK99" s="1260"/>
      <c r="CL99" s="1260"/>
      <c r="CM99" s="1260"/>
      <c r="CN99" s="1260"/>
      <c r="CO99" s="1260"/>
      <c r="CP99" s="1260"/>
      <c r="CQ99" s="1260"/>
      <c r="CR99" s="1260"/>
      <c r="CS99" s="1260"/>
      <c r="CT99" s="1260"/>
      <c r="CU99" s="1260"/>
      <c r="CV99" s="1260"/>
      <c r="CW99" s="1260"/>
      <c r="CX99" s="1260"/>
      <c r="CY99" s="1260"/>
      <c r="CZ99" s="1260"/>
      <c r="DA99" s="1260"/>
      <c r="DB99" s="1260"/>
      <c r="DC99" s="1260"/>
      <c r="DD99" s="1260"/>
      <c r="DE99" s="1260"/>
      <c r="DF99" s="1260"/>
      <c r="DG99" s="1260"/>
      <c r="DH99" s="1260"/>
      <c r="DI99" s="1260"/>
    </row>
    <row r="100" spans="1:113">
      <c r="A100" s="1622"/>
      <c r="B100" s="1267" t="s">
        <v>1251</v>
      </c>
      <c r="C100" s="1268">
        <v>65995</v>
      </c>
      <c r="D100" s="1372"/>
      <c r="E100" s="1373"/>
      <c r="F100" s="1270"/>
      <c r="G100" s="1270"/>
      <c r="H100" s="1270"/>
      <c r="I100" s="1270"/>
      <c r="J100" s="1374"/>
      <c r="K100" s="1270"/>
      <c r="L100" s="1270"/>
      <c r="M100" s="1270"/>
      <c r="N100" s="1270"/>
      <c r="O100" s="1270"/>
      <c r="P100" s="1270"/>
      <c r="Q100" s="1374"/>
      <c r="R100" s="1270"/>
      <c r="S100" s="1270"/>
      <c r="T100" s="1270"/>
      <c r="U100" s="1270"/>
      <c r="V100" s="1270"/>
      <c r="W100" s="1270"/>
      <c r="X100" s="1270"/>
      <c r="Y100" s="1270"/>
      <c r="Z100" s="1270"/>
      <c r="AA100" s="1270"/>
      <c r="AB100" s="1270"/>
      <c r="AC100" s="1270"/>
      <c r="AD100" s="1315"/>
      <c r="AE100" s="1315"/>
      <c r="AF100" s="1315"/>
      <c r="AG100" s="1315"/>
      <c r="AH100" s="1315"/>
      <c r="AI100" s="1316"/>
    </row>
    <row r="101" spans="1:113">
      <c r="A101" s="1272" t="s">
        <v>1252</v>
      </c>
      <c r="B101" s="1273"/>
      <c r="C101" s="1268">
        <f>+(C100-C99)/2+C99</f>
        <v>61272.5</v>
      </c>
      <c r="D101" s="1372"/>
      <c r="E101" s="1373"/>
      <c r="F101" s="1270"/>
      <c r="G101" s="1270"/>
      <c r="H101" s="1270"/>
      <c r="I101" s="1270"/>
      <c r="J101" s="1374"/>
      <c r="K101" s="1270"/>
      <c r="L101" s="1270"/>
      <c r="M101" s="1270"/>
      <c r="N101" s="1270"/>
      <c r="O101" s="1270"/>
      <c r="P101" s="1270"/>
      <c r="Q101" s="1374"/>
      <c r="R101" s="1270"/>
      <c r="S101" s="1270"/>
      <c r="T101" s="1270"/>
      <c r="U101" s="1270"/>
      <c r="V101" s="1270"/>
      <c r="W101" s="1270"/>
      <c r="X101" s="1270"/>
      <c r="Y101" s="1270"/>
      <c r="Z101" s="1270"/>
      <c r="AA101" s="1270"/>
      <c r="AB101" s="1270"/>
      <c r="AC101" s="1270"/>
      <c r="AD101" s="1315"/>
      <c r="AE101" s="1315"/>
      <c r="AF101" s="1315"/>
      <c r="AG101" s="1315"/>
      <c r="AH101" s="1315"/>
      <c r="AI101" s="1316"/>
    </row>
    <row r="102" spans="1:113">
      <c r="A102" s="1272" t="s">
        <v>1253</v>
      </c>
      <c r="B102" s="1273"/>
      <c r="C102" s="1274"/>
      <c r="D102" s="1390">
        <f>IF(D104&gt;D103,(D104-D103)+D$2*1000+D$3*1000,(D103-D104)+D$2*1000+D$4*1000)/1000</f>
        <v>76.322500000000005</v>
      </c>
      <c r="E102" s="1376">
        <f t="shared" ref="E102:AH102" si="19">IF(E104&gt;E103,(E104-E103)+E$2*1000+E$3*1000,(E103-E104)+E$2*1000+E$4*1000)/1000</f>
        <v>76.772499999999994</v>
      </c>
      <c r="F102" s="1276">
        <f t="shared" si="19"/>
        <v>56.072499999999998</v>
      </c>
      <c r="G102" s="1276">
        <f t="shared" si="19"/>
        <v>52.342500000000001</v>
      </c>
      <c r="H102" s="1276">
        <f t="shared" si="19"/>
        <v>52.372500000000002</v>
      </c>
      <c r="I102" s="1276">
        <f t="shared" si="19"/>
        <v>53.272500000000001</v>
      </c>
      <c r="J102" s="1377">
        <f t="shared" si="19"/>
        <v>45.772500000000001</v>
      </c>
      <c r="K102" s="1276">
        <f t="shared" si="19"/>
        <v>45.272500000000001</v>
      </c>
      <c r="L102" s="1276">
        <f t="shared" si="19"/>
        <v>38.072499999999998</v>
      </c>
      <c r="M102" s="1276">
        <f t="shared" si="19"/>
        <v>39.972499999999997</v>
      </c>
      <c r="N102" s="1276">
        <f t="shared" si="19"/>
        <v>17.872499999999999</v>
      </c>
      <c r="O102" s="1276">
        <f t="shared" si="19"/>
        <v>16.272500000000001</v>
      </c>
      <c r="P102" s="1276">
        <f t="shared" si="19"/>
        <v>115.27249999999999</v>
      </c>
      <c r="Q102" s="1377">
        <f t="shared" si="19"/>
        <v>111.27249999999999</v>
      </c>
      <c r="R102" s="1276">
        <f t="shared" si="19"/>
        <v>123.57250000000001</v>
      </c>
      <c r="S102" s="1276">
        <f t="shared" si="19"/>
        <v>15.4725</v>
      </c>
      <c r="T102" s="1276">
        <f t="shared" si="19"/>
        <v>9.4224999999999994</v>
      </c>
      <c r="U102" s="1276">
        <f t="shared" si="19"/>
        <v>10.3225</v>
      </c>
      <c r="V102" s="1276">
        <f t="shared" si="19"/>
        <v>9.8424999999999994</v>
      </c>
      <c r="W102" s="1276">
        <f t="shared" si="19"/>
        <v>31.272500000000001</v>
      </c>
      <c r="X102" s="1276">
        <f t="shared" si="19"/>
        <v>2.4275000000000002</v>
      </c>
      <c r="Y102" s="1276">
        <f t="shared" si="19"/>
        <v>11.727499999999999</v>
      </c>
      <c r="Z102" s="1276">
        <f t="shared" si="19"/>
        <v>17.5275</v>
      </c>
      <c r="AA102" s="1276">
        <f t="shared" si="19"/>
        <v>24.077500000000001</v>
      </c>
      <c r="AB102" s="1276">
        <f t="shared" si="19"/>
        <v>28.647500000000001</v>
      </c>
      <c r="AC102" s="1276">
        <f t="shared" si="19"/>
        <v>35.147500000000001</v>
      </c>
      <c r="AD102" s="1277">
        <f t="shared" si="19"/>
        <v>72.322500000000005</v>
      </c>
      <c r="AE102" s="1277">
        <f t="shared" si="19"/>
        <v>33.272500000000001</v>
      </c>
      <c r="AF102" s="1277">
        <f t="shared" si="19"/>
        <v>23.272500000000001</v>
      </c>
      <c r="AG102" s="1277">
        <f t="shared" si="19"/>
        <v>9.7274999999999991</v>
      </c>
      <c r="AH102" s="1277">
        <f t="shared" si="19"/>
        <v>21.5275</v>
      </c>
      <c r="AI102" s="1316"/>
    </row>
    <row r="103" spans="1:113" hidden="1">
      <c r="A103" s="1278" t="s">
        <v>1254</v>
      </c>
      <c r="B103" s="1279"/>
      <c r="C103" s="1280"/>
      <c r="D103" s="1326">
        <f>+IF($C98=4514,IF(D$6=4514,$C101,$C101),IF(D$6=4515,$C101+101000,101000+$C101))</f>
        <v>162272.5</v>
      </c>
      <c r="E103" s="1326">
        <f t="shared" ref="E103:AH103" si="20">+IF($C98=4514,IF(E$6=4514,$C101,$C101),IF(E$6=4515,$C101+101000,101000+$C101))</f>
        <v>162272.5</v>
      </c>
      <c r="F103" s="1200">
        <f t="shared" si="20"/>
        <v>162272.5</v>
      </c>
      <c r="G103" s="1200">
        <f t="shared" si="20"/>
        <v>162272.5</v>
      </c>
      <c r="H103" s="1200">
        <f t="shared" si="20"/>
        <v>162272.5</v>
      </c>
      <c r="I103" s="1200">
        <f t="shared" si="20"/>
        <v>162272.5</v>
      </c>
      <c r="J103" s="1378">
        <f t="shared" si="20"/>
        <v>162272.5</v>
      </c>
      <c r="K103" s="1200">
        <f t="shared" si="20"/>
        <v>162272.5</v>
      </c>
      <c r="L103" s="1200">
        <f t="shared" si="20"/>
        <v>162272.5</v>
      </c>
      <c r="M103" s="1200">
        <f t="shared" si="20"/>
        <v>162272.5</v>
      </c>
      <c r="N103" s="1200">
        <f t="shared" si="20"/>
        <v>162272.5</v>
      </c>
      <c r="O103" s="1200">
        <f t="shared" si="20"/>
        <v>162272.5</v>
      </c>
      <c r="P103" s="1200">
        <f t="shared" si="20"/>
        <v>162272.5</v>
      </c>
      <c r="Q103" s="1378">
        <f t="shared" si="20"/>
        <v>162272.5</v>
      </c>
      <c r="R103" s="1200">
        <f t="shared" si="20"/>
        <v>162272.5</v>
      </c>
      <c r="S103" s="1200">
        <f t="shared" si="20"/>
        <v>162272.5</v>
      </c>
      <c r="T103" s="1200">
        <f t="shared" si="20"/>
        <v>162272.5</v>
      </c>
      <c r="U103" s="1200">
        <f t="shared" si="20"/>
        <v>162272.5</v>
      </c>
      <c r="V103" s="1200">
        <f t="shared" si="20"/>
        <v>162272.5</v>
      </c>
      <c r="W103" s="1200">
        <f t="shared" si="20"/>
        <v>162272.5</v>
      </c>
      <c r="X103" s="1200">
        <f t="shared" si="20"/>
        <v>162272.5</v>
      </c>
      <c r="Y103" s="1200">
        <f t="shared" si="20"/>
        <v>162272.5</v>
      </c>
      <c r="Z103" s="1200">
        <f t="shared" si="20"/>
        <v>162272.5</v>
      </c>
      <c r="AA103" s="1200">
        <f t="shared" si="20"/>
        <v>162272.5</v>
      </c>
      <c r="AB103" s="1200">
        <f t="shared" si="20"/>
        <v>162272.5</v>
      </c>
      <c r="AC103" s="1200">
        <f t="shared" si="20"/>
        <v>162272.5</v>
      </c>
      <c r="AD103" s="1281">
        <f t="shared" si="20"/>
        <v>162272.5</v>
      </c>
      <c r="AE103" s="1281">
        <f t="shared" si="20"/>
        <v>162272.5</v>
      </c>
      <c r="AF103" s="1281">
        <f t="shared" si="20"/>
        <v>162272.5</v>
      </c>
      <c r="AG103" s="1281">
        <f t="shared" si="20"/>
        <v>162272.5</v>
      </c>
      <c r="AH103" s="1281">
        <f t="shared" si="20"/>
        <v>162272.5</v>
      </c>
      <c r="AI103" s="1316"/>
    </row>
    <row r="104" spans="1:113" hidden="1">
      <c r="A104" s="1278" t="s">
        <v>1255</v>
      </c>
      <c r="B104" s="1279"/>
      <c r="C104" s="1280"/>
      <c r="D104" s="1326">
        <f>+IF($C98=4514,IF(D$6=4514,D$5,D$5+101000),IF(D$6=4515,D$5+101000,D$5))</f>
        <v>85950</v>
      </c>
      <c r="E104" s="1326">
        <f t="shared" ref="E104:AH104" si="21">+IF($C98=4514,IF(E$6=4514,E$5,E$5+101000),IF(E$6=4515,E$5+101000,E$5))</f>
        <v>85500</v>
      </c>
      <c r="F104" s="1200">
        <f t="shared" si="21"/>
        <v>106200</v>
      </c>
      <c r="G104" s="1200">
        <f t="shared" si="21"/>
        <v>110930</v>
      </c>
      <c r="H104" s="1200">
        <f t="shared" si="21"/>
        <v>109900</v>
      </c>
      <c r="I104" s="1200">
        <f t="shared" si="21"/>
        <v>110000</v>
      </c>
      <c r="J104" s="1378">
        <f t="shared" si="21"/>
        <v>116500</v>
      </c>
      <c r="K104" s="1200">
        <f t="shared" si="21"/>
        <v>117000</v>
      </c>
      <c r="L104" s="1200">
        <f t="shared" si="21"/>
        <v>124200</v>
      </c>
      <c r="M104" s="1200">
        <f t="shared" si="21"/>
        <v>126800</v>
      </c>
      <c r="N104" s="1200">
        <f t="shared" si="21"/>
        <v>144400</v>
      </c>
      <c r="O104" s="1200">
        <f t="shared" si="21"/>
        <v>146000</v>
      </c>
      <c r="P104" s="1200">
        <f t="shared" si="21"/>
        <v>47500</v>
      </c>
      <c r="Q104" s="1378">
        <f t="shared" si="21"/>
        <v>51000</v>
      </c>
      <c r="R104" s="1200">
        <f t="shared" si="21"/>
        <v>40000</v>
      </c>
      <c r="S104" s="1200">
        <f t="shared" si="21"/>
        <v>149800</v>
      </c>
      <c r="T104" s="1200">
        <f t="shared" si="21"/>
        <v>154650</v>
      </c>
      <c r="U104" s="1200">
        <f t="shared" si="21"/>
        <v>153350</v>
      </c>
      <c r="V104" s="1200">
        <f t="shared" si="21"/>
        <v>154730</v>
      </c>
      <c r="W104" s="1200">
        <f t="shared" si="21"/>
        <v>131000</v>
      </c>
      <c r="X104" s="1200">
        <f t="shared" si="21"/>
        <v>164700</v>
      </c>
      <c r="Y104" s="1200">
        <f t="shared" si="21"/>
        <v>173000</v>
      </c>
      <c r="Z104" s="1200">
        <f t="shared" si="21"/>
        <v>176000</v>
      </c>
      <c r="AA104" s="1200">
        <f t="shared" si="21"/>
        <v>185150</v>
      </c>
      <c r="AB104" s="1200">
        <f t="shared" si="21"/>
        <v>190920</v>
      </c>
      <c r="AC104" s="1200">
        <f t="shared" si="21"/>
        <v>190920</v>
      </c>
      <c r="AD104" s="1281">
        <f t="shared" si="21"/>
        <v>89950</v>
      </c>
      <c r="AE104" s="1281">
        <f t="shared" si="21"/>
        <v>129000</v>
      </c>
      <c r="AF104" s="1281">
        <f t="shared" si="21"/>
        <v>139000</v>
      </c>
      <c r="AG104" s="1281">
        <f t="shared" si="21"/>
        <v>172000</v>
      </c>
      <c r="AH104" s="1281">
        <f t="shared" si="21"/>
        <v>177800</v>
      </c>
      <c r="AI104" s="1316"/>
    </row>
    <row r="105" spans="1:113" ht="15" customHeight="1">
      <c r="A105" s="1623" t="s">
        <v>1266</v>
      </c>
      <c r="B105" s="1267" t="s">
        <v>1257</v>
      </c>
      <c r="C105" s="1398">
        <f>+'CANTIDADES Fase II todo'!CO25+'CANTIDADES Fase II todo'!CO28</f>
        <v>23265.451999999997</v>
      </c>
      <c r="D105" s="1237"/>
      <c r="E105" s="1354"/>
      <c r="F105" s="1237"/>
      <c r="G105" s="1237"/>
      <c r="H105" s="1237"/>
      <c r="I105" s="1237"/>
      <c r="J105" s="1386"/>
      <c r="K105" s="1237"/>
      <c r="L105" s="1237"/>
      <c r="M105" s="1237"/>
      <c r="N105" s="1237"/>
      <c r="O105" s="1237"/>
      <c r="P105" s="1237"/>
      <c r="Q105" s="1386"/>
      <c r="R105" s="1237"/>
      <c r="S105" s="1237"/>
      <c r="T105" s="1237"/>
      <c r="U105" s="1237"/>
      <c r="V105" s="1237" t="e">
        <f>$C105*#REF!*#REF!</f>
        <v>#REF!</v>
      </c>
      <c r="W105" s="1237"/>
      <c r="X105" s="1237"/>
      <c r="Y105" s="1237"/>
      <c r="Z105" s="1237"/>
      <c r="AA105" s="1237"/>
      <c r="AB105" s="1237"/>
      <c r="AC105" s="1237"/>
      <c r="AD105" s="1283"/>
      <c r="AE105" s="1283"/>
      <c r="AF105" s="1283"/>
      <c r="AG105" s="1283"/>
      <c r="AH105" s="1283"/>
      <c r="AI105" s="1317" t="e">
        <f>+SUMPRODUCT(D105:AH105,D102:AH102)</f>
        <v>#REF!</v>
      </c>
      <c r="AJ105" s="1185" t="e">
        <f>$C105*#REF!*#REF!</f>
        <v>#REF!</v>
      </c>
    </row>
    <row r="106" spans="1:113">
      <c r="A106" s="1623"/>
      <c r="B106" s="1267" t="s">
        <v>1258</v>
      </c>
      <c r="C106" s="1398">
        <f>+'CANTIDADES Fase II todo'!CO26</f>
        <v>17768.628000000001</v>
      </c>
      <c r="D106" s="1237"/>
      <c r="E106" s="1354"/>
      <c r="F106" s="1237"/>
      <c r="G106" s="1237"/>
      <c r="H106" s="1237"/>
      <c r="I106" s="1237"/>
      <c r="J106" s="1386"/>
      <c r="K106" s="1237"/>
      <c r="L106" s="1237"/>
      <c r="M106" s="1237"/>
      <c r="N106" s="1237"/>
      <c r="O106" s="1237"/>
      <c r="P106" s="1237"/>
      <c r="Q106" s="1386"/>
      <c r="R106" s="1237"/>
      <c r="S106" s="1237"/>
      <c r="T106" s="1237"/>
      <c r="U106" s="1237"/>
      <c r="V106" s="1237" t="e">
        <f>$C106*#REF!*#REF!</f>
        <v>#REF!</v>
      </c>
      <c r="W106" s="1237"/>
      <c r="X106" s="1237"/>
      <c r="Y106" s="1237"/>
      <c r="Z106" s="1237"/>
      <c r="AA106" s="1237"/>
      <c r="AB106" s="1237"/>
      <c r="AC106" s="1237"/>
      <c r="AD106" s="1283"/>
      <c r="AE106" s="1283"/>
      <c r="AF106" s="1283"/>
      <c r="AG106" s="1283"/>
      <c r="AH106" s="1283"/>
      <c r="AI106" s="1317" t="e">
        <f>+SUMPRODUCT(D106:AH106,D102:AH102)</f>
        <v>#REF!</v>
      </c>
      <c r="AJ106" s="1185" t="e">
        <f>$C106*#REF!*#REF!</f>
        <v>#REF!</v>
      </c>
    </row>
    <row r="107" spans="1:113">
      <c r="A107" s="1623"/>
      <c r="B107" s="1267" t="s">
        <v>1259</v>
      </c>
      <c r="C107" s="1398">
        <f>+'CANTIDADES Fase II todo'!CO72</f>
        <v>243.85700000000003</v>
      </c>
      <c r="D107" s="1237"/>
      <c r="E107" s="1354"/>
      <c r="F107" s="1237"/>
      <c r="G107" s="1237"/>
      <c r="H107" s="1237"/>
      <c r="I107" s="1237"/>
      <c r="J107" s="1386"/>
      <c r="K107" s="1237"/>
      <c r="L107" s="1237"/>
      <c r="M107" s="1237"/>
      <c r="N107" s="1237"/>
      <c r="O107" s="1237"/>
      <c r="P107" s="1237"/>
      <c r="Q107" s="1386"/>
      <c r="R107" s="1237"/>
      <c r="S107" s="1237"/>
      <c r="T107" s="1237"/>
      <c r="U107" s="1237"/>
      <c r="V107" s="1237"/>
      <c r="W107" s="1237"/>
      <c r="X107" s="1237"/>
      <c r="Y107" s="1237"/>
      <c r="Z107" s="1237"/>
      <c r="AA107" s="1237"/>
      <c r="AB107" s="1237"/>
      <c r="AC107" s="1237"/>
      <c r="AD107" s="1283"/>
      <c r="AE107" s="1283"/>
      <c r="AF107" s="1283"/>
      <c r="AG107" s="1283" t="e">
        <f>+$C107*#REF!*#REF!</f>
        <v>#REF!</v>
      </c>
      <c r="AH107" s="1283"/>
      <c r="AI107" s="1317" t="e">
        <f>+SUMPRODUCT(D107:AH107,D102:AH102)</f>
        <v>#REF!</v>
      </c>
      <c r="AJ107" s="1236" t="e">
        <f>+$C107*#REF!*#REF!</f>
        <v>#REF!</v>
      </c>
    </row>
    <row r="108" spans="1:113">
      <c r="A108" s="1623"/>
      <c r="B108" s="1267" t="s">
        <v>1260</v>
      </c>
      <c r="C108" s="1398">
        <f>+'CANTIDADES Fase II todo'!CO83+'CANTIDADES Fase II todo'!CO84+'CANTIDADES Fase II todo'!CO85</f>
        <v>5743.6459999999997</v>
      </c>
      <c r="D108" s="1237"/>
      <c r="E108" s="1354"/>
      <c r="F108" s="1237"/>
      <c r="G108" s="1237"/>
      <c r="H108" s="1237"/>
      <c r="I108" s="1237"/>
      <c r="J108" s="1386"/>
      <c r="K108" s="1237"/>
      <c r="L108" s="1237"/>
      <c r="M108" s="1237"/>
      <c r="N108" s="1237"/>
      <c r="O108" s="1237"/>
      <c r="P108" s="1237"/>
      <c r="Q108" s="1386"/>
      <c r="R108" s="1237"/>
      <c r="S108" s="1237"/>
      <c r="T108" s="1237"/>
      <c r="U108" s="1237"/>
      <c r="V108" s="1237"/>
      <c r="W108" s="1237"/>
      <c r="X108" s="1237"/>
      <c r="Y108" s="1237"/>
      <c r="Z108" s="1237"/>
      <c r="AA108" s="1237"/>
      <c r="AB108" s="1237"/>
      <c r="AC108" s="1237"/>
      <c r="AD108" s="1283"/>
      <c r="AE108" s="1283"/>
      <c r="AF108" s="1283"/>
      <c r="AG108" s="1283" t="e">
        <f>+$C108*#REF!*#REF!</f>
        <v>#REF!</v>
      </c>
      <c r="AH108" s="1283"/>
      <c r="AI108" s="1317" t="e">
        <f>+SUMPRODUCT(D108:AH108,D102:AH102)</f>
        <v>#REF!</v>
      </c>
      <c r="AJ108" s="1185" t="e">
        <f>+$C108*#REF!*#REF!</f>
        <v>#REF!</v>
      </c>
    </row>
    <row r="109" spans="1:113">
      <c r="A109" s="1623"/>
      <c r="B109" s="1267" t="s">
        <v>1261</v>
      </c>
      <c r="C109" s="1398">
        <f>+'CANTIDADES Fase II todo'!CO92+'CANTIDADES Fase II todo'!CO93</f>
        <v>4370.5074999999997</v>
      </c>
      <c r="D109" s="1237"/>
      <c r="E109" s="1354"/>
      <c r="F109" s="1237"/>
      <c r="G109" s="1237"/>
      <c r="H109" s="1237"/>
      <c r="I109" s="1237"/>
      <c r="J109" s="1386"/>
      <c r="K109" s="1237"/>
      <c r="L109" s="1237"/>
      <c r="M109" s="1237"/>
      <c r="N109" s="1237"/>
      <c r="O109" s="1237"/>
      <c r="P109" s="1237"/>
      <c r="Q109" s="1386"/>
      <c r="R109" s="1237"/>
      <c r="S109" s="1237"/>
      <c r="T109" s="1237"/>
      <c r="U109" s="1237"/>
      <c r="V109" s="1237"/>
      <c r="W109" s="1237"/>
      <c r="X109" s="1237"/>
      <c r="Y109" s="1237"/>
      <c r="Z109" s="1237"/>
      <c r="AA109" s="1237"/>
      <c r="AB109" s="1237"/>
      <c r="AC109" s="1237"/>
      <c r="AD109" s="1283" t="e">
        <f>+$C109*#REF!*#REF!</f>
        <v>#REF!</v>
      </c>
      <c r="AE109" s="1283"/>
      <c r="AF109" s="1283"/>
      <c r="AG109" s="1283"/>
      <c r="AH109" s="1283"/>
      <c r="AI109" s="1317" t="e">
        <f>+SUMPRODUCT(D109:AH109,D102:AH102)</f>
        <v>#REF!</v>
      </c>
      <c r="AJ109" s="1185" t="e">
        <f>+$C109*#REF!*#REF!</f>
        <v>#REF!</v>
      </c>
    </row>
    <row r="110" spans="1:113" s="1186" customFormat="1" ht="30">
      <c r="A110" s="1624"/>
      <c r="B110" s="1285" t="s">
        <v>1262</v>
      </c>
      <c r="C110" s="1404">
        <f>+'CANTIDADES Fase II todo'!CO99</f>
        <v>1520.25</v>
      </c>
      <c r="D110" s="1246"/>
      <c r="E110" s="1246"/>
      <c r="F110" s="1246"/>
      <c r="G110" s="1246"/>
      <c r="H110" s="1246"/>
      <c r="I110" s="1246"/>
      <c r="J110" s="1246"/>
      <c r="K110" s="1246"/>
      <c r="L110" s="1246"/>
      <c r="M110" s="1246"/>
      <c r="N110" s="1246"/>
      <c r="O110" s="1246"/>
      <c r="P110" s="1246"/>
      <c r="Q110" s="1246"/>
      <c r="R110" s="1246"/>
      <c r="S110" s="1246"/>
      <c r="T110" s="1246"/>
      <c r="U110" s="1246"/>
      <c r="V110" s="1246"/>
      <c r="W110" s="1246"/>
      <c r="X110" s="1246"/>
      <c r="Y110" s="1246"/>
      <c r="Z110" s="1246"/>
      <c r="AA110" s="1246"/>
      <c r="AB110" s="1246"/>
      <c r="AC110" s="1246"/>
      <c r="AD110" s="1247" t="e">
        <f>+$C110*#REF!</f>
        <v>#REF!</v>
      </c>
      <c r="AE110" s="1247"/>
      <c r="AF110" s="1247"/>
      <c r="AG110" s="1247"/>
      <c r="AH110" s="1247"/>
      <c r="AI110" s="1388" t="e">
        <f>+SUMPRODUCT($D110:AH110,$D102:AH102)</f>
        <v>#REF!</v>
      </c>
      <c r="AJ110" s="1287" t="e">
        <f>+$C110*#REF!</f>
        <v>#REF!</v>
      </c>
    </row>
    <row r="111" spans="1:113">
      <c r="A111" s="1253" t="s">
        <v>1247</v>
      </c>
      <c r="B111" s="1310"/>
      <c r="C111" s="1255" t="s">
        <v>1310</v>
      </c>
      <c r="D111" s="1366"/>
      <c r="E111" s="1367"/>
      <c r="F111" s="1257"/>
      <c r="G111" s="1257"/>
      <c r="H111" s="1257"/>
      <c r="I111" s="1257"/>
      <c r="J111" s="1368"/>
      <c r="K111" s="1257"/>
      <c r="L111" s="1257"/>
      <c r="M111" s="1257"/>
      <c r="N111" s="1257"/>
      <c r="O111" s="1257"/>
      <c r="P111" s="1257"/>
      <c r="Q111" s="1368"/>
      <c r="R111" s="1257"/>
      <c r="S111" s="1257"/>
      <c r="T111" s="1257"/>
      <c r="U111" s="1257"/>
      <c r="V111" s="1257"/>
      <c r="W111" s="1257"/>
      <c r="X111" s="1257"/>
      <c r="Y111" s="1257"/>
      <c r="Z111" s="1257"/>
      <c r="AA111" s="1257"/>
      <c r="AB111" s="1257"/>
      <c r="AC111" s="1257"/>
      <c r="AD111" s="1312"/>
      <c r="AE111" s="1312"/>
      <c r="AF111" s="1312"/>
      <c r="AG111" s="1312"/>
      <c r="AH111" s="1312"/>
      <c r="AI111" s="1313"/>
      <c r="AJ111" s="1260"/>
      <c r="AK111" s="1260"/>
      <c r="AL111" s="1260"/>
      <c r="AM111" s="1260"/>
      <c r="AN111" s="1260"/>
      <c r="AO111" s="1260"/>
      <c r="AP111" s="1260"/>
      <c r="AQ111" s="1260"/>
      <c r="AR111" s="1260"/>
      <c r="AS111" s="1260"/>
      <c r="AT111" s="1260"/>
      <c r="AU111" s="1260"/>
      <c r="AV111" s="1260"/>
      <c r="AW111" s="1260"/>
      <c r="AX111" s="1260"/>
      <c r="AY111" s="1260"/>
      <c r="AZ111" s="1260"/>
      <c r="BA111" s="1260"/>
      <c r="BB111" s="1260"/>
      <c r="BC111" s="1260"/>
      <c r="BD111" s="1260"/>
      <c r="BE111" s="1260"/>
      <c r="BF111" s="1260"/>
      <c r="BG111" s="1260"/>
      <c r="BH111" s="1260"/>
      <c r="BI111" s="1260"/>
      <c r="BJ111" s="1260"/>
      <c r="BK111" s="1260"/>
      <c r="BL111" s="1260"/>
      <c r="BM111" s="1260"/>
      <c r="BN111" s="1260"/>
      <c r="BO111" s="1260"/>
      <c r="BP111" s="1260"/>
      <c r="BQ111" s="1260"/>
      <c r="BR111" s="1260"/>
      <c r="BS111" s="1260"/>
      <c r="BT111" s="1260"/>
      <c r="BU111" s="1260"/>
      <c r="BV111" s="1260"/>
      <c r="BW111" s="1260"/>
      <c r="BX111" s="1260"/>
      <c r="BY111" s="1260"/>
      <c r="BZ111" s="1260"/>
      <c r="CA111" s="1260"/>
      <c r="CB111" s="1260"/>
      <c r="CC111" s="1260"/>
      <c r="CD111" s="1260"/>
      <c r="CE111" s="1260"/>
      <c r="CF111" s="1260"/>
      <c r="CG111" s="1260"/>
      <c r="CH111" s="1260"/>
      <c r="CI111" s="1260"/>
      <c r="CJ111" s="1260"/>
      <c r="CK111" s="1260"/>
      <c r="CL111" s="1260"/>
      <c r="CM111" s="1260"/>
      <c r="CN111" s="1260"/>
      <c r="CO111" s="1260"/>
      <c r="CP111" s="1260"/>
      <c r="CQ111" s="1260"/>
      <c r="CR111" s="1260"/>
      <c r="CS111" s="1260"/>
      <c r="CT111" s="1260"/>
      <c r="CU111" s="1260"/>
      <c r="CV111" s="1260"/>
      <c r="CW111" s="1260"/>
      <c r="CX111" s="1260"/>
      <c r="CY111" s="1260"/>
      <c r="CZ111" s="1260"/>
      <c r="DA111" s="1260"/>
      <c r="DB111" s="1260"/>
      <c r="DC111" s="1260"/>
      <c r="DD111" s="1260"/>
      <c r="DE111" s="1260"/>
      <c r="DF111" s="1260"/>
      <c r="DG111" s="1260"/>
      <c r="DH111" s="1260"/>
      <c r="DI111" s="1260"/>
    </row>
    <row r="112" spans="1:113">
      <c r="A112" s="1261" t="s">
        <v>1227</v>
      </c>
      <c r="B112" s="1262"/>
      <c r="C112" s="1263">
        <v>4515</v>
      </c>
      <c r="D112" s="1369"/>
      <c r="E112" s="1370"/>
      <c r="F112" s="1265"/>
      <c r="G112" s="1265"/>
      <c r="H112" s="1265"/>
      <c r="I112" s="1265"/>
      <c r="J112" s="1371"/>
      <c r="K112" s="1265"/>
      <c r="L112" s="1265"/>
      <c r="M112" s="1265"/>
      <c r="N112" s="1265"/>
      <c r="O112" s="1265"/>
      <c r="P112" s="1265"/>
      <c r="Q112" s="1371"/>
      <c r="R112" s="1265"/>
      <c r="S112" s="1265"/>
      <c r="T112" s="1265"/>
      <c r="U112" s="1265"/>
      <c r="V112" s="1265"/>
      <c r="W112" s="1265"/>
      <c r="X112" s="1265"/>
      <c r="Y112" s="1265"/>
      <c r="Z112" s="1265"/>
      <c r="AA112" s="1265"/>
      <c r="AB112" s="1265"/>
      <c r="AC112" s="1265"/>
      <c r="AD112" s="1314"/>
      <c r="AE112" s="1314"/>
      <c r="AF112" s="1314"/>
      <c r="AG112" s="1314"/>
      <c r="AH112" s="1314"/>
      <c r="AI112" s="1313"/>
      <c r="AJ112" s="1260"/>
      <c r="AK112" s="1260"/>
      <c r="AL112" s="1260"/>
      <c r="AM112" s="1260"/>
      <c r="AN112" s="1260"/>
      <c r="AO112" s="1260"/>
      <c r="AP112" s="1260"/>
      <c r="AQ112" s="1260"/>
      <c r="AR112" s="1260"/>
      <c r="AS112" s="1260"/>
      <c r="AT112" s="1260"/>
      <c r="AU112" s="1260"/>
      <c r="AV112" s="1260"/>
      <c r="AW112" s="1260"/>
      <c r="AX112" s="1260"/>
      <c r="AY112" s="1260"/>
      <c r="AZ112" s="1260"/>
      <c r="BA112" s="1260"/>
      <c r="BB112" s="1260"/>
      <c r="BC112" s="1260"/>
      <c r="BD112" s="1260"/>
      <c r="BE112" s="1260"/>
      <c r="BF112" s="1260"/>
      <c r="BG112" s="1260"/>
      <c r="BH112" s="1260"/>
      <c r="BI112" s="1260"/>
      <c r="BJ112" s="1260"/>
      <c r="BK112" s="1260"/>
      <c r="BL112" s="1260"/>
      <c r="BM112" s="1260"/>
      <c r="BN112" s="1260"/>
      <c r="BO112" s="1260"/>
      <c r="BP112" s="1260"/>
      <c r="BQ112" s="1260"/>
      <c r="BR112" s="1260"/>
      <c r="BS112" s="1260"/>
      <c r="BT112" s="1260"/>
      <c r="BU112" s="1260"/>
      <c r="BV112" s="1260"/>
      <c r="BW112" s="1260"/>
      <c r="BX112" s="1260"/>
      <c r="BY112" s="1260"/>
      <c r="BZ112" s="1260"/>
      <c r="CA112" s="1260"/>
      <c r="CB112" s="1260"/>
      <c r="CC112" s="1260"/>
      <c r="CD112" s="1260"/>
      <c r="CE112" s="1260"/>
      <c r="CF112" s="1260"/>
      <c r="CG112" s="1260"/>
      <c r="CH112" s="1260"/>
      <c r="CI112" s="1260"/>
      <c r="CJ112" s="1260"/>
      <c r="CK112" s="1260"/>
      <c r="CL112" s="1260"/>
      <c r="CM112" s="1260"/>
      <c r="CN112" s="1260"/>
      <c r="CO112" s="1260"/>
      <c r="CP112" s="1260"/>
      <c r="CQ112" s="1260"/>
      <c r="CR112" s="1260"/>
      <c r="CS112" s="1260"/>
      <c r="CT112" s="1260"/>
      <c r="CU112" s="1260"/>
      <c r="CV112" s="1260"/>
      <c r="CW112" s="1260"/>
      <c r="CX112" s="1260"/>
      <c r="CY112" s="1260"/>
      <c r="CZ112" s="1260"/>
      <c r="DA112" s="1260"/>
      <c r="DB112" s="1260"/>
      <c r="DC112" s="1260"/>
      <c r="DD112" s="1260"/>
      <c r="DE112" s="1260"/>
      <c r="DF112" s="1260"/>
      <c r="DG112" s="1260"/>
      <c r="DH112" s="1260"/>
      <c r="DI112" s="1260"/>
    </row>
    <row r="113" spans="1:113" ht="15" customHeight="1">
      <c r="A113" s="1622" t="s">
        <v>1249</v>
      </c>
      <c r="B113" s="1267" t="s">
        <v>1250</v>
      </c>
      <c r="C113" s="1268">
        <v>67044</v>
      </c>
      <c r="D113" s="1372"/>
      <c r="E113" s="1373"/>
      <c r="F113" s="1270"/>
      <c r="G113" s="1270"/>
      <c r="H113" s="1270"/>
      <c r="I113" s="1270"/>
      <c r="J113" s="1374"/>
      <c r="K113" s="1270"/>
      <c r="L113" s="1270"/>
      <c r="M113" s="1270"/>
      <c r="N113" s="1270"/>
      <c r="O113" s="1270"/>
      <c r="P113" s="1270"/>
      <c r="Q113" s="1374"/>
      <c r="R113" s="1270"/>
      <c r="S113" s="1270"/>
      <c r="T113" s="1270"/>
      <c r="U113" s="1270"/>
      <c r="V113" s="1270"/>
      <c r="W113" s="1270"/>
      <c r="X113" s="1270"/>
      <c r="Y113" s="1270"/>
      <c r="Z113" s="1270"/>
      <c r="AA113" s="1270"/>
      <c r="AB113" s="1270"/>
      <c r="AC113" s="1270"/>
      <c r="AD113" s="1303"/>
      <c r="AE113" s="1303"/>
      <c r="AF113" s="1303"/>
      <c r="AG113" s="1303"/>
      <c r="AH113" s="1303"/>
      <c r="AI113" s="1313"/>
      <c r="AJ113" s="1260"/>
      <c r="AK113" s="1260"/>
      <c r="AL113" s="1260"/>
      <c r="AM113" s="1260"/>
      <c r="AN113" s="1260"/>
      <c r="AO113" s="1260"/>
      <c r="AP113" s="1260"/>
      <c r="AQ113" s="1260"/>
      <c r="AR113" s="1260"/>
      <c r="AS113" s="1260"/>
      <c r="AT113" s="1260"/>
      <c r="AU113" s="1260"/>
      <c r="AV113" s="1260"/>
      <c r="AW113" s="1260"/>
      <c r="AX113" s="1260"/>
      <c r="AY113" s="1260"/>
      <c r="AZ113" s="1260"/>
      <c r="BA113" s="1260"/>
      <c r="BB113" s="1260"/>
      <c r="BC113" s="1260"/>
      <c r="BD113" s="1260"/>
      <c r="BE113" s="1260"/>
      <c r="BF113" s="1260"/>
      <c r="BG113" s="1260"/>
      <c r="BH113" s="1260"/>
      <c r="BI113" s="1260"/>
      <c r="BJ113" s="1260"/>
      <c r="BK113" s="1260"/>
      <c r="BL113" s="1260"/>
      <c r="BM113" s="1260"/>
      <c r="BN113" s="1260"/>
      <c r="BO113" s="1260"/>
      <c r="BP113" s="1260"/>
      <c r="BQ113" s="1260"/>
      <c r="BR113" s="1260"/>
      <c r="BS113" s="1260"/>
      <c r="BT113" s="1260"/>
      <c r="BU113" s="1260"/>
      <c r="BV113" s="1260"/>
      <c r="BW113" s="1260"/>
      <c r="BX113" s="1260"/>
      <c r="BY113" s="1260"/>
      <c r="BZ113" s="1260"/>
      <c r="CA113" s="1260"/>
      <c r="CB113" s="1260"/>
      <c r="CC113" s="1260"/>
      <c r="CD113" s="1260"/>
      <c r="CE113" s="1260"/>
      <c r="CF113" s="1260"/>
      <c r="CG113" s="1260"/>
      <c r="CH113" s="1260"/>
      <c r="CI113" s="1260"/>
      <c r="CJ113" s="1260"/>
      <c r="CK113" s="1260"/>
      <c r="CL113" s="1260"/>
      <c r="CM113" s="1260"/>
      <c r="CN113" s="1260"/>
      <c r="CO113" s="1260"/>
      <c r="CP113" s="1260"/>
      <c r="CQ113" s="1260"/>
      <c r="CR113" s="1260"/>
      <c r="CS113" s="1260"/>
      <c r="CT113" s="1260"/>
      <c r="CU113" s="1260"/>
      <c r="CV113" s="1260"/>
      <c r="CW113" s="1260"/>
      <c r="CX113" s="1260"/>
      <c r="CY113" s="1260"/>
      <c r="CZ113" s="1260"/>
      <c r="DA113" s="1260"/>
      <c r="DB113" s="1260"/>
      <c r="DC113" s="1260"/>
      <c r="DD113" s="1260"/>
      <c r="DE113" s="1260"/>
      <c r="DF113" s="1260"/>
      <c r="DG113" s="1260"/>
      <c r="DH113" s="1260"/>
      <c r="DI113" s="1260"/>
    </row>
    <row r="114" spans="1:113">
      <c r="A114" s="1622"/>
      <c r="B114" s="1267" t="s">
        <v>1251</v>
      </c>
      <c r="C114" s="1268">
        <v>70250</v>
      </c>
      <c r="D114" s="1372"/>
      <c r="E114" s="1373"/>
      <c r="F114" s="1270"/>
      <c r="G114" s="1270"/>
      <c r="H114" s="1270"/>
      <c r="I114" s="1270"/>
      <c r="J114" s="1374"/>
      <c r="K114" s="1270"/>
      <c r="L114" s="1270"/>
      <c r="M114" s="1270"/>
      <c r="N114" s="1270"/>
      <c r="O114" s="1270"/>
      <c r="P114" s="1270"/>
      <c r="Q114" s="1374"/>
      <c r="R114" s="1270"/>
      <c r="S114" s="1270"/>
      <c r="T114" s="1270"/>
      <c r="U114" s="1270"/>
      <c r="V114" s="1270"/>
      <c r="W114" s="1270"/>
      <c r="X114" s="1270"/>
      <c r="Y114" s="1270"/>
      <c r="Z114" s="1270"/>
      <c r="AA114" s="1270"/>
      <c r="AB114" s="1270"/>
      <c r="AC114" s="1270"/>
      <c r="AD114" s="1315"/>
      <c r="AE114" s="1315"/>
      <c r="AF114" s="1315"/>
      <c r="AG114" s="1315"/>
      <c r="AH114" s="1315"/>
      <c r="AI114" s="1316"/>
    </row>
    <row r="115" spans="1:113">
      <c r="A115" s="1272" t="s">
        <v>1252</v>
      </c>
      <c r="B115" s="1273"/>
      <c r="C115" s="1268">
        <f>+(C114-C113)/2+C113</f>
        <v>68647</v>
      </c>
      <c r="D115" s="1372"/>
      <c r="E115" s="1373"/>
      <c r="F115" s="1270"/>
      <c r="G115" s="1270"/>
      <c r="H115" s="1270"/>
      <c r="I115" s="1270"/>
      <c r="J115" s="1374"/>
      <c r="K115" s="1270"/>
      <c r="L115" s="1270"/>
      <c r="M115" s="1270"/>
      <c r="N115" s="1270"/>
      <c r="O115" s="1270"/>
      <c r="P115" s="1270"/>
      <c r="Q115" s="1374"/>
      <c r="R115" s="1270"/>
      <c r="S115" s="1270"/>
      <c r="T115" s="1270"/>
      <c r="U115" s="1270"/>
      <c r="V115" s="1270"/>
      <c r="W115" s="1270"/>
      <c r="X115" s="1270"/>
      <c r="Y115" s="1270"/>
      <c r="Z115" s="1270"/>
      <c r="AA115" s="1270"/>
      <c r="AB115" s="1270"/>
      <c r="AC115" s="1270"/>
      <c r="AD115" s="1315"/>
      <c r="AE115" s="1315"/>
      <c r="AF115" s="1315"/>
      <c r="AG115" s="1315"/>
      <c r="AH115" s="1315"/>
      <c r="AI115" s="1316"/>
    </row>
    <row r="116" spans="1:113">
      <c r="A116" s="1272" t="s">
        <v>1253</v>
      </c>
      <c r="B116" s="1273"/>
      <c r="C116" s="1274"/>
      <c r="D116" s="1390">
        <f>IF(D118&gt;D117,(D118-D117)+D$2*1000+D$3*1000,(D117-D118)+D$2*1000+D$4*1000)/1000</f>
        <v>83.697000000000003</v>
      </c>
      <c r="E116" s="1376">
        <f t="shared" ref="E116:AH116" si="22">IF(E118&gt;E117,(E118-E117)+E$2*1000+E$3*1000,(E117-E118)+E$2*1000+E$4*1000)/1000</f>
        <v>84.147000000000006</v>
      </c>
      <c r="F116" s="1276">
        <f t="shared" si="22"/>
        <v>63.447000000000003</v>
      </c>
      <c r="G116" s="1276">
        <f t="shared" si="22"/>
        <v>59.716999999999999</v>
      </c>
      <c r="H116" s="1276">
        <f t="shared" si="22"/>
        <v>59.747</v>
      </c>
      <c r="I116" s="1276">
        <f t="shared" si="22"/>
        <v>60.646999999999998</v>
      </c>
      <c r="J116" s="1377">
        <f t="shared" si="22"/>
        <v>53.146999999999998</v>
      </c>
      <c r="K116" s="1276">
        <f t="shared" si="22"/>
        <v>52.646999999999998</v>
      </c>
      <c r="L116" s="1276">
        <f t="shared" si="22"/>
        <v>45.447000000000003</v>
      </c>
      <c r="M116" s="1276">
        <f t="shared" si="22"/>
        <v>47.347000000000001</v>
      </c>
      <c r="N116" s="1276">
        <f t="shared" si="22"/>
        <v>25.247</v>
      </c>
      <c r="O116" s="1276">
        <f t="shared" si="22"/>
        <v>23.646999999999998</v>
      </c>
      <c r="P116" s="1276">
        <f t="shared" si="22"/>
        <v>122.64700000000001</v>
      </c>
      <c r="Q116" s="1377">
        <f t="shared" si="22"/>
        <v>118.64700000000001</v>
      </c>
      <c r="R116" s="1276">
        <f t="shared" si="22"/>
        <v>130.947</v>
      </c>
      <c r="S116" s="1276">
        <f t="shared" si="22"/>
        <v>22.847000000000001</v>
      </c>
      <c r="T116" s="1276">
        <f t="shared" si="22"/>
        <v>16.797000000000001</v>
      </c>
      <c r="U116" s="1276">
        <f t="shared" si="22"/>
        <v>17.696999999999999</v>
      </c>
      <c r="V116" s="1276">
        <f t="shared" si="22"/>
        <v>17.216999999999999</v>
      </c>
      <c r="W116" s="1276">
        <f t="shared" si="22"/>
        <v>38.646999999999998</v>
      </c>
      <c r="X116" s="1276">
        <f t="shared" si="22"/>
        <v>4.9470000000000001</v>
      </c>
      <c r="Y116" s="1276">
        <f t="shared" si="22"/>
        <v>4.3529999999999998</v>
      </c>
      <c r="Z116" s="1276">
        <f t="shared" si="22"/>
        <v>10.153</v>
      </c>
      <c r="AA116" s="1276">
        <f t="shared" si="22"/>
        <v>16.702999999999999</v>
      </c>
      <c r="AB116" s="1276">
        <f t="shared" si="22"/>
        <v>21.273</v>
      </c>
      <c r="AC116" s="1276">
        <f t="shared" si="22"/>
        <v>27.773</v>
      </c>
      <c r="AD116" s="1277">
        <f t="shared" si="22"/>
        <v>79.697000000000003</v>
      </c>
      <c r="AE116" s="1277">
        <f t="shared" si="22"/>
        <v>40.646999999999998</v>
      </c>
      <c r="AF116" s="1277">
        <f t="shared" si="22"/>
        <v>30.646999999999998</v>
      </c>
      <c r="AG116" s="1277">
        <f t="shared" si="22"/>
        <v>2.3530000000000002</v>
      </c>
      <c r="AH116" s="1277">
        <f t="shared" si="22"/>
        <v>14.153</v>
      </c>
      <c r="AI116" s="1316"/>
    </row>
    <row r="117" spans="1:113" hidden="1">
      <c r="A117" s="1278" t="s">
        <v>1254</v>
      </c>
      <c r="B117" s="1279"/>
      <c r="C117" s="1280"/>
      <c r="D117" s="1326">
        <f>+IF($C112=4514,IF(D$6=4514,$C115,$C115),IF(D$6=4515,$C115+101000,101000+$C115))</f>
        <v>169647</v>
      </c>
      <c r="E117" s="1326">
        <f t="shared" ref="E117:AH117" si="23">+IF($C112=4514,IF(E$6=4514,$C115,$C115),IF(E$6=4515,$C115+101000,101000+$C115))</f>
        <v>169647</v>
      </c>
      <c r="F117" s="1200">
        <f t="shared" si="23"/>
        <v>169647</v>
      </c>
      <c r="G117" s="1200">
        <f t="shared" si="23"/>
        <v>169647</v>
      </c>
      <c r="H117" s="1200">
        <f t="shared" si="23"/>
        <v>169647</v>
      </c>
      <c r="I117" s="1200">
        <f t="shared" si="23"/>
        <v>169647</v>
      </c>
      <c r="J117" s="1378">
        <f t="shared" si="23"/>
        <v>169647</v>
      </c>
      <c r="K117" s="1200">
        <f t="shared" si="23"/>
        <v>169647</v>
      </c>
      <c r="L117" s="1200">
        <f t="shared" si="23"/>
        <v>169647</v>
      </c>
      <c r="M117" s="1200">
        <f t="shared" si="23"/>
        <v>169647</v>
      </c>
      <c r="N117" s="1200">
        <f t="shared" si="23"/>
        <v>169647</v>
      </c>
      <c r="O117" s="1200">
        <f t="shared" si="23"/>
        <v>169647</v>
      </c>
      <c r="P117" s="1200">
        <f t="shared" si="23"/>
        <v>169647</v>
      </c>
      <c r="Q117" s="1378">
        <f t="shared" si="23"/>
        <v>169647</v>
      </c>
      <c r="R117" s="1200">
        <f t="shared" si="23"/>
        <v>169647</v>
      </c>
      <c r="S117" s="1200">
        <f t="shared" si="23"/>
        <v>169647</v>
      </c>
      <c r="T117" s="1200">
        <f t="shared" si="23"/>
        <v>169647</v>
      </c>
      <c r="U117" s="1200">
        <f t="shared" si="23"/>
        <v>169647</v>
      </c>
      <c r="V117" s="1200">
        <f t="shared" si="23"/>
        <v>169647</v>
      </c>
      <c r="W117" s="1200">
        <f t="shared" si="23"/>
        <v>169647</v>
      </c>
      <c r="X117" s="1200">
        <f t="shared" si="23"/>
        <v>169647</v>
      </c>
      <c r="Y117" s="1200">
        <f t="shared" si="23"/>
        <v>169647</v>
      </c>
      <c r="Z117" s="1200">
        <f t="shared" si="23"/>
        <v>169647</v>
      </c>
      <c r="AA117" s="1200">
        <f t="shared" si="23"/>
        <v>169647</v>
      </c>
      <c r="AB117" s="1200">
        <f t="shared" si="23"/>
        <v>169647</v>
      </c>
      <c r="AC117" s="1200">
        <f t="shared" si="23"/>
        <v>169647</v>
      </c>
      <c r="AD117" s="1281">
        <f t="shared" si="23"/>
        <v>169647</v>
      </c>
      <c r="AE117" s="1281">
        <f t="shared" si="23"/>
        <v>169647</v>
      </c>
      <c r="AF117" s="1281">
        <f t="shared" si="23"/>
        <v>169647</v>
      </c>
      <c r="AG117" s="1281">
        <f t="shared" si="23"/>
        <v>169647</v>
      </c>
      <c r="AH117" s="1281">
        <f t="shared" si="23"/>
        <v>169647</v>
      </c>
      <c r="AI117" s="1316"/>
    </row>
    <row r="118" spans="1:113" hidden="1">
      <c r="A118" s="1278" t="s">
        <v>1255</v>
      </c>
      <c r="B118" s="1279"/>
      <c r="C118" s="1280"/>
      <c r="D118" s="1326">
        <f>+IF($C112=4514,IF(D$6=4514,D$5,D$5+101000),IF(D$6=4515,D$5+101000,D$5))</f>
        <v>85950</v>
      </c>
      <c r="E118" s="1326">
        <f t="shared" ref="E118:AH118" si="24">+IF($C112=4514,IF(E$6=4514,E$5,E$5+101000),IF(E$6=4515,E$5+101000,E$5))</f>
        <v>85500</v>
      </c>
      <c r="F118" s="1200">
        <f t="shared" si="24"/>
        <v>106200</v>
      </c>
      <c r="G118" s="1200">
        <f t="shared" si="24"/>
        <v>110930</v>
      </c>
      <c r="H118" s="1200">
        <f t="shared" si="24"/>
        <v>109900</v>
      </c>
      <c r="I118" s="1200">
        <f t="shared" si="24"/>
        <v>110000</v>
      </c>
      <c r="J118" s="1378">
        <f t="shared" si="24"/>
        <v>116500</v>
      </c>
      <c r="K118" s="1200">
        <f t="shared" si="24"/>
        <v>117000</v>
      </c>
      <c r="L118" s="1200">
        <f t="shared" si="24"/>
        <v>124200</v>
      </c>
      <c r="M118" s="1200">
        <f t="shared" si="24"/>
        <v>126800</v>
      </c>
      <c r="N118" s="1200">
        <f t="shared" si="24"/>
        <v>144400</v>
      </c>
      <c r="O118" s="1200">
        <f t="shared" si="24"/>
        <v>146000</v>
      </c>
      <c r="P118" s="1200">
        <f t="shared" si="24"/>
        <v>47500</v>
      </c>
      <c r="Q118" s="1378">
        <f t="shared" si="24"/>
        <v>51000</v>
      </c>
      <c r="R118" s="1200">
        <f t="shared" si="24"/>
        <v>40000</v>
      </c>
      <c r="S118" s="1200">
        <f t="shared" si="24"/>
        <v>149800</v>
      </c>
      <c r="T118" s="1200">
        <f t="shared" si="24"/>
        <v>154650</v>
      </c>
      <c r="U118" s="1200">
        <f t="shared" si="24"/>
        <v>153350</v>
      </c>
      <c r="V118" s="1200">
        <f t="shared" si="24"/>
        <v>154730</v>
      </c>
      <c r="W118" s="1200">
        <f t="shared" si="24"/>
        <v>131000</v>
      </c>
      <c r="X118" s="1200">
        <f t="shared" si="24"/>
        <v>164700</v>
      </c>
      <c r="Y118" s="1200">
        <f t="shared" si="24"/>
        <v>173000</v>
      </c>
      <c r="Z118" s="1200">
        <f t="shared" si="24"/>
        <v>176000</v>
      </c>
      <c r="AA118" s="1200">
        <f t="shared" si="24"/>
        <v>185150</v>
      </c>
      <c r="AB118" s="1200">
        <f t="shared" si="24"/>
        <v>190920</v>
      </c>
      <c r="AC118" s="1200">
        <f t="shared" si="24"/>
        <v>190920</v>
      </c>
      <c r="AD118" s="1281">
        <f t="shared" si="24"/>
        <v>89950</v>
      </c>
      <c r="AE118" s="1281">
        <f t="shared" si="24"/>
        <v>129000</v>
      </c>
      <c r="AF118" s="1281">
        <f t="shared" si="24"/>
        <v>139000</v>
      </c>
      <c r="AG118" s="1281">
        <f t="shared" si="24"/>
        <v>172000</v>
      </c>
      <c r="AH118" s="1281">
        <f t="shared" si="24"/>
        <v>177800</v>
      </c>
      <c r="AI118" s="1316"/>
    </row>
    <row r="119" spans="1:113" ht="15" customHeight="1">
      <c r="A119" s="1623" t="s">
        <v>1266</v>
      </c>
      <c r="B119" s="1267" t="s">
        <v>1257</v>
      </c>
      <c r="C119" s="1282">
        <f>+'CANTIDADES Fase II todo'!CW25+'CANTIDADES Fase II todo'!CW28</f>
        <v>84782.069000000003</v>
      </c>
      <c r="D119" s="1236"/>
      <c r="E119" s="1354"/>
      <c r="F119" s="1237"/>
      <c r="G119" s="1237"/>
      <c r="H119" s="1237"/>
      <c r="I119" s="1237"/>
      <c r="J119" s="1386"/>
      <c r="K119" s="1237"/>
      <c r="L119" s="1237"/>
      <c r="M119" s="1237"/>
      <c r="N119" s="1237"/>
      <c r="O119" s="1237"/>
      <c r="P119" s="1237"/>
      <c r="Q119" s="1386"/>
      <c r="R119" s="1237"/>
      <c r="S119" s="1237"/>
      <c r="T119" s="1237"/>
      <c r="U119" s="1237"/>
      <c r="V119" s="1237" t="e">
        <f>$C119*#REF!*#REF!</f>
        <v>#REF!</v>
      </c>
      <c r="W119" s="1237"/>
      <c r="X119" s="1237"/>
      <c r="Y119" s="1237"/>
      <c r="Z119" s="1237"/>
      <c r="AA119" s="1237"/>
      <c r="AB119" s="1237"/>
      <c r="AC119" s="1237"/>
      <c r="AD119" s="1283"/>
      <c r="AE119" s="1283"/>
      <c r="AF119" s="1283"/>
      <c r="AG119" s="1283"/>
      <c r="AH119" s="1283"/>
      <c r="AI119" s="1317" t="e">
        <f>+SUMPRODUCT(D119:AH119,D116:AH116)</f>
        <v>#REF!</v>
      </c>
      <c r="AJ119" s="1185" t="e">
        <f>$C119*#REF!*#REF!</f>
        <v>#REF!</v>
      </c>
    </row>
    <row r="120" spans="1:113">
      <c r="A120" s="1623"/>
      <c r="B120" s="1267" t="s">
        <v>1258</v>
      </c>
      <c r="C120" s="1282">
        <f>+'CANTIDADES Fase II todo'!CW26</f>
        <v>10844.991000000002</v>
      </c>
      <c r="D120" s="1236"/>
      <c r="E120" s="1354"/>
      <c r="F120" s="1237"/>
      <c r="G120" s="1237"/>
      <c r="H120" s="1237"/>
      <c r="I120" s="1237"/>
      <c r="J120" s="1386"/>
      <c r="K120" s="1237"/>
      <c r="L120" s="1237"/>
      <c r="M120" s="1237"/>
      <c r="N120" s="1237"/>
      <c r="O120" s="1237"/>
      <c r="P120" s="1237"/>
      <c r="Q120" s="1386"/>
      <c r="R120" s="1237"/>
      <c r="S120" s="1237"/>
      <c r="T120" s="1237"/>
      <c r="U120" s="1237"/>
      <c r="V120" s="1237" t="e">
        <f>$C120*#REF!*#REF!</f>
        <v>#REF!</v>
      </c>
      <c r="W120" s="1237"/>
      <c r="X120" s="1237"/>
      <c r="Y120" s="1237"/>
      <c r="Z120" s="1237"/>
      <c r="AA120" s="1237"/>
      <c r="AB120" s="1237"/>
      <c r="AC120" s="1237"/>
      <c r="AD120" s="1283"/>
      <c r="AE120" s="1283"/>
      <c r="AF120" s="1283"/>
      <c r="AG120" s="1283"/>
      <c r="AH120" s="1283"/>
      <c r="AI120" s="1317" t="e">
        <f>+SUMPRODUCT(D120:AH120,D116:AH116)</f>
        <v>#REF!</v>
      </c>
      <c r="AJ120" s="1185" t="e">
        <f>$C120*#REF!*#REF!</f>
        <v>#REF!</v>
      </c>
    </row>
    <row r="121" spans="1:113">
      <c r="A121" s="1623"/>
      <c r="B121" s="1267" t="s">
        <v>1259</v>
      </c>
      <c r="C121" s="1282">
        <f>+'CANTIDADES Fase II todo'!CW72</f>
        <v>121.40519999999999</v>
      </c>
      <c r="D121" s="1236"/>
      <c r="E121" s="1354"/>
      <c r="F121" s="1237"/>
      <c r="G121" s="1237"/>
      <c r="H121" s="1237"/>
      <c r="I121" s="1237"/>
      <c r="J121" s="1386"/>
      <c r="K121" s="1237"/>
      <c r="L121" s="1237"/>
      <c r="M121" s="1237"/>
      <c r="N121" s="1237"/>
      <c r="O121" s="1237"/>
      <c r="P121" s="1237"/>
      <c r="Q121" s="1386"/>
      <c r="R121" s="1237"/>
      <c r="S121" s="1237"/>
      <c r="T121" s="1237"/>
      <c r="U121" s="1237"/>
      <c r="V121" s="1237"/>
      <c r="W121" s="1237"/>
      <c r="X121" s="1237"/>
      <c r="Y121" s="1237"/>
      <c r="Z121" s="1237"/>
      <c r="AA121" s="1237"/>
      <c r="AB121" s="1237"/>
      <c r="AC121" s="1237"/>
      <c r="AD121" s="1283"/>
      <c r="AE121" s="1283"/>
      <c r="AF121" s="1283"/>
      <c r="AG121" s="1283" t="e">
        <f>+$C121*#REF!*#REF!</f>
        <v>#REF!</v>
      </c>
      <c r="AH121" s="1283"/>
      <c r="AI121" s="1317" t="e">
        <f>+SUMPRODUCT(D121:AH121,D116:AH116)</f>
        <v>#REF!</v>
      </c>
      <c r="AJ121" s="1236" t="e">
        <f>+$C121*#REF!*#REF!</f>
        <v>#REF!</v>
      </c>
    </row>
    <row r="122" spans="1:113">
      <c r="A122" s="1623"/>
      <c r="B122" s="1267" t="s">
        <v>1260</v>
      </c>
      <c r="C122" s="1282">
        <f>+'CANTIDADES Fase II todo'!CW83+'CANTIDADES Fase II todo'!CW84+'CANTIDADES Fase II todo'!CW85</f>
        <v>9890.5831999999991</v>
      </c>
      <c r="D122" s="1236"/>
      <c r="E122" s="1354"/>
      <c r="F122" s="1237"/>
      <c r="G122" s="1237"/>
      <c r="H122" s="1237"/>
      <c r="I122" s="1237"/>
      <c r="J122" s="1386"/>
      <c r="K122" s="1237"/>
      <c r="L122" s="1237"/>
      <c r="M122" s="1237"/>
      <c r="N122" s="1237"/>
      <c r="O122" s="1237"/>
      <c r="P122" s="1237"/>
      <c r="Q122" s="1386"/>
      <c r="R122" s="1237"/>
      <c r="S122" s="1237"/>
      <c r="T122" s="1237"/>
      <c r="U122" s="1237"/>
      <c r="V122" s="1237"/>
      <c r="W122" s="1237"/>
      <c r="X122" s="1237"/>
      <c r="Y122" s="1237"/>
      <c r="Z122" s="1237"/>
      <c r="AA122" s="1237"/>
      <c r="AB122" s="1237"/>
      <c r="AC122" s="1237"/>
      <c r="AD122" s="1283"/>
      <c r="AE122" s="1283"/>
      <c r="AF122" s="1283"/>
      <c r="AG122" s="1283" t="e">
        <f>+$C122*#REF!*#REF!</f>
        <v>#REF!</v>
      </c>
      <c r="AH122" s="1283"/>
      <c r="AI122" s="1317" t="e">
        <f>+SUMPRODUCT(D122:AH122,D116:AH116)</f>
        <v>#REF!</v>
      </c>
      <c r="AJ122" s="1185" t="e">
        <f>+$C122*#REF!*#REF!</f>
        <v>#REF!</v>
      </c>
    </row>
    <row r="123" spans="1:113">
      <c r="A123" s="1624"/>
      <c r="B123" s="1292" t="s">
        <v>1261</v>
      </c>
      <c r="C123" s="1293">
        <f>+'CANTIDADES Fase II todo'!CW92+'CANTIDADES Fase II todo'!CW93</f>
        <v>2652.8522499999999</v>
      </c>
      <c r="D123" s="1243"/>
      <c r="E123" s="1359"/>
      <c r="F123" s="1244"/>
      <c r="G123" s="1244"/>
      <c r="H123" s="1244"/>
      <c r="I123" s="1244"/>
      <c r="J123" s="1391"/>
      <c r="K123" s="1244"/>
      <c r="L123" s="1244"/>
      <c r="M123" s="1244"/>
      <c r="N123" s="1244"/>
      <c r="O123" s="1244"/>
      <c r="P123" s="1244"/>
      <c r="Q123" s="1391"/>
      <c r="R123" s="1244"/>
      <c r="S123" s="1244"/>
      <c r="T123" s="1244"/>
      <c r="U123" s="1244"/>
      <c r="V123" s="1244"/>
      <c r="W123" s="1244"/>
      <c r="X123" s="1244"/>
      <c r="Y123" s="1244"/>
      <c r="Z123" s="1244"/>
      <c r="AA123" s="1244"/>
      <c r="AB123" s="1244"/>
      <c r="AC123" s="1244"/>
      <c r="AD123" s="1294" t="e">
        <f>+$C123*#REF!*#REF!</f>
        <v>#REF!</v>
      </c>
      <c r="AE123" s="1294"/>
      <c r="AF123" s="1294"/>
      <c r="AG123" s="1294"/>
      <c r="AH123" s="1294"/>
      <c r="AI123" s="1318" t="e">
        <f>+SUMPRODUCT(D123:AH123,D116:AH116)</f>
        <v>#REF!</v>
      </c>
      <c r="AJ123" s="1185" t="e">
        <f>+$C123*#REF!*#REF!</f>
        <v>#REF!</v>
      </c>
    </row>
    <row r="124" spans="1:113">
      <c r="A124" s="1253" t="s">
        <v>1247</v>
      </c>
      <c r="B124" s="1310"/>
      <c r="C124" s="1255" t="s">
        <v>1471</v>
      </c>
      <c r="D124" s="1366"/>
      <c r="E124" s="1367"/>
      <c r="F124" s="1257"/>
      <c r="G124" s="1257"/>
      <c r="H124" s="1257"/>
      <c r="I124" s="1257"/>
      <c r="J124" s="1368"/>
      <c r="K124" s="1257"/>
      <c r="L124" s="1257"/>
      <c r="M124" s="1257"/>
      <c r="N124" s="1257"/>
      <c r="O124" s="1257"/>
      <c r="P124" s="1257"/>
      <c r="Q124" s="1368"/>
      <c r="R124" s="1257"/>
      <c r="S124" s="1257"/>
      <c r="T124" s="1257"/>
      <c r="U124" s="1257"/>
      <c r="V124" s="1257"/>
      <c r="W124" s="1257"/>
      <c r="X124" s="1257"/>
      <c r="Y124" s="1257"/>
      <c r="Z124" s="1257"/>
      <c r="AA124" s="1257"/>
      <c r="AB124" s="1257"/>
      <c r="AC124" s="1257"/>
      <c r="AD124" s="1312"/>
      <c r="AE124" s="1312"/>
      <c r="AF124" s="1312"/>
      <c r="AG124" s="1312"/>
      <c r="AH124" s="1312"/>
      <c r="AI124" s="1313"/>
      <c r="AJ124" s="1260"/>
      <c r="AK124" s="1260"/>
      <c r="AL124" s="1260"/>
      <c r="AM124" s="1260"/>
      <c r="AN124" s="1260"/>
      <c r="AO124" s="1260"/>
      <c r="AP124" s="1260"/>
      <c r="AQ124" s="1260"/>
      <c r="AR124" s="1260"/>
      <c r="AS124" s="1260"/>
      <c r="AT124" s="1260"/>
      <c r="AU124" s="1260"/>
      <c r="AV124" s="1260"/>
      <c r="AW124" s="1260"/>
      <c r="AX124" s="1260"/>
      <c r="AY124" s="1260"/>
      <c r="AZ124" s="1260"/>
      <c r="BA124" s="1260"/>
      <c r="BB124" s="1260"/>
      <c r="BC124" s="1260"/>
      <c r="BD124" s="1260"/>
      <c r="BE124" s="1260"/>
      <c r="BF124" s="1260"/>
      <c r="BG124" s="1260"/>
      <c r="BH124" s="1260"/>
      <c r="BI124" s="1260"/>
      <c r="BJ124" s="1260"/>
      <c r="BK124" s="1260"/>
      <c r="BL124" s="1260"/>
      <c r="BM124" s="1260"/>
      <c r="BN124" s="1260"/>
      <c r="BO124" s="1260"/>
      <c r="BP124" s="1260"/>
      <c r="BQ124" s="1260"/>
      <c r="BR124" s="1260"/>
      <c r="BS124" s="1260"/>
      <c r="BT124" s="1260"/>
      <c r="BU124" s="1260"/>
      <c r="BV124" s="1260"/>
      <c r="BW124" s="1260"/>
      <c r="BX124" s="1260"/>
      <c r="BY124" s="1260"/>
      <c r="BZ124" s="1260"/>
      <c r="CA124" s="1260"/>
      <c r="CB124" s="1260"/>
      <c r="CC124" s="1260"/>
      <c r="CD124" s="1260"/>
      <c r="CE124" s="1260"/>
      <c r="CF124" s="1260"/>
      <c r="CG124" s="1260"/>
      <c r="CH124" s="1260"/>
      <c r="CI124" s="1260"/>
      <c r="CJ124" s="1260"/>
      <c r="CK124" s="1260"/>
      <c r="CL124" s="1260"/>
      <c r="CM124" s="1260"/>
      <c r="CN124" s="1260"/>
      <c r="CO124" s="1260"/>
      <c r="CP124" s="1260"/>
      <c r="CQ124" s="1260"/>
      <c r="CR124" s="1260"/>
      <c r="CS124" s="1260"/>
      <c r="CT124" s="1260"/>
      <c r="CU124" s="1260"/>
      <c r="CV124" s="1260"/>
      <c r="CW124" s="1260"/>
      <c r="CX124" s="1260"/>
      <c r="CY124" s="1260"/>
      <c r="CZ124" s="1260"/>
      <c r="DA124" s="1260"/>
      <c r="DB124" s="1260"/>
      <c r="DC124" s="1260"/>
      <c r="DD124" s="1260"/>
      <c r="DE124" s="1260"/>
      <c r="DF124" s="1260"/>
      <c r="DG124" s="1260"/>
      <c r="DH124" s="1260"/>
      <c r="DI124" s="1260"/>
    </row>
    <row r="125" spans="1:113">
      <c r="A125" s="1261" t="s">
        <v>1227</v>
      </c>
      <c r="B125" s="1262"/>
      <c r="C125" s="1263">
        <v>4515</v>
      </c>
      <c r="D125" s="1369"/>
      <c r="E125" s="1370"/>
      <c r="F125" s="1265"/>
      <c r="G125" s="1265"/>
      <c r="H125" s="1265"/>
      <c r="I125" s="1265"/>
      <c r="J125" s="1371"/>
      <c r="K125" s="1265"/>
      <c r="L125" s="1265"/>
      <c r="M125" s="1265"/>
      <c r="N125" s="1265"/>
      <c r="O125" s="1265"/>
      <c r="P125" s="1265"/>
      <c r="Q125" s="1371"/>
      <c r="R125" s="1265"/>
      <c r="S125" s="1265"/>
      <c r="T125" s="1265"/>
      <c r="U125" s="1265"/>
      <c r="V125" s="1265"/>
      <c r="W125" s="1265"/>
      <c r="X125" s="1265"/>
      <c r="Y125" s="1265"/>
      <c r="Z125" s="1265"/>
      <c r="AA125" s="1265"/>
      <c r="AB125" s="1265"/>
      <c r="AC125" s="1265"/>
      <c r="AD125" s="1314"/>
      <c r="AE125" s="1314"/>
      <c r="AF125" s="1314"/>
      <c r="AG125" s="1314"/>
      <c r="AH125" s="1314"/>
      <c r="AI125" s="1313"/>
      <c r="AJ125" s="1260"/>
      <c r="AK125" s="1260"/>
      <c r="AL125" s="1260"/>
      <c r="AM125" s="1260"/>
      <c r="AN125" s="1260"/>
      <c r="AO125" s="1260"/>
      <c r="AP125" s="1260"/>
      <c r="AQ125" s="1260"/>
      <c r="AR125" s="1260"/>
      <c r="AS125" s="1260"/>
      <c r="AT125" s="1260"/>
      <c r="AU125" s="1260"/>
      <c r="AV125" s="1260"/>
      <c r="AW125" s="1260"/>
      <c r="AX125" s="1260"/>
      <c r="AY125" s="1260"/>
      <c r="AZ125" s="1260"/>
      <c r="BA125" s="1260"/>
      <c r="BB125" s="1260"/>
      <c r="BC125" s="1260"/>
      <c r="BD125" s="1260"/>
      <c r="BE125" s="1260"/>
      <c r="BF125" s="1260"/>
      <c r="BG125" s="1260"/>
      <c r="BH125" s="1260"/>
      <c r="BI125" s="1260"/>
      <c r="BJ125" s="1260"/>
      <c r="BK125" s="1260"/>
      <c r="BL125" s="1260"/>
      <c r="BM125" s="1260"/>
      <c r="BN125" s="1260"/>
      <c r="BO125" s="1260"/>
      <c r="BP125" s="1260"/>
      <c r="BQ125" s="1260"/>
      <c r="BR125" s="1260"/>
      <c r="BS125" s="1260"/>
      <c r="BT125" s="1260"/>
      <c r="BU125" s="1260"/>
      <c r="BV125" s="1260"/>
      <c r="BW125" s="1260"/>
      <c r="BX125" s="1260"/>
      <c r="BY125" s="1260"/>
      <c r="BZ125" s="1260"/>
      <c r="CA125" s="1260"/>
      <c r="CB125" s="1260"/>
      <c r="CC125" s="1260"/>
      <c r="CD125" s="1260"/>
      <c r="CE125" s="1260"/>
      <c r="CF125" s="1260"/>
      <c r="CG125" s="1260"/>
      <c r="CH125" s="1260"/>
      <c r="CI125" s="1260"/>
      <c r="CJ125" s="1260"/>
      <c r="CK125" s="1260"/>
      <c r="CL125" s="1260"/>
      <c r="CM125" s="1260"/>
      <c r="CN125" s="1260"/>
      <c r="CO125" s="1260"/>
      <c r="CP125" s="1260"/>
      <c r="CQ125" s="1260"/>
      <c r="CR125" s="1260"/>
      <c r="CS125" s="1260"/>
      <c r="CT125" s="1260"/>
      <c r="CU125" s="1260"/>
      <c r="CV125" s="1260"/>
      <c r="CW125" s="1260"/>
      <c r="CX125" s="1260"/>
      <c r="CY125" s="1260"/>
      <c r="CZ125" s="1260"/>
      <c r="DA125" s="1260"/>
      <c r="DB125" s="1260"/>
      <c r="DC125" s="1260"/>
      <c r="DD125" s="1260"/>
      <c r="DE125" s="1260"/>
      <c r="DF125" s="1260"/>
      <c r="DG125" s="1260"/>
      <c r="DH125" s="1260"/>
      <c r="DI125" s="1260"/>
    </row>
    <row r="126" spans="1:113" ht="15" customHeight="1">
      <c r="A126" s="1622" t="s">
        <v>1249</v>
      </c>
      <c r="B126" s="1267" t="s">
        <v>1250</v>
      </c>
      <c r="C126" s="1268">
        <v>66000</v>
      </c>
      <c r="D126" s="1372"/>
      <c r="E126" s="1373"/>
      <c r="F126" s="1270"/>
      <c r="G126" s="1270"/>
      <c r="H126" s="1270"/>
      <c r="I126" s="1270"/>
      <c r="J126" s="1374"/>
      <c r="K126" s="1270"/>
      <c r="L126" s="1270"/>
      <c r="M126" s="1270"/>
      <c r="N126" s="1270"/>
      <c r="O126" s="1270"/>
      <c r="P126" s="1270"/>
      <c r="Q126" s="1374"/>
      <c r="R126" s="1270"/>
      <c r="S126" s="1270"/>
      <c r="T126" s="1270"/>
      <c r="U126" s="1270"/>
      <c r="V126" s="1270"/>
      <c r="W126" s="1270"/>
      <c r="X126" s="1270"/>
      <c r="Y126" s="1270"/>
      <c r="Z126" s="1270"/>
      <c r="AA126" s="1270"/>
      <c r="AB126" s="1270"/>
      <c r="AC126" s="1270"/>
      <c r="AD126" s="1303"/>
      <c r="AE126" s="1303"/>
      <c r="AF126" s="1303"/>
      <c r="AG126" s="1303"/>
      <c r="AH126" s="1303"/>
      <c r="AI126" s="1313"/>
      <c r="AJ126" s="1260"/>
      <c r="AK126" s="1260"/>
      <c r="AL126" s="1260"/>
      <c r="AM126" s="1260"/>
      <c r="AN126" s="1260"/>
      <c r="AO126" s="1260"/>
      <c r="AP126" s="1260"/>
      <c r="AQ126" s="1260"/>
      <c r="AR126" s="1260"/>
      <c r="AS126" s="1260"/>
      <c r="AT126" s="1260"/>
      <c r="AU126" s="1260"/>
      <c r="AV126" s="1260"/>
      <c r="AW126" s="1260"/>
      <c r="AX126" s="1260"/>
      <c r="AY126" s="1260"/>
      <c r="AZ126" s="1260"/>
      <c r="BA126" s="1260"/>
      <c r="BB126" s="1260"/>
      <c r="BC126" s="1260"/>
      <c r="BD126" s="1260"/>
      <c r="BE126" s="1260"/>
      <c r="BF126" s="1260"/>
      <c r="BG126" s="1260"/>
      <c r="BH126" s="1260"/>
      <c r="BI126" s="1260"/>
      <c r="BJ126" s="1260"/>
      <c r="BK126" s="1260"/>
      <c r="BL126" s="1260"/>
      <c r="BM126" s="1260"/>
      <c r="BN126" s="1260"/>
      <c r="BO126" s="1260"/>
      <c r="BP126" s="1260"/>
      <c r="BQ126" s="1260"/>
      <c r="BR126" s="1260"/>
      <c r="BS126" s="1260"/>
      <c r="BT126" s="1260"/>
      <c r="BU126" s="1260"/>
      <c r="BV126" s="1260"/>
      <c r="BW126" s="1260"/>
      <c r="BX126" s="1260"/>
      <c r="BY126" s="1260"/>
      <c r="BZ126" s="1260"/>
      <c r="CA126" s="1260"/>
      <c r="CB126" s="1260"/>
      <c r="CC126" s="1260"/>
      <c r="CD126" s="1260"/>
      <c r="CE126" s="1260"/>
      <c r="CF126" s="1260"/>
      <c r="CG126" s="1260"/>
      <c r="CH126" s="1260"/>
      <c r="CI126" s="1260"/>
      <c r="CJ126" s="1260"/>
      <c r="CK126" s="1260"/>
      <c r="CL126" s="1260"/>
      <c r="CM126" s="1260"/>
      <c r="CN126" s="1260"/>
      <c r="CO126" s="1260"/>
      <c r="CP126" s="1260"/>
      <c r="CQ126" s="1260"/>
      <c r="CR126" s="1260"/>
      <c r="CS126" s="1260"/>
      <c r="CT126" s="1260"/>
      <c r="CU126" s="1260"/>
      <c r="CV126" s="1260"/>
      <c r="CW126" s="1260"/>
      <c r="CX126" s="1260"/>
      <c r="CY126" s="1260"/>
      <c r="CZ126" s="1260"/>
      <c r="DA126" s="1260"/>
      <c r="DB126" s="1260"/>
      <c r="DC126" s="1260"/>
      <c r="DD126" s="1260"/>
      <c r="DE126" s="1260"/>
      <c r="DF126" s="1260"/>
      <c r="DG126" s="1260"/>
      <c r="DH126" s="1260"/>
      <c r="DI126" s="1260"/>
    </row>
    <row r="127" spans="1:113">
      <c r="A127" s="1622"/>
      <c r="B127" s="1267" t="s">
        <v>1251</v>
      </c>
      <c r="C127" s="1268">
        <v>66240</v>
      </c>
      <c r="D127" s="1372"/>
      <c r="E127" s="1373"/>
      <c r="F127" s="1270"/>
      <c r="G127" s="1270"/>
      <c r="H127" s="1270"/>
      <c r="I127" s="1270"/>
      <c r="J127" s="1374"/>
      <c r="K127" s="1270"/>
      <c r="L127" s="1270"/>
      <c r="M127" s="1270"/>
      <c r="N127" s="1270"/>
      <c r="O127" s="1270"/>
      <c r="P127" s="1270"/>
      <c r="Q127" s="1374"/>
      <c r="R127" s="1270"/>
      <c r="S127" s="1270"/>
      <c r="T127" s="1270"/>
      <c r="U127" s="1270"/>
      <c r="V127" s="1270"/>
      <c r="W127" s="1270"/>
      <c r="X127" s="1270"/>
      <c r="Y127" s="1270"/>
      <c r="Z127" s="1270"/>
      <c r="AA127" s="1270"/>
      <c r="AB127" s="1270"/>
      <c r="AC127" s="1270"/>
      <c r="AD127" s="1315"/>
      <c r="AE127" s="1315"/>
      <c r="AF127" s="1315"/>
      <c r="AG127" s="1315"/>
      <c r="AH127" s="1315"/>
      <c r="AI127" s="1316"/>
    </row>
    <row r="128" spans="1:113">
      <c r="A128" s="1272" t="s">
        <v>1252</v>
      </c>
      <c r="B128" s="1273"/>
      <c r="C128" s="1268">
        <f>+(C127-C126)/2+C126</f>
        <v>66120</v>
      </c>
      <c r="D128" s="1372"/>
      <c r="E128" s="1373"/>
      <c r="F128" s="1270"/>
      <c r="G128" s="1270"/>
      <c r="H128" s="1270"/>
      <c r="I128" s="1270"/>
      <c r="J128" s="1374"/>
      <c r="K128" s="1270"/>
      <c r="L128" s="1270"/>
      <c r="M128" s="1270"/>
      <c r="N128" s="1270"/>
      <c r="O128" s="1270"/>
      <c r="P128" s="1270"/>
      <c r="Q128" s="1374"/>
      <c r="R128" s="1270"/>
      <c r="S128" s="1270"/>
      <c r="T128" s="1270"/>
      <c r="U128" s="1270"/>
      <c r="V128" s="1270"/>
      <c r="W128" s="1270"/>
      <c r="X128" s="1270"/>
      <c r="Y128" s="1270"/>
      <c r="Z128" s="1270"/>
      <c r="AA128" s="1270"/>
      <c r="AB128" s="1270"/>
      <c r="AC128" s="1270"/>
      <c r="AD128" s="1315"/>
      <c r="AE128" s="1315"/>
      <c r="AF128" s="1315"/>
      <c r="AG128" s="1315"/>
      <c r="AH128" s="1315"/>
      <c r="AI128" s="1316"/>
    </row>
    <row r="129" spans="1:113">
      <c r="A129" s="1272" t="s">
        <v>1253</v>
      </c>
      <c r="B129" s="1273"/>
      <c r="C129" s="1274"/>
      <c r="D129" s="1390">
        <f>IF(D131&gt;D130,(D131-D130)+D$2*1000+D$3*1000,(D130-D131)+D$2*1000+D$4*1000)/1000</f>
        <v>81.17</v>
      </c>
      <c r="E129" s="1376">
        <f t="shared" ref="E129:AH129" si="25">IF(E131&gt;E130,(E131-E130)+E$2*1000+E$3*1000,(E130-E131)+E$2*1000+E$4*1000)/1000</f>
        <v>81.62</v>
      </c>
      <c r="F129" s="1276">
        <f t="shared" si="25"/>
        <v>60.92</v>
      </c>
      <c r="G129" s="1276">
        <f t="shared" si="25"/>
        <v>57.19</v>
      </c>
      <c r="H129" s="1276">
        <f t="shared" si="25"/>
        <v>57.22</v>
      </c>
      <c r="I129" s="1276">
        <f t="shared" si="25"/>
        <v>58.12</v>
      </c>
      <c r="J129" s="1377">
        <f t="shared" si="25"/>
        <v>50.62</v>
      </c>
      <c r="K129" s="1276">
        <f t="shared" si="25"/>
        <v>50.12</v>
      </c>
      <c r="L129" s="1276">
        <f t="shared" si="25"/>
        <v>42.92</v>
      </c>
      <c r="M129" s="1276">
        <f t="shared" si="25"/>
        <v>44.82</v>
      </c>
      <c r="N129" s="1276">
        <f t="shared" si="25"/>
        <v>22.72</v>
      </c>
      <c r="O129" s="1276">
        <f t="shared" si="25"/>
        <v>21.12</v>
      </c>
      <c r="P129" s="1276">
        <f t="shared" si="25"/>
        <v>120.12</v>
      </c>
      <c r="Q129" s="1377">
        <f t="shared" si="25"/>
        <v>116.12</v>
      </c>
      <c r="R129" s="1276">
        <f t="shared" si="25"/>
        <v>128.41999999999999</v>
      </c>
      <c r="S129" s="1276">
        <f t="shared" si="25"/>
        <v>20.32</v>
      </c>
      <c r="T129" s="1276">
        <f t="shared" si="25"/>
        <v>14.27</v>
      </c>
      <c r="U129" s="1276">
        <f t="shared" si="25"/>
        <v>15.17</v>
      </c>
      <c r="V129" s="1276">
        <f t="shared" si="25"/>
        <v>14.69</v>
      </c>
      <c r="W129" s="1276">
        <f t="shared" si="25"/>
        <v>36.119999999999997</v>
      </c>
      <c r="X129" s="1276">
        <f t="shared" si="25"/>
        <v>2.42</v>
      </c>
      <c r="Y129" s="1276">
        <f t="shared" si="25"/>
        <v>6.88</v>
      </c>
      <c r="Z129" s="1276">
        <f t="shared" si="25"/>
        <v>12.68</v>
      </c>
      <c r="AA129" s="1276">
        <f t="shared" si="25"/>
        <v>19.23</v>
      </c>
      <c r="AB129" s="1276">
        <f t="shared" si="25"/>
        <v>23.8</v>
      </c>
      <c r="AC129" s="1276">
        <f t="shared" si="25"/>
        <v>30.3</v>
      </c>
      <c r="AD129" s="1277">
        <f t="shared" si="25"/>
        <v>77.17</v>
      </c>
      <c r="AE129" s="1277">
        <f t="shared" si="25"/>
        <v>38.119999999999997</v>
      </c>
      <c r="AF129" s="1277">
        <f t="shared" si="25"/>
        <v>28.12</v>
      </c>
      <c r="AG129" s="1277">
        <f t="shared" si="25"/>
        <v>4.88</v>
      </c>
      <c r="AH129" s="1277">
        <f t="shared" si="25"/>
        <v>16.68</v>
      </c>
      <c r="AI129" s="1316"/>
    </row>
    <row r="130" spans="1:113" hidden="1">
      <c r="A130" s="1278" t="s">
        <v>1254</v>
      </c>
      <c r="B130" s="1279"/>
      <c r="C130" s="1280"/>
      <c r="D130" s="1326">
        <f>+IF($C125=4514,IF(D$6=4514,$C128,$C128),IF(D$6=4515,$C128+101000,101000+$C128))</f>
        <v>167120</v>
      </c>
      <c r="E130" s="1326">
        <f t="shared" ref="E130:AH130" si="26">+IF($C125=4514,IF(E$6=4514,$C128,$C128),IF(E$6=4515,$C128+101000,101000+$C128))</f>
        <v>167120</v>
      </c>
      <c r="F130" s="1200">
        <f t="shared" si="26"/>
        <v>167120</v>
      </c>
      <c r="G130" s="1200">
        <f t="shared" si="26"/>
        <v>167120</v>
      </c>
      <c r="H130" s="1200">
        <f t="shared" si="26"/>
        <v>167120</v>
      </c>
      <c r="I130" s="1200">
        <f t="shared" si="26"/>
        <v>167120</v>
      </c>
      <c r="J130" s="1378">
        <f t="shared" si="26"/>
        <v>167120</v>
      </c>
      <c r="K130" s="1200">
        <f t="shared" si="26"/>
        <v>167120</v>
      </c>
      <c r="L130" s="1200">
        <f t="shared" si="26"/>
        <v>167120</v>
      </c>
      <c r="M130" s="1200">
        <f t="shared" si="26"/>
        <v>167120</v>
      </c>
      <c r="N130" s="1200">
        <f t="shared" si="26"/>
        <v>167120</v>
      </c>
      <c r="O130" s="1200">
        <f t="shared" si="26"/>
        <v>167120</v>
      </c>
      <c r="P130" s="1200">
        <f t="shared" si="26"/>
        <v>167120</v>
      </c>
      <c r="Q130" s="1378">
        <f t="shared" si="26"/>
        <v>167120</v>
      </c>
      <c r="R130" s="1200">
        <f t="shared" si="26"/>
        <v>167120</v>
      </c>
      <c r="S130" s="1200">
        <f t="shared" si="26"/>
        <v>167120</v>
      </c>
      <c r="T130" s="1200">
        <f t="shared" si="26"/>
        <v>167120</v>
      </c>
      <c r="U130" s="1200">
        <f t="shared" si="26"/>
        <v>167120</v>
      </c>
      <c r="V130" s="1200">
        <f t="shared" si="26"/>
        <v>167120</v>
      </c>
      <c r="W130" s="1200">
        <f t="shared" si="26"/>
        <v>167120</v>
      </c>
      <c r="X130" s="1200">
        <f t="shared" si="26"/>
        <v>167120</v>
      </c>
      <c r="Y130" s="1200">
        <f t="shared" si="26"/>
        <v>167120</v>
      </c>
      <c r="Z130" s="1200">
        <f t="shared" si="26"/>
        <v>167120</v>
      </c>
      <c r="AA130" s="1200">
        <f t="shared" si="26"/>
        <v>167120</v>
      </c>
      <c r="AB130" s="1200">
        <f t="shared" si="26"/>
        <v>167120</v>
      </c>
      <c r="AC130" s="1200">
        <f t="shared" si="26"/>
        <v>167120</v>
      </c>
      <c r="AD130" s="1281">
        <f t="shared" si="26"/>
        <v>167120</v>
      </c>
      <c r="AE130" s="1281">
        <f t="shared" si="26"/>
        <v>167120</v>
      </c>
      <c r="AF130" s="1281">
        <f t="shared" si="26"/>
        <v>167120</v>
      </c>
      <c r="AG130" s="1281">
        <f t="shared" si="26"/>
        <v>167120</v>
      </c>
      <c r="AH130" s="1281">
        <f t="shared" si="26"/>
        <v>167120</v>
      </c>
      <c r="AI130" s="1316"/>
    </row>
    <row r="131" spans="1:113" hidden="1">
      <c r="A131" s="1278" t="s">
        <v>1255</v>
      </c>
      <c r="B131" s="1279"/>
      <c r="C131" s="1280"/>
      <c r="D131" s="1326">
        <f>+IF($C125=4514,IF(D$6=4514,D$5,D$5+101000),IF(D$6=4515,D$5+101000,D$5))</f>
        <v>85950</v>
      </c>
      <c r="E131" s="1326">
        <f t="shared" ref="E131:AH131" si="27">+IF($C125=4514,IF(E$6=4514,E$5,E$5+101000),IF(E$6=4515,E$5+101000,E$5))</f>
        <v>85500</v>
      </c>
      <c r="F131" s="1200">
        <f t="shared" si="27"/>
        <v>106200</v>
      </c>
      <c r="G131" s="1200">
        <f t="shared" si="27"/>
        <v>110930</v>
      </c>
      <c r="H131" s="1200">
        <f t="shared" si="27"/>
        <v>109900</v>
      </c>
      <c r="I131" s="1200">
        <f t="shared" si="27"/>
        <v>110000</v>
      </c>
      <c r="J131" s="1378">
        <f t="shared" si="27"/>
        <v>116500</v>
      </c>
      <c r="K131" s="1200">
        <f t="shared" si="27"/>
        <v>117000</v>
      </c>
      <c r="L131" s="1200">
        <f t="shared" si="27"/>
        <v>124200</v>
      </c>
      <c r="M131" s="1200">
        <f t="shared" si="27"/>
        <v>126800</v>
      </c>
      <c r="N131" s="1200">
        <f t="shared" si="27"/>
        <v>144400</v>
      </c>
      <c r="O131" s="1200">
        <f t="shared" si="27"/>
        <v>146000</v>
      </c>
      <c r="P131" s="1200">
        <f t="shared" si="27"/>
        <v>47500</v>
      </c>
      <c r="Q131" s="1378">
        <f t="shared" si="27"/>
        <v>51000</v>
      </c>
      <c r="R131" s="1200">
        <f t="shared" si="27"/>
        <v>40000</v>
      </c>
      <c r="S131" s="1200">
        <f t="shared" si="27"/>
        <v>149800</v>
      </c>
      <c r="T131" s="1200">
        <f t="shared" si="27"/>
        <v>154650</v>
      </c>
      <c r="U131" s="1200">
        <f t="shared" si="27"/>
        <v>153350</v>
      </c>
      <c r="V131" s="1200">
        <f t="shared" si="27"/>
        <v>154730</v>
      </c>
      <c r="W131" s="1200">
        <f t="shared" si="27"/>
        <v>131000</v>
      </c>
      <c r="X131" s="1200">
        <f t="shared" si="27"/>
        <v>164700</v>
      </c>
      <c r="Y131" s="1200">
        <f t="shared" si="27"/>
        <v>173000</v>
      </c>
      <c r="Z131" s="1200">
        <f t="shared" si="27"/>
        <v>176000</v>
      </c>
      <c r="AA131" s="1200">
        <f t="shared" si="27"/>
        <v>185150</v>
      </c>
      <c r="AB131" s="1200">
        <f t="shared" si="27"/>
        <v>190920</v>
      </c>
      <c r="AC131" s="1200">
        <f t="shared" si="27"/>
        <v>190920</v>
      </c>
      <c r="AD131" s="1281">
        <f t="shared" si="27"/>
        <v>89950</v>
      </c>
      <c r="AE131" s="1281">
        <f t="shared" si="27"/>
        <v>129000</v>
      </c>
      <c r="AF131" s="1281">
        <f t="shared" si="27"/>
        <v>139000</v>
      </c>
      <c r="AG131" s="1281">
        <f t="shared" si="27"/>
        <v>172000</v>
      </c>
      <c r="AH131" s="1281">
        <f t="shared" si="27"/>
        <v>177800</v>
      </c>
      <c r="AI131" s="1316"/>
    </row>
    <row r="132" spans="1:113" ht="15" customHeight="1">
      <c r="A132" s="1623" t="s">
        <v>1266</v>
      </c>
      <c r="B132" s="1267" t="s">
        <v>1257</v>
      </c>
      <c r="C132" s="1398">
        <f>+'CANTIDADES Fase II todo'!CY25+'CANTIDADES Fase II todo'!CY28</f>
        <v>353.9</v>
      </c>
      <c r="D132" s="1237"/>
      <c r="E132" s="1354"/>
      <c r="F132" s="1237"/>
      <c r="G132" s="1237"/>
      <c r="H132" s="1237"/>
      <c r="I132" s="1237"/>
      <c r="J132" s="1386"/>
      <c r="K132" s="1237"/>
      <c r="L132" s="1237"/>
      <c r="M132" s="1237"/>
      <c r="N132" s="1237" t="e">
        <f>$C132*#REF!*#REF!</f>
        <v>#REF!</v>
      </c>
      <c r="O132" s="1237"/>
      <c r="P132" s="1237"/>
      <c r="Q132" s="1386"/>
      <c r="R132" s="1237"/>
      <c r="S132" s="1237"/>
      <c r="T132" s="1237"/>
      <c r="U132" s="1237"/>
      <c r="V132" s="1237"/>
      <c r="W132" s="1237"/>
      <c r="X132" s="1237"/>
      <c r="Y132" s="1237"/>
      <c r="Z132" s="1237"/>
      <c r="AA132" s="1237"/>
      <c r="AB132" s="1237"/>
      <c r="AC132" s="1237"/>
      <c r="AD132" s="1283"/>
      <c r="AE132" s="1283"/>
      <c r="AF132" s="1283"/>
      <c r="AG132" s="1283"/>
      <c r="AH132" s="1283"/>
      <c r="AI132" s="1317" t="e">
        <f>+SUMPRODUCT(D132:AH132,D129:AH129)</f>
        <v>#REF!</v>
      </c>
      <c r="AJ132" s="1185" t="e">
        <f>$C132*#REF!*#REF!</f>
        <v>#REF!</v>
      </c>
    </row>
    <row r="133" spans="1:113">
      <c r="A133" s="1623"/>
      <c r="B133" s="1267" t="s">
        <v>1258</v>
      </c>
      <c r="C133" s="1398">
        <f>+'CANTIDADES Fase II todo'!CY26</f>
        <v>180</v>
      </c>
      <c r="D133" s="1237"/>
      <c r="E133" s="1354"/>
      <c r="F133" s="1237"/>
      <c r="G133" s="1237"/>
      <c r="H133" s="1237"/>
      <c r="I133" s="1237"/>
      <c r="J133" s="1386"/>
      <c r="K133" s="1237"/>
      <c r="L133" s="1237"/>
      <c r="M133" s="1237"/>
      <c r="N133" s="1237" t="e">
        <f>$C133*#REF!*#REF!</f>
        <v>#REF!</v>
      </c>
      <c r="O133" s="1237"/>
      <c r="P133" s="1237"/>
      <c r="Q133" s="1386"/>
      <c r="R133" s="1237"/>
      <c r="S133" s="1237"/>
      <c r="T133" s="1237"/>
      <c r="U133" s="1237"/>
      <c r="V133" s="1237"/>
      <c r="W133" s="1237"/>
      <c r="X133" s="1237"/>
      <c r="Y133" s="1237"/>
      <c r="Z133" s="1237"/>
      <c r="AA133" s="1237"/>
      <c r="AB133" s="1237"/>
      <c r="AC133" s="1237"/>
      <c r="AD133" s="1283"/>
      <c r="AE133" s="1283"/>
      <c r="AF133" s="1283"/>
      <c r="AG133" s="1283"/>
      <c r="AH133" s="1283"/>
      <c r="AI133" s="1317" t="e">
        <f>+SUMPRODUCT(D133:AH133,D129:AH129)</f>
        <v>#REF!</v>
      </c>
      <c r="AJ133" s="1185" t="e">
        <f>$C133*#REF!*#REF!</f>
        <v>#REF!</v>
      </c>
    </row>
    <row r="134" spans="1:113">
      <c r="A134" s="1623"/>
      <c r="B134" s="1267" t="s">
        <v>1259</v>
      </c>
      <c r="C134" s="1398">
        <f>+'CANTIDADES Fase II todo'!CY72</f>
        <v>10.728</v>
      </c>
      <c r="D134" s="1237"/>
      <c r="E134" s="1354"/>
      <c r="F134" s="1237"/>
      <c r="G134" s="1237"/>
      <c r="H134" s="1237"/>
      <c r="I134" s="1237"/>
      <c r="J134" s="1386"/>
      <c r="K134" s="1237"/>
      <c r="L134" s="1237"/>
      <c r="M134" s="1237"/>
      <c r="N134" s="1237"/>
      <c r="O134" s="1237"/>
      <c r="P134" s="1237"/>
      <c r="Q134" s="1386"/>
      <c r="R134" s="1237"/>
      <c r="S134" s="1237"/>
      <c r="T134" s="1237"/>
      <c r="U134" s="1237"/>
      <c r="V134" s="1237"/>
      <c r="W134" s="1237"/>
      <c r="X134" s="1237"/>
      <c r="Y134" s="1237"/>
      <c r="Z134" s="1237"/>
      <c r="AA134" s="1237"/>
      <c r="AB134" s="1237"/>
      <c r="AC134" s="1237"/>
      <c r="AD134" s="1283"/>
      <c r="AE134" s="1283"/>
      <c r="AF134" s="1283"/>
      <c r="AG134" s="1283" t="e">
        <f>+$C134*#REF!*#REF!</f>
        <v>#REF!</v>
      </c>
      <c r="AH134" s="1283"/>
      <c r="AI134" s="1317" t="e">
        <f>+SUMPRODUCT(D134:AH134,D129:AH129)</f>
        <v>#REF!</v>
      </c>
      <c r="AJ134" s="1236" t="e">
        <f>+$C134*#REF!*#REF!</f>
        <v>#REF!</v>
      </c>
    </row>
    <row r="135" spans="1:113">
      <c r="A135" s="1623"/>
      <c r="B135" s="1267" t="s">
        <v>1260</v>
      </c>
      <c r="C135" s="1398">
        <f>+'CANTIDADES Fase II todo'!CY83+'CANTIDADES Fase II todo'!CY84+'CANTIDADES Fase II todo'!CY85</f>
        <v>120</v>
      </c>
      <c r="D135" s="1237"/>
      <c r="E135" s="1354"/>
      <c r="F135" s="1237"/>
      <c r="G135" s="1237"/>
      <c r="H135" s="1237"/>
      <c r="I135" s="1237"/>
      <c r="J135" s="1386"/>
      <c r="K135" s="1237"/>
      <c r="L135" s="1237"/>
      <c r="M135" s="1237"/>
      <c r="N135" s="1237"/>
      <c r="O135" s="1237"/>
      <c r="P135" s="1237"/>
      <c r="Q135" s="1386"/>
      <c r="R135" s="1237"/>
      <c r="S135" s="1237"/>
      <c r="T135" s="1237"/>
      <c r="U135" s="1237"/>
      <c r="V135" s="1237"/>
      <c r="W135" s="1237"/>
      <c r="X135" s="1237"/>
      <c r="Y135" s="1237"/>
      <c r="Z135" s="1237"/>
      <c r="AA135" s="1237"/>
      <c r="AB135" s="1237"/>
      <c r="AC135" s="1237"/>
      <c r="AD135" s="1283"/>
      <c r="AE135" s="1283"/>
      <c r="AF135" s="1283"/>
      <c r="AG135" s="1283" t="e">
        <f>+$C135*#REF!*#REF!</f>
        <v>#REF!</v>
      </c>
      <c r="AH135" s="1283"/>
      <c r="AI135" s="1317" t="e">
        <f>+SUMPRODUCT(D135:AH135,D129:AH129)</f>
        <v>#REF!</v>
      </c>
      <c r="AJ135" s="1185" t="e">
        <f>+$C135*#REF!*#REF!</f>
        <v>#REF!</v>
      </c>
    </row>
    <row r="136" spans="1:113">
      <c r="A136" s="1623"/>
      <c r="B136" s="1267" t="s">
        <v>1261</v>
      </c>
      <c r="C136" s="1398">
        <f>+'CANTIDADES Fase II todo'!CY92+'CANTIDADES Fase II todo'!CY93</f>
        <v>181.94</v>
      </c>
      <c r="D136" s="1237"/>
      <c r="E136" s="1354"/>
      <c r="F136" s="1237"/>
      <c r="G136" s="1237"/>
      <c r="H136" s="1237"/>
      <c r="I136" s="1237"/>
      <c r="J136" s="1386"/>
      <c r="K136" s="1237"/>
      <c r="L136" s="1237"/>
      <c r="M136" s="1237"/>
      <c r="N136" s="1237"/>
      <c r="O136" s="1237"/>
      <c r="P136" s="1237"/>
      <c r="Q136" s="1386"/>
      <c r="R136" s="1237"/>
      <c r="S136" s="1237"/>
      <c r="T136" s="1237"/>
      <c r="U136" s="1237"/>
      <c r="V136" s="1237"/>
      <c r="W136" s="1237"/>
      <c r="X136" s="1237"/>
      <c r="Y136" s="1237"/>
      <c r="Z136" s="1237"/>
      <c r="AA136" s="1237"/>
      <c r="AB136" s="1237"/>
      <c r="AC136" s="1237"/>
      <c r="AD136" s="1283" t="e">
        <f>+$C136*#REF!*#REF!</f>
        <v>#REF!</v>
      </c>
      <c r="AE136" s="1283"/>
      <c r="AF136" s="1283"/>
      <c r="AG136" s="1283"/>
      <c r="AH136" s="1283"/>
      <c r="AI136" s="1317" t="e">
        <f>+SUMPRODUCT(D136:AH136,D129:AH129)</f>
        <v>#REF!</v>
      </c>
      <c r="AJ136" s="1185" t="e">
        <f>+$C136*#REF!*#REF!</f>
        <v>#REF!</v>
      </c>
    </row>
    <row r="137" spans="1:113" s="1186" customFormat="1" ht="30">
      <c r="A137" s="1625"/>
      <c r="B137" s="1285" t="s">
        <v>1262</v>
      </c>
      <c r="C137" s="1404">
        <f>+'CANTIDADES Fase II todo'!CY99</f>
        <v>80.58</v>
      </c>
      <c r="D137" s="1246"/>
      <c r="E137" s="1246"/>
      <c r="F137" s="1246"/>
      <c r="G137" s="1246"/>
      <c r="H137" s="1246"/>
      <c r="I137" s="1246"/>
      <c r="J137" s="1246"/>
      <c r="K137" s="1246"/>
      <c r="L137" s="1246"/>
      <c r="M137" s="1246"/>
      <c r="N137" s="1246"/>
      <c r="O137" s="1246"/>
      <c r="P137" s="1246"/>
      <c r="Q137" s="1246"/>
      <c r="R137" s="1246"/>
      <c r="S137" s="1246"/>
      <c r="T137" s="1246"/>
      <c r="U137" s="1246"/>
      <c r="V137" s="1246"/>
      <c r="W137" s="1246"/>
      <c r="X137" s="1246"/>
      <c r="Y137" s="1246"/>
      <c r="Z137" s="1246"/>
      <c r="AA137" s="1246"/>
      <c r="AB137" s="1246"/>
      <c r="AC137" s="1246"/>
      <c r="AD137" s="1247" t="e">
        <f>+$C137*#REF!</f>
        <v>#REF!</v>
      </c>
      <c r="AE137" s="1247"/>
      <c r="AF137" s="1247"/>
      <c r="AG137" s="1247"/>
      <c r="AH137" s="1247"/>
      <c r="AI137" s="1388" t="e">
        <f>+SUMPRODUCT($D137:AH137,$D129:AH129)</f>
        <v>#REF!</v>
      </c>
      <c r="AJ137" s="1287" t="e">
        <f>+$C137*#REF!</f>
        <v>#REF!</v>
      </c>
    </row>
    <row r="138" spans="1:113">
      <c r="A138" s="1187"/>
    </row>
    <row r="139" spans="1:113">
      <c r="B139" s="1267" t="s">
        <v>1257</v>
      </c>
      <c r="C139" s="1296">
        <f t="shared" ref="C139:C144" si="28">+SUMIFS($C$24:$C$123,$B$24:$B$123,B139)</f>
        <v>241885.91700000002</v>
      </c>
      <c r="D139" s="1394"/>
      <c r="L139" s="1260"/>
      <c r="S139" s="1260"/>
      <c r="AI139" s="1270"/>
    </row>
    <row r="140" spans="1:113">
      <c r="B140" s="1267" t="s">
        <v>1258</v>
      </c>
      <c r="C140" s="1296">
        <f t="shared" si="28"/>
        <v>56239.023000000008</v>
      </c>
    </row>
    <row r="141" spans="1:113" s="1392" customFormat="1">
      <c r="A141" s="1185"/>
      <c r="B141" s="1267" t="s">
        <v>1259</v>
      </c>
      <c r="C141" s="1296">
        <f t="shared" si="28"/>
        <v>939.41719999999998</v>
      </c>
      <c r="F141" s="1185"/>
      <c r="G141" s="1185"/>
      <c r="H141" s="1185"/>
      <c r="I141" s="1185"/>
      <c r="J141" s="1393"/>
      <c r="K141" s="1185"/>
      <c r="L141" s="1185"/>
      <c r="M141" s="1185"/>
      <c r="N141" s="1185"/>
      <c r="O141" s="1185"/>
      <c r="P141" s="1185"/>
      <c r="Q141" s="1393"/>
      <c r="R141" s="1185"/>
      <c r="S141" s="1185"/>
      <c r="T141" s="1185"/>
      <c r="U141" s="1185"/>
      <c r="V141" s="1185"/>
      <c r="W141" s="1185"/>
      <c r="X141" s="1185"/>
      <c r="Y141" s="1185"/>
      <c r="Z141" s="1185"/>
      <c r="AA141" s="1185"/>
      <c r="AB141" s="1185"/>
      <c r="AC141" s="1185"/>
      <c r="AD141" s="1319"/>
      <c r="AE141" s="1319"/>
      <c r="AF141" s="1319"/>
      <c r="AG141" s="1319"/>
      <c r="AH141" s="1319"/>
      <c r="AI141" s="1185"/>
      <c r="AJ141" s="1185"/>
      <c r="AK141" s="1185"/>
      <c r="AL141" s="1185"/>
      <c r="AM141" s="1185"/>
      <c r="AN141" s="1185"/>
      <c r="AO141" s="1185"/>
      <c r="AP141" s="1185"/>
      <c r="AQ141" s="1185"/>
      <c r="AR141" s="1185"/>
      <c r="AS141" s="1185"/>
      <c r="AT141" s="1185"/>
      <c r="AU141" s="1185"/>
      <c r="AV141" s="1185"/>
      <c r="AW141" s="1185"/>
      <c r="AX141" s="1185"/>
      <c r="AY141" s="1185"/>
      <c r="AZ141" s="1185"/>
      <c r="BA141" s="1185"/>
      <c r="BB141" s="1185"/>
      <c r="BC141" s="1185"/>
      <c r="BD141" s="1185"/>
      <c r="BE141" s="1185"/>
      <c r="BF141" s="1185"/>
      <c r="BG141" s="1185"/>
      <c r="BH141" s="1185"/>
      <c r="BI141" s="1185"/>
      <c r="BJ141" s="1185"/>
      <c r="BK141" s="1185"/>
      <c r="BL141" s="1185"/>
      <c r="BM141" s="1185"/>
      <c r="BN141" s="1185"/>
      <c r="BO141" s="1185"/>
      <c r="BP141" s="1185"/>
      <c r="BQ141" s="1185"/>
      <c r="BR141" s="1185"/>
      <c r="BS141" s="1185"/>
      <c r="BT141" s="1185"/>
      <c r="BU141" s="1185"/>
      <c r="BV141" s="1185"/>
      <c r="BW141" s="1185"/>
      <c r="BX141" s="1185"/>
      <c r="BY141" s="1185"/>
      <c r="BZ141" s="1185"/>
      <c r="CA141" s="1185"/>
      <c r="CB141" s="1185"/>
      <c r="CC141" s="1185"/>
      <c r="CD141" s="1185"/>
      <c r="CE141" s="1185"/>
      <c r="CF141" s="1185"/>
      <c r="CG141" s="1185"/>
      <c r="CH141" s="1185"/>
      <c r="CI141" s="1185"/>
      <c r="CJ141" s="1185"/>
      <c r="CK141" s="1185"/>
      <c r="CL141" s="1185"/>
      <c r="CM141" s="1185"/>
      <c r="CN141" s="1185"/>
      <c r="CO141" s="1185"/>
      <c r="CP141" s="1185"/>
      <c r="CQ141" s="1185"/>
      <c r="CR141" s="1185"/>
      <c r="CS141" s="1185"/>
      <c r="CT141" s="1185"/>
      <c r="CU141" s="1185"/>
      <c r="CV141" s="1185"/>
      <c r="CW141" s="1185"/>
      <c r="CX141" s="1185"/>
      <c r="CY141" s="1185"/>
      <c r="CZ141" s="1185"/>
      <c r="DA141" s="1185"/>
      <c r="DB141" s="1185"/>
      <c r="DC141" s="1185"/>
      <c r="DD141" s="1185"/>
      <c r="DE141" s="1185"/>
      <c r="DF141" s="1185"/>
      <c r="DG141" s="1185"/>
      <c r="DH141" s="1185"/>
      <c r="DI141" s="1185"/>
    </row>
    <row r="142" spans="1:113" s="1392" customFormat="1">
      <c r="A142" s="1185"/>
      <c r="B142" s="1267" t="s">
        <v>1260</v>
      </c>
      <c r="C142" s="1296">
        <f t="shared" si="28"/>
        <v>37185.485200000003</v>
      </c>
      <c r="F142" s="1185"/>
      <c r="G142" s="1185"/>
      <c r="H142" s="1185"/>
      <c r="I142" s="1185"/>
      <c r="J142" s="1393"/>
      <c r="K142" s="1185"/>
      <c r="L142" s="1185"/>
      <c r="M142" s="1185"/>
      <c r="N142" s="1185"/>
      <c r="O142" s="1185"/>
      <c r="P142" s="1185"/>
      <c r="Q142" s="1393"/>
      <c r="R142" s="1185"/>
      <c r="S142" s="1185"/>
      <c r="T142" s="1185"/>
      <c r="U142" s="1185"/>
      <c r="V142" s="1185"/>
      <c r="W142" s="1185"/>
      <c r="X142" s="1185"/>
      <c r="Y142" s="1185"/>
      <c r="Z142" s="1185"/>
      <c r="AA142" s="1185"/>
      <c r="AB142" s="1185"/>
      <c r="AC142" s="1185"/>
      <c r="AD142" s="1319"/>
      <c r="AE142" s="1319"/>
      <c r="AF142" s="1319"/>
      <c r="AG142" s="1319"/>
      <c r="AH142" s="1319"/>
      <c r="AI142" s="1185"/>
      <c r="AJ142" s="1185"/>
      <c r="AK142" s="1185"/>
      <c r="AL142" s="1185"/>
      <c r="AM142" s="1185"/>
      <c r="AN142" s="1185"/>
      <c r="AO142" s="1185"/>
      <c r="AP142" s="1185"/>
      <c r="AQ142" s="1185"/>
      <c r="AR142" s="1185"/>
      <c r="AS142" s="1185"/>
      <c r="AT142" s="1185"/>
      <c r="AU142" s="1185"/>
      <c r="AV142" s="1185"/>
      <c r="AW142" s="1185"/>
      <c r="AX142" s="1185"/>
      <c r="AY142" s="1185"/>
      <c r="AZ142" s="1185"/>
      <c r="BA142" s="1185"/>
      <c r="BB142" s="1185"/>
      <c r="BC142" s="1185"/>
      <c r="BD142" s="1185"/>
      <c r="BE142" s="1185"/>
      <c r="BF142" s="1185"/>
      <c r="BG142" s="1185"/>
      <c r="BH142" s="1185"/>
      <c r="BI142" s="1185"/>
      <c r="BJ142" s="1185"/>
      <c r="BK142" s="1185"/>
      <c r="BL142" s="1185"/>
      <c r="BM142" s="1185"/>
      <c r="BN142" s="1185"/>
      <c r="BO142" s="1185"/>
      <c r="BP142" s="1185"/>
      <c r="BQ142" s="1185"/>
      <c r="BR142" s="1185"/>
      <c r="BS142" s="1185"/>
      <c r="BT142" s="1185"/>
      <c r="BU142" s="1185"/>
      <c r="BV142" s="1185"/>
      <c r="BW142" s="1185"/>
      <c r="BX142" s="1185"/>
      <c r="BY142" s="1185"/>
      <c r="BZ142" s="1185"/>
      <c r="CA142" s="1185"/>
      <c r="CB142" s="1185"/>
      <c r="CC142" s="1185"/>
      <c r="CD142" s="1185"/>
      <c r="CE142" s="1185"/>
      <c r="CF142" s="1185"/>
      <c r="CG142" s="1185"/>
      <c r="CH142" s="1185"/>
      <c r="CI142" s="1185"/>
      <c r="CJ142" s="1185"/>
      <c r="CK142" s="1185"/>
      <c r="CL142" s="1185"/>
      <c r="CM142" s="1185"/>
      <c r="CN142" s="1185"/>
      <c r="CO142" s="1185"/>
      <c r="CP142" s="1185"/>
      <c r="CQ142" s="1185"/>
      <c r="CR142" s="1185"/>
      <c r="CS142" s="1185"/>
      <c r="CT142" s="1185"/>
      <c r="CU142" s="1185"/>
      <c r="CV142" s="1185"/>
      <c r="CW142" s="1185"/>
      <c r="CX142" s="1185"/>
      <c r="CY142" s="1185"/>
      <c r="CZ142" s="1185"/>
      <c r="DA142" s="1185"/>
      <c r="DB142" s="1185"/>
      <c r="DC142" s="1185"/>
      <c r="DD142" s="1185"/>
      <c r="DE142" s="1185"/>
      <c r="DF142" s="1185"/>
      <c r="DG142" s="1185"/>
      <c r="DH142" s="1185"/>
      <c r="DI142" s="1185"/>
    </row>
    <row r="143" spans="1:113" s="1392" customFormat="1">
      <c r="A143" s="1185"/>
      <c r="B143" s="1267" t="s">
        <v>1261</v>
      </c>
      <c r="C143" s="1296">
        <f t="shared" si="28"/>
        <v>14889.827249999998</v>
      </c>
      <c r="F143" s="1185"/>
      <c r="G143" s="1185"/>
      <c r="H143" s="1185"/>
      <c r="I143" s="1185"/>
      <c r="J143" s="1393"/>
      <c r="K143" s="1185"/>
      <c r="L143" s="1185"/>
      <c r="M143" s="1185"/>
      <c r="N143" s="1185"/>
      <c r="O143" s="1185"/>
      <c r="P143" s="1185"/>
      <c r="Q143" s="1393"/>
      <c r="R143" s="1185"/>
      <c r="S143" s="1185"/>
      <c r="T143" s="1185"/>
      <c r="U143" s="1185"/>
      <c r="V143" s="1185"/>
      <c r="W143" s="1185"/>
      <c r="X143" s="1185"/>
      <c r="Y143" s="1185"/>
      <c r="Z143" s="1185"/>
      <c r="AA143" s="1185"/>
      <c r="AB143" s="1185"/>
      <c r="AC143" s="1185"/>
      <c r="AD143" s="1319"/>
      <c r="AE143" s="1319"/>
      <c r="AF143" s="1319"/>
      <c r="AG143" s="1319"/>
      <c r="AH143" s="1319"/>
      <c r="AI143" s="1185"/>
      <c r="AJ143" s="1185"/>
      <c r="AK143" s="1185"/>
      <c r="AL143" s="1185"/>
      <c r="AM143" s="1185"/>
      <c r="AN143" s="1185"/>
      <c r="AO143" s="1185"/>
      <c r="AP143" s="1185"/>
      <c r="AQ143" s="1185"/>
      <c r="AR143" s="1185"/>
      <c r="AS143" s="1185"/>
      <c r="AT143" s="1185"/>
      <c r="AU143" s="1185"/>
      <c r="AV143" s="1185"/>
      <c r="AW143" s="1185"/>
      <c r="AX143" s="1185"/>
      <c r="AY143" s="1185"/>
      <c r="AZ143" s="1185"/>
      <c r="BA143" s="1185"/>
      <c r="BB143" s="1185"/>
      <c r="BC143" s="1185"/>
      <c r="BD143" s="1185"/>
      <c r="BE143" s="1185"/>
      <c r="BF143" s="1185"/>
      <c r="BG143" s="1185"/>
      <c r="BH143" s="1185"/>
      <c r="BI143" s="1185"/>
      <c r="BJ143" s="1185"/>
      <c r="BK143" s="1185"/>
      <c r="BL143" s="1185"/>
      <c r="BM143" s="1185"/>
      <c r="BN143" s="1185"/>
      <c r="BO143" s="1185"/>
      <c r="BP143" s="1185"/>
      <c r="BQ143" s="1185"/>
      <c r="BR143" s="1185"/>
      <c r="BS143" s="1185"/>
      <c r="BT143" s="1185"/>
      <c r="BU143" s="1185"/>
      <c r="BV143" s="1185"/>
      <c r="BW143" s="1185"/>
      <c r="BX143" s="1185"/>
      <c r="BY143" s="1185"/>
      <c r="BZ143" s="1185"/>
      <c r="CA143" s="1185"/>
      <c r="CB143" s="1185"/>
      <c r="CC143" s="1185"/>
      <c r="CD143" s="1185"/>
      <c r="CE143" s="1185"/>
      <c r="CF143" s="1185"/>
      <c r="CG143" s="1185"/>
      <c r="CH143" s="1185"/>
      <c r="CI143" s="1185"/>
      <c r="CJ143" s="1185"/>
      <c r="CK143" s="1185"/>
      <c r="CL143" s="1185"/>
      <c r="CM143" s="1185"/>
      <c r="CN143" s="1185"/>
      <c r="CO143" s="1185"/>
      <c r="CP143" s="1185"/>
      <c r="CQ143" s="1185"/>
      <c r="CR143" s="1185"/>
      <c r="CS143" s="1185"/>
      <c r="CT143" s="1185"/>
      <c r="CU143" s="1185"/>
      <c r="CV143" s="1185"/>
      <c r="CW143" s="1185"/>
      <c r="CX143" s="1185"/>
      <c r="CY143" s="1185"/>
      <c r="CZ143" s="1185"/>
      <c r="DA143" s="1185"/>
      <c r="DB143" s="1185"/>
      <c r="DC143" s="1185"/>
      <c r="DD143" s="1185"/>
      <c r="DE143" s="1185"/>
      <c r="DF143" s="1185"/>
      <c r="DG143" s="1185"/>
      <c r="DH143" s="1185"/>
      <c r="DI143" s="1185"/>
    </row>
    <row r="144" spans="1:113" s="1392" customFormat="1" ht="30">
      <c r="A144" s="1185"/>
      <c r="B144" s="1285" t="s">
        <v>1262</v>
      </c>
      <c r="C144" s="1296">
        <f t="shared" si="28"/>
        <v>2459.08</v>
      </c>
      <c r="F144" s="1185"/>
      <c r="G144" s="1185"/>
      <c r="H144" s="1185"/>
      <c r="I144" s="1185"/>
      <c r="J144" s="1393"/>
      <c r="K144" s="1185"/>
      <c r="L144" s="1185"/>
      <c r="M144" s="1185"/>
      <c r="N144" s="1185"/>
      <c r="O144" s="1185"/>
      <c r="P144" s="1185"/>
      <c r="Q144" s="1393"/>
      <c r="R144" s="1185"/>
      <c r="S144" s="1185"/>
      <c r="T144" s="1185"/>
      <c r="U144" s="1185"/>
      <c r="V144" s="1185"/>
      <c r="W144" s="1185"/>
      <c r="X144" s="1185"/>
      <c r="Y144" s="1185"/>
      <c r="Z144" s="1185"/>
      <c r="AA144" s="1185"/>
      <c r="AB144" s="1185"/>
      <c r="AC144" s="1185"/>
      <c r="AD144" s="1319"/>
      <c r="AE144" s="1319"/>
      <c r="AF144" s="1319"/>
      <c r="AG144" s="1319"/>
      <c r="AH144" s="1319"/>
      <c r="AI144" s="1185"/>
      <c r="AJ144" s="1185"/>
      <c r="AK144" s="1185"/>
      <c r="AL144" s="1185"/>
      <c r="AM144" s="1185"/>
      <c r="AN144" s="1185"/>
      <c r="AO144" s="1185"/>
      <c r="AP144" s="1185"/>
      <c r="AQ144" s="1185"/>
      <c r="AR144" s="1185"/>
      <c r="AS144" s="1185"/>
      <c r="AT144" s="1185"/>
      <c r="AU144" s="1185"/>
      <c r="AV144" s="1185"/>
      <c r="AW144" s="1185"/>
      <c r="AX144" s="1185"/>
      <c r="AY144" s="1185"/>
      <c r="AZ144" s="1185"/>
      <c r="BA144" s="1185"/>
      <c r="BB144" s="1185"/>
      <c r="BC144" s="1185"/>
      <c r="BD144" s="1185"/>
      <c r="BE144" s="1185"/>
      <c r="BF144" s="1185"/>
      <c r="BG144" s="1185"/>
      <c r="BH144" s="1185"/>
      <c r="BI144" s="1185"/>
      <c r="BJ144" s="1185"/>
      <c r="BK144" s="1185"/>
      <c r="BL144" s="1185"/>
      <c r="BM144" s="1185"/>
      <c r="BN144" s="1185"/>
      <c r="BO144" s="1185"/>
      <c r="BP144" s="1185"/>
      <c r="BQ144" s="1185"/>
      <c r="BR144" s="1185"/>
      <c r="BS144" s="1185"/>
      <c r="BT144" s="1185"/>
      <c r="BU144" s="1185"/>
      <c r="BV144" s="1185"/>
      <c r="BW144" s="1185"/>
      <c r="BX144" s="1185"/>
      <c r="BY144" s="1185"/>
      <c r="BZ144" s="1185"/>
      <c r="CA144" s="1185"/>
      <c r="CB144" s="1185"/>
      <c r="CC144" s="1185"/>
      <c r="CD144" s="1185"/>
      <c r="CE144" s="1185"/>
      <c r="CF144" s="1185"/>
      <c r="CG144" s="1185"/>
      <c r="CH144" s="1185"/>
      <c r="CI144" s="1185"/>
      <c r="CJ144" s="1185"/>
      <c r="CK144" s="1185"/>
      <c r="CL144" s="1185"/>
      <c r="CM144" s="1185"/>
      <c r="CN144" s="1185"/>
      <c r="CO144" s="1185"/>
      <c r="CP144" s="1185"/>
      <c r="CQ144" s="1185"/>
      <c r="CR144" s="1185"/>
      <c r="CS144" s="1185"/>
      <c r="CT144" s="1185"/>
      <c r="CU144" s="1185"/>
      <c r="CV144" s="1185"/>
      <c r="CW144" s="1185"/>
      <c r="CX144" s="1185"/>
      <c r="CY144" s="1185"/>
      <c r="CZ144" s="1185"/>
      <c r="DA144" s="1185"/>
      <c r="DB144" s="1185"/>
      <c r="DC144" s="1185"/>
      <c r="DD144" s="1185"/>
      <c r="DE144" s="1185"/>
      <c r="DF144" s="1185"/>
      <c r="DG144" s="1185"/>
      <c r="DH144" s="1185"/>
      <c r="DI144" s="1185"/>
    </row>
  </sheetData>
  <mergeCells count="33">
    <mergeCell ref="A18:A19"/>
    <mergeCell ref="A1:C1"/>
    <mergeCell ref="AI1:AI12"/>
    <mergeCell ref="A2:C2"/>
    <mergeCell ref="A3:B4"/>
    <mergeCell ref="A5:C5"/>
    <mergeCell ref="A6:C6"/>
    <mergeCell ref="A7:C7"/>
    <mergeCell ref="A8:C8"/>
    <mergeCell ref="A9:C9"/>
    <mergeCell ref="A10:C10"/>
    <mergeCell ref="A11:C11"/>
    <mergeCell ref="A12:C12"/>
    <mergeCell ref="A13:C13"/>
    <mergeCell ref="A14:C14"/>
    <mergeCell ref="A15:C15"/>
    <mergeCell ref="A99:A100"/>
    <mergeCell ref="A24:A29"/>
    <mergeCell ref="A32:A33"/>
    <mergeCell ref="A38:A42"/>
    <mergeCell ref="A45:A46"/>
    <mergeCell ref="A51:A56"/>
    <mergeCell ref="A59:A60"/>
    <mergeCell ref="A65:A69"/>
    <mergeCell ref="A72:A73"/>
    <mergeCell ref="A78:A83"/>
    <mergeCell ref="A86:A87"/>
    <mergeCell ref="A92:A96"/>
    <mergeCell ref="A105:A110"/>
    <mergeCell ref="A113:A114"/>
    <mergeCell ref="A119:A123"/>
    <mergeCell ref="A126:A127"/>
    <mergeCell ref="A132:A137"/>
  </mergeCells>
  <conditionalFormatting sqref="D21:AC21">
    <cfRule type="colorScale" priority="11">
      <colorScale>
        <cfvo type="min"/>
        <cfvo type="percentile" val="50"/>
        <cfvo type="max"/>
        <color rgb="FF63BE7B"/>
        <color rgb="FFFFEB84"/>
        <color rgb="FFF8696B"/>
      </colorScale>
    </cfRule>
  </conditionalFormatting>
  <conditionalFormatting sqref="D35:AC35">
    <cfRule type="colorScale" priority="10">
      <colorScale>
        <cfvo type="min"/>
        <cfvo type="percentile" val="50"/>
        <cfvo type="max"/>
        <color rgb="FF63BE7B"/>
        <color rgb="FFFFEB84"/>
        <color rgb="FFF8696B"/>
      </colorScale>
    </cfRule>
  </conditionalFormatting>
  <conditionalFormatting sqref="D48:AC48">
    <cfRule type="colorScale" priority="9">
      <colorScale>
        <cfvo type="min"/>
        <cfvo type="percentile" val="50"/>
        <cfvo type="max"/>
        <color rgb="FF63BE7B"/>
        <color rgb="FFFFEB84"/>
        <color rgb="FFF8696B"/>
      </colorScale>
    </cfRule>
  </conditionalFormatting>
  <conditionalFormatting sqref="D62:AC62">
    <cfRule type="colorScale" priority="8">
      <colorScale>
        <cfvo type="min"/>
        <cfvo type="percentile" val="50"/>
        <cfvo type="max"/>
        <color rgb="FF63BE7B"/>
        <color rgb="FFFFEB84"/>
        <color rgb="FFF8696B"/>
      </colorScale>
    </cfRule>
  </conditionalFormatting>
  <conditionalFormatting sqref="D89:AC89">
    <cfRule type="colorScale" priority="7">
      <colorScale>
        <cfvo type="min"/>
        <cfvo type="percentile" val="50"/>
        <cfvo type="max"/>
        <color rgb="FF63BE7B"/>
        <color rgb="FFFFEB84"/>
        <color rgb="FFF8696B"/>
      </colorScale>
    </cfRule>
  </conditionalFormatting>
  <conditionalFormatting sqref="D116:AC116">
    <cfRule type="colorScale" priority="6">
      <colorScale>
        <cfvo type="min"/>
        <cfvo type="percentile" val="50"/>
        <cfvo type="max"/>
        <color rgb="FF63BE7B"/>
        <color rgb="FFFFEB84"/>
        <color rgb="FFF8696B"/>
      </colorScale>
    </cfRule>
  </conditionalFormatting>
  <conditionalFormatting sqref="D14:AC14">
    <cfRule type="cellIs" dxfId="50" priority="5" operator="greaterThan">
      <formula>0</formula>
    </cfRule>
  </conditionalFormatting>
  <conditionalFormatting sqref="D13:AC13">
    <cfRule type="cellIs" dxfId="49" priority="4" operator="greaterThan">
      <formula>D10*0.9</formula>
    </cfRule>
  </conditionalFormatting>
  <conditionalFormatting sqref="D75:AC75">
    <cfRule type="colorScale" priority="3">
      <colorScale>
        <cfvo type="min"/>
        <cfvo type="percentile" val="50"/>
        <cfvo type="max"/>
        <color rgb="FF63BE7B"/>
        <color rgb="FFFFEB84"/>
        <color rgb="FFF8696B"/>
      </colorScale>
    </cfRule>
  </conditionalFormatting>
  <conditionalFormatting sqref="D102:AC102">
    <cfRule type="colorScale" priority="2">
      <colorScale>
        <cfvo type="min"/>
        <cfvo type="percentile" val="50"/>
        <cfvo type="max"/>
        <color rgb="FF63BE7B"/>
        <color rgb="FFFFEB84"/>
        <color rgb="FFF8696B"/>
      </colorScale>
    </cfRule>
  </conditionalFormatting>
  <conditionalFormatting sqref="D129:AC129">
    <cfRule type="colorScale" priority="1">
      <colorScale>
        <cfvo type="min"/>
        <cfvo type="percentile" val="50"/>
        <cfvo type="max"/>
        <color rgb="FF63BE7B"/>
        <color rgb="FFFFEB84"/>
        <color rgb="FFF8696B"/>
      </colorScale>
    </cfRule>
  </conditionalFormatting>
  <pageMargins left="0.7" right="0.7" top="0.75" bottom="0.75" header="0.3" footer="0.3"/>
  <pageSetup scale="1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CY192"/>
  <sheetViews>
    <sheetView view="pageBreakPreview" zoomScale="85" zoomScaleNormal="100" zoomScaleSheetLayoutView="85" workbookViewId="0">
      <pane xSplit="4" ySplit="5" topLeftCell="AL19" activePane="bottomRight" state="frozen"/>
      <selection activeCell="A214" sqref="A1:XFD1048576"/>
      <selection pane="topRight" activeCell="A214" sqref="A1:XFD1048576"/>
      <selection pane="bottomLeft" activeCell="A214" sqref="A1:XFD1048576"/>
      <selection pane="bottomRight" activeCell="A214" sqref="A1:XFD1048576"/>
    </sheetView>
  </sheetViews>
  <sheetFormatPr baseColWidth="10" defaultColWidth="11.42578125" defaultRowHeight="15" outlineLevelCol="1"/>
  <cols>
    <col min="1" max="1" width="11.42578125" style="704" hidden="1" customWidth="1"/>
    <col min="2" max="2" width="11.42578125" style="705"/>
    <col min="3" max="3" width="53.7109375" style="706" customWidth="1"/>
    <col min="4" max="4" width="13" style="495" customWidth="1"/>
    <col min="5" max="10" width="9.28515625" style="707" customWidth="1" outlineLevel="1"/>
    <col min="11" max="11" width="10.140625" style="707" customWidth="1" outlineLevel="1"/>
    <col min="12" max="12" width="9.28515625" style="707" customWidth="1" outlineLevel="1"/>
    <col min="13" max="13" width="10.140625" style="707" customWidth="1" outlineLevel="1"/>
    <col min="14" max="14" width="10.28515625" style="707" customWidth="1" outlineLevel="1"/>
    <col min="15" max="15" width="9.28515625" style="707" customWidth="1" outlineLevel="1"/>
    <col min="16" max="17" width="10.28515625" style="707" customWidth="1" outlineLevel="1"/>
    <col min="18" max="20" width="9.28515625" style="707" customWidth="1" outlineLevel="1"/>
    <col min="21" max="22" width="10.28515625" style="707" customWidth="1" outlineLevel="1"/>
    <col min="23" max="23" width="9.28515625" style="707" customWidth="1" outlineLevel="1"/>
    <col min="24" max="24" width="10.140625" style="707" customWidth="1" outlineLevel="1"/>
    <col min="25" max="25" width="10.28515625" style="707" customWidth="1" outlineLevel="1"/>
    <col min="26" max="26" width="9.28515625" style="707" customWidth="1" outlineLevel="1"/>
    <col min="27" max="28" width="10.28515625" style="707" customWidth="1" outlineLevel="1"/>
    <col min="29" max="29" width="11.7109375" style="707" customWidth="1"/>
    <col min="30" max="31" width="10.28515625" style="501" customWidth="1" outlineLevel="1"/>
    <col min="32" max="32" width="10.28515625" style="493" customWidth="1" outlineLevel="1"/>
    <col min="33" max="42" width="9.85546875" style="501" customWidth="1" outlineLevel="1"/>
    <col min="43" max="43" width="10.28515625" style="493" customWidth="1" outlineLevel="1"/>
    <col min="44" max="46" width="9.85546875" style="501" customWidth="1" outlineLevel="1"/>
    <col min="47" max="47" width="11.7109375" style="493" customWidth="1" outlineLevel="1"/>
    <col min="48" max="52" width="9.85546875" style="501" customWidth="1" outlineLevel="1"/>
    <col min="53" max="53" width="9.28515625" style="493" customWidth="1" outlineLevel="1"/>
    <col min="54" max="60" width="9.85546875" style="501" customWidth="1" outlineLevel="1"/>
    <col min="61" max="61" width="10.28515625" style="493" customWidth="1" outlineLevel="1"/>
    <col min="62" max="62" width="11.7109375" style="493" bestFit="1" customWidth="1"/>
    <col min="63" max="63" width="8.140625" style="708" customWidth="1" outlineLevel="1"/>
    <col min="64" max="66" width="9.28515625" style="708" customWidth="1" outlineLevel="1"/>
    <col min="67" max="67" width="10.28515625" style="708" customWidth="1" outlineLevel="1"/>
    <col min="68" max="68" width="8.140625" style="708" customWidth="1" outlineLevel="1"/>
    <col min="69" max="69" width="9.28515625" style="708" customWidth="1" outlineLevel="1"/>
    <col min="70" max="70" width="8.140625" style="708" customWidth="1" outlineLevel="1"/>
    <col min="71" max="71" width="10.28515625" style="708" customWidth="1" outlineLevel="1"/>
    <col min="72" max="72" width="11.140625" style="708" customWidth="1" outlineLevel="1"/>
    <col min="73" max="73" width="9.28515625" style="708" customWidth="1" outlineLevel="1"/>
    <col min="74" max="77" width="8.140625" style="704" customWidth="1" outlineLevel="1"/>
    <col min="78" max="79" width="9.28515625" style="704" customWidth="1" outlineLevel="1"/>
    <col min="80" max="80" width="8.140625" style="704" customWidth="1" outlineLevel="1"/>
    <col min="81" max="81" width="9.28515625" style="704" customWidth="1" outlineLevel="1"/>
    <col min="82" max="82" width="8.140625" style="704" customWidth="1" outlineLevel="1"/>
    <col min="83" max="83" width="9.28515625" style="704" customWidth="1" outlineLevel="1"/>
    <col min="84" max="84" width="7.140625" style="704" customWidth="1" outlineLevel="1"/>
    <col min="85" max="89" width="9.28515625" style="704" customWidth="1" outlineLevel="1"/>
    <col min="90" max="90" width="8.140625" style="704" customWidth="1" outlineLevel="1"/>
    <col min="91" max="91" width="10.28515625" style="704" customWidth="1" outlineLevel="1"/>
    <col min="92" max="92" width="12" style="704" customWidth="1" outlineLevel="1"/>
    <col min="93" max="93" width="9.28515625" style="704" customWidth="1" outlineLevel="1"/>
    <col min="94" max="94" width="11.28515625" style="704" bestFit="1" customWidth="1"/>
    <col min="95" max="97" width="9.28515625" style="709" customWidth="1" outlineLevel="1"/>
    <col min="98" max="98" width="10.28515625" style="709" bestFit="1" customWidth="1" outlineLevel="1"/>
    <col min="99" max="99" width="10.140625" style="709" customWidth="1" outlineLevel="1"/>
    <col min="100" max="100" width="9.28515625" style="709" customWidth="1" outlineLevel="1"/>
    <col min="101" max="101" width="10.140625" style="709" customWidth="1" outlineLevel="1"/>
    <col min="102" max="102" width="11.42578125" style="704"/>
    <col min="103" max="103" width="13.42578125" style="704" customWidth="1"/>
    <col min="104" max="16384" width="11.42578125" style="704"/>
  </cols>
  <sheetData>
    <row r="1" spans="1:103" s="492" customFormat="1" ht="15" customHeight="1">
      <c r="A1" s="491">
        <v>1</v>
      </c>
      <c r="B1" s="1674" t="s">
        <v>29</v>
      </c>
      <c r="C1" s="1677" t="s">
        <v>785</v>
      </c>
      <c r="D1" s="1680" t="s">
        <v>786</v>
      </c>
      <c r="E1" s="1668" t="s">
        <v>787</v>
      </c>
      <c r="F1" s="1669"/>
      <c r="G1" s="1669"/>
      <c r="H1" s="1669"/>
      <c r="I1" s="1670"/>
      <c r="J1" s="1668" t="s">
        <v>788</v>
      </c>
      <c r="K1" s="1669"/>
      <c r="L1" s="1669"/>
      <c r="M1" s="1669"/>
      <c r="N1" s="1670"/>
      <c r="O1" s="1668" t="s">
        <v>789</v>
      </c>
      <c r="P1" s="1669"/>
      <c r="Q1" s="1670"/>
      <c r="R1" s="1668" t="s">
        <v>790</v>
      </c>
      <c r="S1" s="1669"/>
      <c r="T1" s="1669"/>
      <c r="U1" s="1669"/>
      <c r="V1" s="1669"/>
      <c r="W1" s="1669"/>
      <c r="X1" s="1670"/>
      <c r="Y1" s="1668" t="s">
        <v>791</v>
      </c>
      <c r="Z1" s="1669"/>
      <c r="AA1" s="1669"/>
      <c r="AB1" s="1670"/>
      <c r="AC1" s="1695" t="s">
        <v>792</v>
      </c>
      <c r="AD1" s="1685" t="s">
        <v>793</v>
      </c>
      <c r="AE1" s="1686"/>
      <c r="AF1" s="1687"/>
      <c r="AG1" s="1685" t="s">
        <v>794</v>
      </c>
      <c r="AH1" s="1686"/>
      <c r="AI1" s="1686"/>
      <c r="AJ1" s="1686"/>
      <c r="AK1" s="1686"/>
      <c r="AL1" s="1686"/>
      <c r="AM1" s="1686"/>
      <c r="AN1" s="1686"/>
      <c r="AO1" s="1686"/>
      <c r="AP1" s="1686"/>
      <c r="AQ1" s="1687"/>
      <c r="AR1" s="1685" t="s">
        <v>752</v>
      </c>
      <c r="AS1" s="1686"/>
      <c r="AT1" s="1686"/>
      <c r="AU1" s="1687"/>
      <c r="AV1" s="1685" t="s">
        <v>755</v>
      </c>
      <c r="AW1" s="1686"/>
      <c r="AX1" s="1686"/>
      <c r="AY1" s="1686"/>
      <c r="AZ1" s="1686"/>
      <c r="BA1" s="1687"/>
      <c r="BB1" s="1685" t="s">
        <v>756</v>
      </c>
      <c r="BC1" s="1686"/>
      <c r="BD1" s="1686"/>
      <c r="BE1" s="1686"/>
      <c r="BF1" s="1686"/>
      <c r="BG1" s="1686"/>
      <c r="BH1" s="1686"/>
      <c r="BI1" s="1687"/>
      <c r="BJ1" s="1701" t="s">
        <v>795</v>
      </c>
      <c r="BK1" s="1698" t="s">
        <v>796</v>
      </c>
      <c r="BL1" s="1700"/>
      <c r="BM1" s="1700"/>
      <c r="BN1" s="1700"/>
      <c r="BO1" s="1699"/>
      <c r="BP1" s="1698" t="s">
        <v>797</v>
      </c>
      <c r="BQ1" s="1702"/>
      <c r="BR1" s="1702"/>
      <c r="BS1" s="1699"/>
      <c r="BT1" s="1698" t="s">
        <v>798</v>
      </c>
      <c r="BU1" s="1699"/>
      <c r="BV1" s="1698" t="s">
        <v>799</v>
      </c>
      <c r="BW1" s="1700"/>
      <c r="BX1" s="1700"/>
      <c r="BY1" s="1700"/>
      <c r="BZ1" s="1700"/>
      <c r="CA1" s="1700"/>
      <c r="CB1" s="1700"/>
      <c r="CC1" s="1700"/>
      <c r="CD1" s="1700"/>
      <c r="CE1" s="1699"/>
      <c r="CF1" s="1698" t="s">
        <v>800</v>
      </c>
      <c r="CG1" s="1700"/>
      <c r="CH1" s="1700"/>
      <c r="CI1" s="1700"/>
      <c r="CJ1" s="1700"/>
      <c r="CK1" s="1700"/>
      <c r="CL1" s="1700"/>
      <c r="CM1" s="1699"/>
      <c r="CN1" s="1698" t="s">
        <v>801</v>
      </c>
      <c r="CO1" s="1699"/>
      <c r="CP1" s="1701" t="s">
        <v>802</v>
      </c>
      <c r="CQ1" s="1700" t="s">
        <v>803</v>
      </c>
      <c r="CR1" s="1700"/>
      <c r="CS1" s="1699"/>
      <c r="CT1" s="1698" t="s">
        <v>804</v>
      </c>
      <c r="CU1" s="1700"/>
      <c r="CV1" s="1700"/>
      <c r="CW1" s="1699"/>
      <c r="CX1" s="1701" t="s">
        <v>805</v>
      </c>
      <c r="CY1" s="1706" t="s">
        <v>806</v>
      </c>
    </row>
    <row r="2" spans="1:103" s="493" customFormat="1" ht="15" customHeight="1">
      <c r="A2" s="491">
        <v>2</v>
      </c>
      <c r="B2" s="1675"/>
      <c r="C2" s="1678"/>
      <c r="D2" s="1681"/>
      <c r="E2" s="1671"/>
      <c r="F2" s="1672"/>
      <c r="G2" s="1672"/>
      <c r="H2" s="1672"/>
      <c r="I2" s="1673"/>
      <c r="J2" s="1671"/>
      <c r="K2" s="1672"/>
      <c r="L2" s="1672"/>
      <c r="M2" s="1672"/>
      <c r="N2" s="1673"/>
      <c r="O2" s="1671"/>
      <c r="P2" s="1672"/>
      <c r="Q2" s="1673"/>
      <c r="R2" s="1671"/>
      <c r="S2" s="1672"/>
      <c r="T2" s="1672"/>
      <c r="U2" s="1672"/>
      <c r="V2" s="1672"/>
      <c r="W2" s="1672"/>
      <c r="X2" s="1673"/>
      <c r="Y2" s="1671"/>
      <c r="Z2" s="1672"/>
      <c r="AA2" s="1672"/>
      <c r="AB2" s="1673"/>
      <c r="AC2" s="1696"/>
      <c r="AD2" s="1688"/>
      <c r="AE2" s="1689"/>
      <c r="AF2" s="1690"/>
      <c r="AG2" s="1688"/>
      <c r="AH2" s="1689"/>
      <c r="AI2" s="1689"/>
      <c r="AJ2" s="1689"/>
      <c r="AK2" s="1689"/>
      <c r="AL2" s="1689"/>
      <c r="AM2" s="1689"/>
      <c r="AN2" s="1689"/>
      <c r="AO2" s="1689"/>
      <c r="AP2" s="1689"/>
      <c r="AQ2" s="1690"/>
      <c r="AR2" s="1688"/>
      <c r="AS2" s="1689"/>
      <c r="AT2" s="1689"/>
      <c r="AU2" s="1690"/>
      <c r="AV2" s="1688"/>
      <c r="AW2" s="1689"/>
      <c r="AX2" s="1689"/>
      <c r="AY2" s="1689"/>
      <c r="AZ2" s="1689"/>
      <c r="BA2" s="1690"/>
      <c r="BB2" s="1688"/>
      <c r="BC2" s="1689"/>
      <c r="BD2" s="1689"/>
      <c r="BE2" s="1689"/>
      <c r="BF2" s="1689"/>
      <c r="BG2" s="1689"/>
      <c r="BH2" s="1689"/>
      <c r="BI2" s="1690"/>
      <c r="BJ2" s="1696"/>
      <c r="BK2" s="1671"/>
      <c r="BL2" s="1672"/>
      <c r="BM2" s="1672"/>
      <c r="BN2" s="1672"/>
      <c r="BO2" s="1673"/>
      <c r="BP2" s="1671"/>
      <c r="BQ2" s="1703"/>
      <c r="BR2" s="1703"/>
      <c r="BS2" s="1673"/>
      <c r="BT2" s="1671"/>
      <c r="BU2" s="1673"/>
      <c r="BV2" s="1671"/>
      <c r="BW2" s="1672"/>
      <c r="BX2" s="1672"/>
      <c r="BY2" s="1672"/>
      <c r="BZ2" s="1672"/>
      <c r="CA2" s="1672"/>
      <c r="CB2" s="1672"/>
      <c r="CC2" s="1672"/>
      <c r="CD2" s="1672"/>
      <c r="CE2" s="1673"/>
      <c r="CF2" s="1671"/>
      <c r="CG2" s="1672"/>
      <c r="CH2" s="1672"/>
      <c r="CI2" s="1672"/>
      <c r="CJ2" s="1672"/>
      <c r="CK2" s="1672"/>
      <c r="CL2" s="1672"/>
      <c r="CM2" s="1673"/>
      <c r="CN2" s="1671"/>
      <c r="CO2" s="1673"/>
      <c r="CP2" s="1696"/>
      <c r="CQ2" s="1672"/>
      <c r="CR2" s="1672"/>
      <c r="CS2" s="1673"/>
      <c r="CT2" s="1671"/>
      <c r="CU2" s="1672"/>
      <c r="CV2" s="1672"/>
      <c r="CW2" s="1673"/>
      <c r="CX2" s="1696"/>
      <c r="CY2" s="1707"/>
    </row>
    <row r="3" spans="1:103" s="493" customFormat="1" ht="15" customHeight="1">
      <c r="A3" s="491">
        <v>3</v>
      </c>
      <c r="B3" s="1675"/>
      <c r="C3" s="1678"/>
      <c r="D3" s="1681"/>
      <c r="E3" s="1671" t="s">
        <v>807</v>
      </c>
      <c r="F3" s="1672"/>
      <c r="G3" s="1672"/>
      <c r="H3" s="1672"/>
      <c r="I3" s="1683" t="s">
        <v>808</v>
      </c>
      <c r="J3" s="1671" t="s">
        <v>807</v>
      </c>
      <c r="K3" s="1672"/>
      <c r="L3" s="1672"/>
      <c r="M3" s="1672"/>
      <c r="N3" s="1683" t="s">
        <v>809</v>
      </c>
      <c r="O3" s="1671" t="s">
        <v>807</v>
      </c>
      <c r="P3" s="1672"/>
      <c r="Q3" s="1683" t="s">
        <v>808</v>
      </c>
      <c r="R3" s="1671" t="s">
        <v>807</v>
      </c>
      <c r="S3" s="1672"/>
      <c r="T3" s="1672"/>
      <c r="U3" s="1672"/>
      <c r="V3" s="1672"/>
      <c r="W3" s="1672"/>
      <c r="X3" s="1683" t="s">
        <v>808</v>
      </c>
      <c r="Y3" s="1671" t="s">
        <v>807</v>
      </c>
      <c r="Z3" s="1672"/>
      <c r="AA3" s="1672"/>
      <c r="AB3" s="1683" t="s">
        <v>808</v>
      </c>
      <c r="AC3" s="1696"/>
      <c r="AD3" s="1692" t="s">
        <v>807</v>
      </c>
      <c r="AE3" s="1693"/>
      <c r="AF3" s="1683" t="s">
        <v>808</v>
      </c>
      <c r="AG3" s="1692" t="s">
        <v>807</v>
      </c>
      <c r="AH3" s="1694"/>
      <c r="AI3" s="1694"/>
      <c r="AJ3" s="1694"/>
      <c r="AK3" s="1694"/>
      <c r="AL3" s="1694"/>
      <c r="AM3" s="1694"/>
      <c r="AN3" s="1694"/>
      <c r="AO3" s="1694"/>
      <c r="AP3" s="1693"/>
      <c r="AQ3" s="1683" t="s">
        <v>808</v>
      </c>
      <c r="AR3" s="1692" t="s">
        <v>807</v>
      </c>
      <c r="AS3" s="1694"/>
      <c r="AT3" s="1693"/>
      <c r="AU3" s="1683" t="s">
        <v>808</v>
      </c>
      <c r="AV3" s="1692" t="s">
        <v>807</v>
      </c>
      <c r="AW3" s="1694"/>
      <c r="AX3" s="1694"/>
      <c r="AY3" s="1694"/>
      <c r="AZ3" s="1693"/>
      <c r="BA3" s="1683" t="s">
        <v>808</v>
      </c>
      <c r="BB3" s="1692" t="s">
        <v>807</v>
      </c>
      <c r="BC3" s="1694"/>
      <c r="BD3" s="1694"/>
      <c r="BE3" s="1694"/>
      <c r="BF3" s="1694"/>
      <c r="BG3" s="1694"/>
      <c r="BH3" s="1693"/>
      <c r="BI3" s="1683" t="s">
        <v>808</v>
      </c>
      <c r="BJ3" s="1696"/>
      <c r="BK3" s="1671" t="s">
        <v>807</v>
      </c>
      <c r="BL3" s="1672"/>
      <c r="BM3" s="1672"/>
      <c r="BN3" s="1672"/>
      <c r="BO3" s="1683" t="s">
        <v>808</v>
      </c>
      <c r="BP3" s="1704" t="s">
        <v>807</v>
      </c>
      <c r="BQ3" s="1703"/>
      <c r="BR3" s="1705"/>
      <c r="BS3" s="1683" t="s">
        <v>808</v>
      </c>
      <c r="BT3" s="494" t="s">
        <v>807</v>
      </c>
      <c r="BU3" s="1683" t="s">
        <v>808</v>
      </c>
      <c r="BV3" s="1671" t="s">
        <v>807</v>
      </c>
      <c r="BW3" s="1672"/>
      <c r="BX3" s="1672"/>
      <c r="BY3" s="1672"/>
      <c r="BZ3" s="1672"/>
      <c r="CA3" s="1672"/>
      <c r="CB3" s="1672"/>
      <c r="CC3" s="1672"/>
      <c r="CD3" s="1672"/>
      <c r="CE3" s="1683" t="s">
        <v>809</v>
      </c>
      <c r="CF3" s="1671" t="s">
        <v>807</v>
      </c>
      <c r="CG3" s="1672"/>
      <c r="CH3" s="1672"/>
      <c r="CI3" s="1672"/>
      <c r="CJ3" s="1672"/>
      <c r="CK3" s="1672"/>
      <c r="CL3" s="1672"/>
      <c r="CM3" s="1683" t="s">
        <v>808</v>
      </c>
      <c r="CN3" s="494" t="s">
        <v>807</v>
      </c>
      <c r="CO3" s="1683" t="s">
        <v>808</v>
      </c>
      <c r="CP3" s="1696"/>
      <c r="CQ3" s="1672" t="s">
        <v>807</v>
      </c>
      <c r="CR3" s="1672"/>
      <c r="CS3" s="1709" t="s">
        <v>810</v>
      </c>
      <c r="CT3" s="1671" t="s">
        <v>807</v>
      </c>
      <c r="CU3" s="1672"/>
      <c r="CV3" s="1672"/>
      <c r="CW3" s="1683" t="s">
        <v>810</v>
      </c>
      <c r="CX3" s="1696"/>
      <c r="CY3" s="1707"/>
    </row>
    <row r="4" spans="1:103" s="501" customFormat="1" ht="15" customHeight="1">
      <c r="A4" s="495"/>
      <c r="B4" s="1675"/>
      <c r="C4" s="1678"/>
      <c r="D4" s="1681"/>
      <c r="E4" s="496">
        <v>87545</v>
      </c>
      <c r="F4" s="497">
        <v>88879</v>
      </c>
      <c r="G4" s="497">
        <v>89550</v>
      </c>
      <c r="H4" s="497">
        <v>89730</v>
      </c>
      <c r="I4" s="1683"/>
      <c r="J4" s="496">
        <v>114328</v>
      </c>
      <c r="K4" s="497">
        <v>116636</v>
      </c>
      <c r="L4" s="497">
        <v>120432</v>
      </c>
      <c r="M4" s="497">
        <v>122466</v>
      </c>
      <c r="N4" s="1683"/>
      <c r="O4" s="496">
        <v>124328</v>
      </c>
      <c r="P4" s="497">
        <v>126310</v>
      </c>
      <c r="Q4" s="1683"/>
      <c r="R4" s="496">
        <v>16720</v>
      </c>
      <c r="S4" s="497">
        <v>17180</v>
      </c>
      <c r="T4" s="497">
        <v>17320</v>
      </c>
      <c r="U4" s="497">
        <v>17520</v>
      </c>
      <c r="V4" s="497">
        <v>18250</v>
      </c>
      <c r="W4" s="497">
        <v>18880</v>
      </c>
      <c r="X4" s="1683"/>
      <c r="Y4" s="496">
        <v>40000</v>
      </c>
      <c r="Z4" s="497">
        <v>42500</v>
      </c>
      <c r="AA4" s="497">
        <v>43600</v>
      </c>
      <c r="AB4" s="1673"/>
      <c r="AC4" s="1696"/>
      <c r="AD4" s="498">
        <v>30537</v>
      </c>
      <c r="AE4" s="499">
        <v>39200</v>
      </c>
      <c r="AF4" s="1673"/>
      <c r="AG4" s="498">
        <v>40100</v>
      </c>
      <c r="AH4" s="499">
        <v>40429</v>
      </c>
      <c r="AI4" s="499">
        <v>46210</v>
      </c>
      <c r="AJ4" s="499">
        <v>47053</v>
      </c>
      <c r="AK4" s="499">
        <v>47090</v>
      </c>
      <c r="AL4" s="499">
        <v>47240</v>
      </c>
      <c r="AM4" s="499">
        <v>47277</v>
      </c>
      <c r="AN4" s="499">
        <v>48183</v>
      </c>
      <c r="AO4" s="499">
        <v>49915</v>
      </c>
      <c r="AP4" s="499">
        <v>50010</v>
      </c>
      <c r="AQ4" s="1673"/>
      <c r="AR4" s="498">
        <v>58214</v>
      </c>
      <c r="AS4" s="499">
        <v>63227</v>
      </c>
      <c r="AT4" s="499">
        <v>66000</v>
      </c>
      <c r="AU4" s="1673"/>
      <c r="AV4" s="498">
        <v>74553</v>
      </c>
      <c r="AW4" s="499">
        <v>74575</v>
      </c>
      <c r="AX4" s="499">
        <v>77700</v>
      </c>
      <c r="AY4" s="499">
        <v>77750</v>
      </c>
      <c r="AZ4" s="499">
        <v>84170</v>
      </c>
      <c r="BA4" s="1673"/>
      <c r="BB4" s="498">
        <v>84285</v>
      </c>
      <c r="BC4" s="499">
        <v>86365</v>
      </c>
      <c r="BD4" s="499">
        <v>87900</v>
      </c>
      <c r="BE4" s="499">
        <v>88420</v>
      </c>
      <c r="BF4" s="499">
        <v>89820</v>
      </c>
      <c r="BG4" s="499">
        <v>90715</v>
      </c>
      <c r="BH4" s="499">
        <v>90770</v>
      </c>
      <c r="BI4" s="1673"/>
      <c r="BJ4" s="1696"/>
      <c r="BK4" s="496">
        <v>410</v>
      </c>
      <c r="BL4" s="497">
        <v>2510</v>
      </c>
      <c r="BM4" s="497">
        <v>9400</v>
      </c>
      <c r="BN4" s="497">
        <v>10820</v>
      </c>
      <c r="BO4" s="1683"/>
      <c r="BP4" s="496">
        <v>7400</v>
      </c>
      <c r="BQ4" s="497">
        <v>9400</v>
      </c>
      <c r="BR4" s="497">
        <v>10930</v>
      </c>
      <c r="BS4" s="1683"/>
      <c r="BT4" s="496">
        <v>31300</v>
      </c>
      <c r="BU4" s="1683"/>
      <c r="BV4" s="496">
        <v>27350</v>
      </c>
      <c r="BW4" s="497">
        <v>27657</v>
      </c>
      <c r="BX4" s="497">
        <v>29240</v>
      </c>
      <c r="BY4" s="497">
        <v>31330</v>
      </c>
      <c r="BZ4" s="497">
        <v>32520</v>
      </c>
      <c r="CA4" s="497">
        <v>32770</v>
      </c>
      <c r="CB4" s="497">
        <v>36360</v>
      </c>
      <c r="CC4" s="497">
        <v>36760</v>
      </c>
      <c r="CD4" s="497">
        <v>36945</v>
      </c>
      <c r="CE4" s="1683"/>
      <c r="CF4" s="496">
        <v>54270</v>
      </c>
      <c r="CG4" s="497">
        <v>57200</v>
      </c>
      <c r="CH4" s="497">
        <v>65180</v>
      </c>
      <c r="CI4" s="497">
        <v>65550</v>
      </c>
      <c r="CJ4" s="497">
        <v>65730</v>
      </c>
      <c r="CK4" s="497">
        <v>65840</v>
      </c>
      <c r="CL4" s="497">
        <v>65950</v>
      </c>
      <c r="CM4" s="1683"/>
      <c r="CN4" s="496">
        <v>66000</v>
      </c>
      <c r="CO4" s="1683"/>
      <c r="CP4" s="1696"/>
      <c r="CQ4" s="500">
        <v>3200</v>
      </c>
      <c r="CR4" s="500">
        <v>3600</v>
      </c>
      <c r="CS4" s="1710"/>
      <c r="CT4" s="496">
        <v>9020</v>
      </c>
      <c r="CU4" s="497">
        <v>9580</v>
      </c>
      <c r="CV4" s="497">
        <v>11090</v>
      </c>
      <c r="CW4" s="1673"/>
      <c r="CX4" s="1696"/>
      <c r="CY4" s="1707"/>
    </row>
    <row r="5" spans="1:103" s="501" customFormat="1" ht="15" customHeight="1">
      <c r="A5" s="495"/>
      <c r="B5" s="1676"/>
      <c r="C5" s="1679"/>
      <c r="D5" s="1682"/>
      <c r="E5" s="502">
        <v>88879</v>
      </c>
      <c r="F5" s="503">
        <v>89550</v>
      </c>
      <c r="G5" s="503">
        <v>89730</v>
      </c>
      <c r="H5" s="503">
        <v>91430</v>
      </c>
      <c r="I5" s="1684"/>
      <c r="J5" s="502">
        <v>116636</v>
      </c>
      <c r="K5" s="503">
        <v>120432</v>
      </c>
      <c r="L5" s="503">
        <v>122466</v>
      </c>
      <c r="M5" s="503">
        <v>124328</v>
      </c>
      <c r="N5" s="1684"/>
      <c r="O5" s="502">
        <v>125860</v>
      </c>
      <c r="P5" s="503">
        <v>128380</v>
      </c>
      <c r="Q5" s="1684"/>
      <c r="R5" s="502">
        <v>17180</v>
      </c>
      <c r="S5" s="503">
        <v>17320</v>
      </c>
      <c r="T5" s="503">
        <v>17520</v>
      </c>
      <c r="U5" s="503">
        <v>18250</v>
      </c>
      <c r="V5" s="503">
        <v>18880</v>
      </c>
      <c r="W5" s="503">
        <v>19000</v>
      </c>
      <c r="X5" s="1684"/>
      <c r="Y5" s="502">
        <v>41100</v>
      </c>
      <c r="Z5" s="503">
        <v>43060</v>
      </c>
      <c r="AA5" s="503">
        <v>45000</v>
      </c>
      <c r="AB5" s="1691"/>
      <c r="AC5" s="1697"/>
      <c r="AD5" s="504">
        <v>31896</v>
      </c>
      <c r="AE5" s="505">
        <v>40100</v>
      </c>
      <c r="AF5" s="1691"/>
      <c r="AG5" s="504">
        <v>40429</v>
      </c>
      <c r="AH5" s="505">
        <v>46210</v>
      </c>
      <c r="AI5" s="505">
        <v>47053</v>
      </c>
      <c r="AJ5" s="505">
        <v>47090</v>
      </c>
      <c r="AK5" s="505">
        <v>47240</v>
      </c>
      <c r="AL5" s="505">
        <v>47277</v>
      </c>
      <c r="AM5" s="505">
        <v>48183</v>
      </c>
      <c r="AN5" s="505">
        <v>49915</v>
      </c>
      <c r="AO5" s="505">
        <v>50010</v>
      </c>
      <c r="AP5" s="505">
        <v>50200</v>
      </c>
      <c r="AQ5" s="1691"/>
      <c r="AR5" s="504">
        <v>61360</v>
      </c>
      <c r="AS5" s="505">
        <v>65737</v>
      </c>
      <c r="AT5" s="505">
        <v>66580</v>
      </c>
      <c r="AU5" s="1691"/>
      <c r="AV5" s="504">
        <v>74575</v>
      </c>
      <c r="AW5" s="505">
        <v>76800</v>
      </c>
      <c r="AX5" s="505">
        <v>77750</v>
      </c>
      <c r="AY5" s="505">
        <v>79200</v>
      </c>
      <c r="AZ5" s="505">
        <v>84240</v>
      </c>
      <c r="BA5" s="1691"/>
      <c r="BB5" s="504">
        <v>86365</v>
      </c>
      <c r="BC5" s="505">
        <v>86420</v>
      </c>
      <c r="BD5" s="505">
        <v>88420</v>
      </c>
      <c r="BE5" s="505">
        <v>89820</v>
      </c>
      <c r="BF5" s="505">
        <v>90150</v>
      </c>
      <c r="BG5" s="505">
        <v>90770</v>
      </c>
      <c r="BH5" s="505">
        <v>90900</v>
      </c>
      <c r="BI5" s="1691"/>
      <c r="BJ5" s="1697"/>
      <c r="BK5" s="502">
        <v>2510</v>
      </c>
      <c r="BL5" s="503">
        <v>7210</v>
      </c>
      <c r="BM5" s="503">
        <v>10830</v>
      </c>
      <c r="BN5" s="503">
        <v>11000</v>
      </c>
      <c r="BO5" s="1684"/>
      <c r="BP5" s="502">
        <v>8000</v>
      </c>
      <c r="BQ5" s="503">
        <v>9930</v>
      </c>
      <c r="BR5" s="503">
        <v>11000</v>
      </c>
      <c r="BS5" s="1684"/>
      <c r="BT5" s="502">
        <v>32080</v>
      </c>
      <c r="BU5" s="1684"/>
      <c r="BV5" s="502">
        <v>27620</v>
      </c>
      <c r="BW5" s="503">
        <v>29217</v>
      </c>
      <c r="BX5" s="503">
        <v>30305</v>
      </c>
      <c r="BY5" s="503">
        <v>31950</v>
      </c>
      <c r="BZ5" s="503">
        <v>32770</v>
      </c>
      <c r="CA5" s="503">
        <v>36360</v>
      </c>
      <c r="CB5" s="503">
        <v>36760</v>
      </c>
      <c r="CC5" s="503">
        <v>36940</v>
      </c>
      <c r="CD5" s="503">
        <v>37215</v>
      </c>
      <c r="CE5" s="1684"/>
      <c r="CF5" s="502">
        <v>55046</v>
      </c>
      <c r="CG5" s="503">
        <v>60350</v>
      </c>
      <c r="CH5" s="503">
        <v>65550</v>
      </c>
      <c r="CI5" s="503">
        <v>65730</v>
      </c>
      <c r="CJ5" s="503">
        <v>65840</v>
      </c>
      <c r="CK5" s="503">
        <v>65950</v>
      </c>
      <c r="CL5" s="503">
        <v>66000</v>
      </c>
      <c r="CM5" s="1684"/>
      <c r="CN5" s="502">
        <v>66240</v>
      </c>
      <c r="CO5" s="1684"/>
      <c r="CP5" s="1697"/>
      <c r="CQ5" s="500">
        <v>3600</v>
      </c>
      <c r="CR5" s="500">
        <v>4200</v>
      </c>
      <c r="CS5" s="1711"/>
      <c r="CT5" s="502">
        <v>9580</v>
      </c>
      <c r="CU5" s="503">
        <v>9920</v>
      </c>
      <c r="CV5" s="503">
        <v>11510</v>
      </c>
      <c r="CW5" s="1691"/>
      <c r="CX5" s="1697"/>
      <c r="CY5" s="1708"/>
    </row>
    <row r="6" spans="1:103" s="501" customFormat="1" ht="15" customHeight="1">
      <c r="A6" s="495"/>
      <c r="B6" s="506"/>
      <c r="C6" s="507" t="s">
        <v>811</v>
      </c>
      <c r="D6" s="508"/>
      <c r="E6" s="509"/>
      <c r="F6" s="510"/>
      <c r="G6" s="510"/>
      <c r="H6" s="510"/>
      <c r="I6" s="511"/>
      <c r="J6" s="509"/>
      <c r="K6" s="510"/>
      <c r="L6" s="510"/>
      <c r="M6" s="510"/>
      <c r="N6" s="511"/>
      <c r="O6" s="509"/>
      <c r="P6" s="510"/>
      <c r="Q6" s="511"/>
      <c r="R6" s="509"/>
      <c r="S6" s="510"/>
      <c r="T6" s="510"/>
      <c r="U6" s="510"/>
      <c r="V6" s="510"/>
      <c r="W6" s="510"/>
      <c r="X6" s="511"/>
      <c r="Y6" s="509"/>
      <c r="Z6" s="510"/>
      <c r="AA6" s="510"/>
      <c r="AB6" s="512"/>
      <c r="AC6" s="513"/>
      <c r="AD6" s="514"/>
      <c r="AE6" s="515"/>
      <c r="AF6" s="512"/>
      <c r="AG6" s="514"/>
      <c r="AH6" s="515"/>
      <c r="AI6" s="515"/>
      <c r="AJ6" s="515"/>
      <c r="AK6" s="515"/>
      <c r="AL6" s="515"/>
      <c r="AM6" s="515"/>
      <c r="AN6" s="515"/>
      <c r="AO6" s="515"/>
      <c r="AP6" s="515"/>
      <c r="AQ6" s="512"/>
      <c r="AR6" s="514"/>
      <c r="AS6" s="515"/>
      <c r="AT6" s="515"/>
      <c r="AU6" s="512"/>
      <c r="AV6" s="514"/>
      <c r="AW6" s="515"/>
      <c r="AX6" s="515"/>
      <c r="AY6" s="515"/>
      <c r="AZ6" s="515"/>
      <c r="BA6" s="512"/>
      <c r="BB6" s="514"/>
      <c r="BC6" s="515"/>
      <c r="BD6" s="515"/>
      <c r="BE6" s="515"/>
      <c r="BF6" s="515"/>
      <c r="BG6" s="515"/>
      <c r="BH6" s="515"/>
      <c r="BI6" s="512"/>
      <c r="BJ6" s="513"/>
      <c r="BK6" s="509"/>
      <c r="BL6" s="510"/>
      <c r="BM6" s="510"/>
      <c r="BN6" s="510"/>
      <c r="BO6" s="511"/>
      <c r="BP6" s="509"/>
      <c r="BQ6" s="510"/>
      <c r="BR6" s="510"/>
      <c r="BS6" s="511"/>
      <c r="BT6" s="509"/>
      <c r="BU6" s="511"/>
      <c r="BV6" s="509"/>
      <c r="BW6" s="510"/>
      <c r="BX6" s="510"/>
      <c r="BY6" s="516"/>
      <c r="BZ6" s="516"/>
      <c r="CA6" s="516"/>
      <c r="CB6" s="516"/>
      <c r="CC6" s="516"/>
      <c r="CD6" s="516"/>
      <c r="CE6" s="511"/>
      <c r="CF6" s="509"/>
      <c r="CG6" s="510"/>
      <c r="CH6" s="510"/>
      <c r="CI6" s="510"/>
      <c r="CJ6" s="510"/>
      <c r="CK6" s="510"/>
      <c r="CL6" s="510"/>
      <c r="CM6" s="511"/>
      <c r="CN6" s="509"/>
      <c r="CO6" s="511"/>
      <c r="CP6" s="513"/>
      <c r="CQ6" s="509"/>
      <c r="CR6" s="510"/>
      <c r="CS6" s="511"/>
      <c r="CT6" s="509"/>
      <c r="CU6" s="510"/>
      <c r="CV6" s="510"/>
      <c r="CW6" s="512"/>
      <c r="CX6" s="513"/>
      <c r="CY6" s="513"/>
    </row>
    <row r="7" spans="1:103" s="537" customFormat="1" ht="15" customHeight="1">
      <c r="A7" s="517">
        <v>4</v>
      </c>
      <c r="B7" s="518"/>
      <c r="C7" s="519" t="s">
        <v>812</v>
      </c>
      <c r="D7" s="520"/>
      <c r="E7" s="521"/>
      <c r="F7" s="522"/>
      <c r="G7" s="522"/>
      <c r="H7" s="522"/>
      <c r="I7" s="523"/>
      <c r="J7" s="521"/>
      <c r="K7" s="522"/>
      <c r="L7" s="522"/>
      <c r="M7" s="522"/>
      <c r="N7" s="523"/>
      <c r="O7" s="521"/>
      <c r="P7" s="522"/>
      <c r="Q7" s="523"/>
      <c r="R7" s="521"/>
      <c r="S7" s="522"/>
      <c r="T7" s="522"/>
      <c r="U7" s="522"/>
      <c r="V7" s="522"/>
      <c r="W7" s="522"/>
      <c r="X7" s="523"/>
      <c r="Y7" s="521"/>
      <c r="Z7" s="522"/>
      <c r="AA7" s="522"/>
      <c r="AB7" s="523"/>
      <c r="AC7" s="524"/>
      <c r="AD7" s="525"/>
      <c r="AE7" s="526"/>
      <c r="AF7" s="527"/>
      <c r="AG7" s="525"/>
      <c r="AH7" s="526"/>
      <c r="AI7" s="526"/>
      <c r="AJ7" s="526"/>
      <c r="AK7" s="526"/>
      <c r="AL7" s="526"/>
      <c r="AM7" s="526"/>
      <c r="AN7" s="526"/>
      <c r="AO7" s="526"/>
      <c r="AP7" s="526"/>
      <c r="AQ7" s="527"/>
      <c r="AR7" s="525"/>
      <c r="AS7" s="526"/>
      <c r="AT7" s="526"/>
      <c r="AU7" s="527"/>
      <c r="AV7" s="525"/>
      <c r="AW7" s="526"/>
      <c r="AX7" s="526"/>
      <c r="AY7" s="526"/>
      <c r="AZ7" s="526"/>
      <c r="BA7" s="527"/>
      <c r="BB7" s="525"/>
      <c r="BC7" s="526"/>
      <c r="BD7" s="526"/>
      <c r="BE7" s="526"/>
      <c r="BF7" s="526"/>
      <c r="BG7" s="526"/>
      <c r="BH7" s="526"/>
      <c r="BI7" s="527"/>
      <c r="BJ7" s="528"/>
      <c r="BK7" s="529"/>
      <c r="BL7" s="530"/>
      <c r="BM7" s="530"/>
      <c r="BN7" s="530"/>
      <c r="BO7" s="531"/>
      <c r="BP7" s="529"/>
      <c r="BQ7" s="530"/>
      <c r="BR7" s="530"/>
      <c r="BS7" s="531"/>
      <c r="BT7" s="529"/>
      <c r="BU7" s="531"/>
      <c r="BV7" s="532"/>
      <c r="BW7" s="533"/>
      <c r="BX7" s="533"/>
      <c r="BY7" s="534"/>
      <c r="BZ7" s="534"/>
      <c r="CA7" s="534"/>
      <c r="CB7" s="534"/>
      <c r="CC7" s="534"/>
      <c r="CD7" s="534"/>
      <c r="CE7" s="535"/>
      <c r="CF7" s="532"/>
      <c r="CG7" s="533"/>
      <c r="CH7" s="533"/>
      <c r="CI7" s="533"/>
      <c r="CJ7" s="533"/>
      <c r="CK7" s="533"/>
      <c r="CL7" s="533"/>
      <c r="CM7" s="535"/>
      <c r="CN7" s="532"/>
      <c r="CO7" s="535"/>
      <c r="CP7" s="536"/>
      <c r="CQ7" s="521"/>
      <c r="CR7" s="522"/>
      <c r="CS7" s="523"/>
      <c r="CT7" s="521"/>
      <c r="CU7" s="522"/>
      <c r="CV7" s="522"/>
      <c r="CW7" s="523"/>
      <c r="CX7" s="524"/>
      <c r="CY7" s="536"/>
    </row>
    <row r="8" spans="1:103" s="561" customFormat="1" ht="15" customHeight="1">
      <c r="A8" s="538">
        <v>5</v>
      </c>
      <c r="B8" s="539"/>
      <c r="C8" s="540" t="s">
        <v>813</v>
      </c>
      <c r="D8" s="541"/>
      <c r="E8" s="542"/>
      <c r="F8" s="543"/>
      <c r="G8" s="543"/>
      <c r="H8" s="543"/>
      <c r="I8" s="544"/>
      <c r="J8" s="542"/>
      <c r="K8" s="543"/>
      <c r="L8" s="543"/>
      <c r="M8" s="543"/>
      <c r="N8" s="544"/>
      <c r="O8" s="542"/>
      <c r="P8" s="543"/>
      <c r="Q8" s="544"/>
      <c r="R8" s="545"/>
      <c r="S8" s="546"/>
      <c r="T8" s="546"/>
      <c r="U8" s="546"/>
      <c r="V8" s="546"/>
      <c r="W8" s="546"/>
      <c r="X8" s="544"/>
      <c r="Y8" s="545"/>
      <c r="Z8" s="546"/>
      <c r="AA8" s="546"/>
      <c r="AB8" s="544"/>
      <c r="AC8" s="547"/>
      <c r="AD8" s="548"/>
      <c r="AE8" s="549"/>
      <c r="AF8" s="550"/>
      <c r="AG8" s="548"/>
      <c r="AH8" s="549"/>
      <c r="AI8" s="549"/>
      <c r="AJ8" s="549"/>
      <c r="AK8" s="549"/>
      <c r="AL8" s="549"/>
      <c r="AM8" s="549"/>
      <c r="AN8" s="549"/>
      <c r="AO8" s="549"/>
      <c r="AP8" s="549"/>
      <c r="AQ8" s="550"/>
      <c r="AR8" s="548"/>
      <c r="AS8" s="549"/>
      <c r="AT8" s="549"/>
      <c r="AU8" s="550"/>
      <c r="AV8" s="548"/>
      <c r="AW8" s="549"/>
      <c r="AX8" s="549"/>
      <c r="AY8" s="549"/>
      <c r="AZ8" s="549"/>
      <c r="BA8" s="550"/>
      <c r="BB8" s="548"/>
      <c r="BC8" s="549"/>
      <c r="BD8" s="549"/>
      <c r="BE8" s="549"/>
      <c r="BF8" s="549"/>
      <c r="BG8" s="549"/>
      <c r="BH8" s="549"/>
      <c r="BI8" s="550"/>
      <c r="BJ8" s="551"/>
      <c r="BK8" s="552"/>
      <c r="BL8" s="553"/>
      <c r="BM8" s="553"/>
      <c r="BN8" s="553"/>
      <c r="BO8" s="554"/>
      <c r="BP8" s="552"/>
      <c r="BQ8" s="553"/>
      <c r="BR8" s="553"/>
      <c r="BS8" s="554"/>
      <c r="BT8" s="552"/>
      <c r="BU8" s="554"/>
      <c r="BV8" s="555"/>
      <c r="BW8" s="556"/>
      <c r="BX8" s="556"/>
      <c r="BY8" s="556"/>
      <c r="BZ8" s="556"/>
      <c r="CA8" s="556"/>
      <c r="CB8" s="556"/>
      <c r="CC8" s="556"/>
      <c r="CD8" s="556"/>
      <c r="CE8" s="557"/>
      <c r="CF8" s="558"/>
      <c r="CG8" s="559"/>
      <c r="CH8" s="559"/>
      <c r="CI8" s="559"/>
      <c r="CJ8" s="559"/>
      <c r="CK8" s="559"/>
      <c r="CL8" s="559"/>
      <c r="CM8" s="557"/>
      <c r="CN8" s="555"/>
      <c r="CO8" s="557"/>
      <c r="CP8" s="560"/>
      <c r="CQ8" s="542"/>
      <c r="CR8" s="543"/>
      <c r="CS8" s="544">
        <f>+CQ8+CR8</f>
        <v>0</v>
      </c>
      <c r="CT8" s="545"/>
      <c r="CU8" s="546"/>
      <c r="CV8" s="546"/>
      <c r="CW8" s="544">
        <f>+CT8+CU8+CV8</f>
        <v>0</v>
      </c>
      <c r="CX8" s="547">
        <f>+CS8+CW8</f>
        <v>0</v>
      </c>
      <c r="CY8" s="560"/>
    </row>
    <row r="9" spans="1:103" s="537" customFormat="1" ht="15" customHeight="1">
      <c r="A9" s="517">
        <v>6</v>
      </c>
      <c r="B9" s="562"/>
      <c r="C9" s="563" t="s">
        <v>814</v>
      </c>
      <c r="D9" s="564"/>
      <c r="E9" s="565"/>
      <c r="F9" s="566"/>
      <c r="G9" s="566"/>
      <c r="H9" s="566"/>
      <c r="I9" s="567"/>
      <c r="J9" s="565"/>
      <c r="K9" s="566"/>
      <c r="L9" s="566"/>
      <c r="M9" s="566"/>
      <c r="N9" s="567"/>
      <c r="O9" s="565"/>
      <c r="P9" s="566"/>
      <c r="Q9" s="567"/>
      <c r="R9" s="565"/>
      <c r="S9" s="566"/>
      <c r="T9" s="566"/>
      <c r="U9" s="566"/>
      <c r="V9" s="566"/>
      <c r="W9" s="566"/>
      <c r="X9" s="567"/>
      <c r="Y9" s="565"/>
      <c r="Z9" s="566"/>
      <c r="AA9" s="566"/>
      <c r="AB9" s="567"/>
      <c r="AC9" s="568"/>
      <c r="AD9" s="569"/>
      <c r="AE9" s="570"/>
      <c r="AF9" s="571"/>
      <c r="AG9" s="569"/>
      <c r="AH9" s="570"/>
      <c r="AI9" s="570"/>
      <c r="AJ9" s="570"/>
      <c r="AK9" s="570"/>
      <c r="AL9" s="570"/>
      <c r="AM9" s="570"/>
      <c r="AN9" s="570"/>
      <c r="AO9" s="570"/>
      <c r="AP9" s="570"/>
      <c r="AQ9" s="571"/>
      <c r="AR9" s="569"/>
      <c r="AS9" s="570"/>
      <c r="AT9" s="570"/>
      <c r="AU9" s="571"/>
      <c r="AV9" s="569"/>
      <c r="AW9" s="570"/>
      <c r="AX9" s="570"/>
      <c r="AY9" s="570"/>
      <c r="AZ9" s="570"/>
      <c r="BA9" s="571"/>
      <c r="BB9" s="569"/>
      <c r="BC9" s="570"/>
      <c r="BD9" s="570"/>
      <c r="BE9" s="570"/>
      <c r="BF9" s="570"/>
      <c r="BG9" s="570"/>
      <c r="BH9" s="570"/>
      <c r="BI9" s="571"/>
      <c r="BJ9" s="572"/>
      <c r="BK9" s="573"/>
      <c r="BL9" s="574"/>
      <c r="BM9" s="574"/>
      <c r="BN9" s="574"/>
      <c r="BO9" s="575"/>
      <c r="BP9" s="573"/>
      <c r="BQ9" s="574"/>
      <c r="BR9" s="574"/>
      <c r="BS9" s="575"/>
      <c r="BT9" s="573"/>
      <c r="BU9" s="575"/>
      <c r="BV9" s="576"/>
      <c r="BW9" s="577"/>
      <c r="BX9" s="577"/>
      <c r="BY9" s="577"/>
      <c r="BZ9" s="577"/>
      <c r="CA9" s="577"/>
      <c r="CB9" s="577"/>
      <c r="CC9" s="577"/>
      <c r="CD9" s="577"/>
      <c r="CE9" s="578"/>
      <c r="CF9" s="576"/>
      <c r="CG9" s="577"/>
      <c r="CH9" s="577"/>
      <c r="CI9" s="577"/>
      <c r="CJ9" s="577"/>
      <c r="CK9" s="577"/>
      <c r="CL9" s="577"/>
      <c r="CM9" s="578"/>
      <c r="CN9" s="576"/>
      <c r="CO9" s="578"/>
      <c r="CP9" s="579"/>
      <c r="CQ9" s="565"/>
      <c r="CR9" s="566"/>
      <c r="CS9" s="567"/>
      <c r="CT9" s="565"/>
      <c r="CU9" s="566"/>
      <c r="CV9" s="566"/>
      <c r="CW9" s="567"/>
      <c r="CX9" s="568"/>
      <c r="CY9" s="579"/>
    </row>
    <row r="10" spans="1:103" s="561" customFormat="1" ht="15" customHeight="1">
      <c r="A10" s="538">
        <v>7</v>
      </c>
      <c r="B10" s="539"/>
      <c r="C10" s="540" t="s">
        <v>815</v>
      </c>
      <c r="D10" s="541"/>
      <c r="E10" s="545" t="s">
        <v>816</v>
      </c>
      <c r="F10" s="546" t="s">
        <v>816</v>
      </c>
      <c r="G10" s="546" t="s">
        <v>816</v>
      </c>
      <c r="H10" s="546" t="s">
        <v>816</v>
      </c>
      <c r="I10" s="544"/>
      <c r="J10" s="545" t="s">
        <v>816</v>
      </c>
      <c r="K10" s="546" t="s">
        <v>816</v>
      </c>
      <c r="L10" s="546" t="s">
        <v>816</v>
      </c>
      <c r="M10" s="546" t="s">
        <v>816</v>
      </c>
      <c r="N10" s="544"/>
      <c r="O10" s="545" t="s">
        <v>816</v>
      </c>
      <c r="P10" s="546" t="s">
        <v>816</v>
      </c>
      <c r="Q10" s="544"/>
      <c r="R10" s="545" t="s">
        <v>816</v>
      </c>
      <c r="S10" s="546" t="s">
        <v>816</v>
      </c>
      <c r="T10" s="546" t="s">
        <v>816</v>
      </c>
      <c r="U10" s="546" t="s">
        <v>816</v>
      </c>
      <c r="V10" s="546" t="s">
        <v>816</v>
      </c>
      <c r="W10" s="546" t="s">
        <v>816</v>
      </c>
      <c r="X10" s="544"/>
      <c r="Y10" s="545" t="s">
        <v>816</v>
      </c>
      <c r="Z10" s="546" t="s">
        <v>816</v>
      </c>
      <c r="AA10" s="546" t="s">
        <v>816</v>
      </c>
      <c r="AB10" s="544"/>
      <c r="AC10" s="547" t="str">
        <f t="shared" ref="AC10:AC13" si="0">+IF(D10="","",I10+N10+Q10+X10+AB10)</f>
        <v/>
      </c>
      <c r="AD10" s="548"/>
      <c r="AE10" s="549"/>
      <c r="AF10" s="550"/>
      <c r="AG10" s="548"/>
      <c r="AH10" s="549"/>
      <c r="AI10" s="549"/>
      <c r="AJ10" s="549"/>
      <c r="AK10" s="549"/>
      <c r="AL10" s="549"/>
      <c r="AM10" s="549"/>
      <c r="AN10" s="549"/>
      <c r="AO10" s="549"/>
      <c r="AP10" s="549"/>
      <c r="AQ10" s="550"/>
      <c r="AR10" s="548"/>
      <c r="AS10" s="549"/>
      <c r="AT10" s="549"/>
      <c r="AU10" s="550"/>
      <c r="AV10" s="548"/>
      <c r="AW10" s="549"/>
      <c r="AX10" s="549"/>
      <c r="AY10" s="549"/>
      <c r="AZ10" s="549"/>
      <c r="BA10" s="550"/>
      <c r="BB10" s="548"/>
      <c r="BC10" s="549"/>
      <c r="BD10" s="549"/>
      <c r="BE10" s="549"/>
      <c r="BF10" s="549"/>
      <c r="BG10" s="549"/>
      <c r="BH10" s="549"/>
      <c r="BI10" s="550"/>
      <c r="BJ10" s="551" t="s">
        <v>816</v>
      </c>
      <c r="BK10" s="552"/>
      <c r="BL10" s="553"/>
      <c r="BM10" s="553"/>
      <c r="BN10" s="553"/>
      <c r="BO10" s="554"/>
      <c r="BP10" s="552"/>
      <c r="BQ10" s="553"/>
      <c r="BR10" s="553"/>
      <c r="BS10" s="554"/>
      <c r="BT10" s="552"/>
      <c r="BU10" s="554"/>
      <c r="BV10" s="558"/>
      <c r="BW10" s="559"/>
      <c r="BX10" s="559"/>
      <c r="BY10" s="559"/>
      <c r="BZ10" s="559"/>
      <c r="CA10" s="559"/>
      <c r="CB10" s="559"/>
      <c r="CC10" s="559"/>
      <c r="CD10" s="559"/>
      <c r="CE10" s="557"/>
      <c r="CF10" s="558"/>
      <c r="CG10" s="559"/>
      <c r="CH10" s="559"/>
      <c r="CI10" s="559"/>
      <c r="CJ10" s="559"/>
      <c r="CK10" s="559"/>
      <c r="CL10" s="559"/>
      <c r="CM10" s="557"/>
      <c r="CN10" s="558"/>
      <c r="CO10" s="557"/>
      <c r="CP10" s="560" t="s">
        <v>816</v>
      </c>
      <c r="CQ10" s="545"/>
      <c r="CR10" s="546"/>
      <c r="CS10" s="544">
        <f>+CQ10+CR10</f>
        <v>0</v>
      </c>
      <c r="CT10" s="545"/>
      <c r="CU10" s="546"/>
      <c r="CV10" s="546"/>
      <c r="CW10" s="544">
        <f>+CT10+CU10+CV10</f>
        <v>0</v>
      </c>
      <c r="CX10" s="547">
        <f>+CS10+CW10</f>
        <v>0</v>
      </c>
      <c r="CY10" s="560"/>
    </row>
    <row r="11" spans="1:103" s="561" customFormat="1" ht="15" customHeight="1">
      <c r="A11" s="538">
        <v>8</v>
      </c>
      <c r="B11" s="539"/>
      <c r="C11" s="540" t="s">
        <v>817</v>
      </c>
      <c r="D11" s="541"/>
      <c r="E11" s="545" t="s">
        <v>816</v>
      </c>
      <c r="F11" s="546" t="s">
        <v>816</v>
      </c>
      <c r="G11" s="546" t="s">
        <v>816</v>
      </c>
      <c r="H11" s="546" t="s">
        <v>816</v>
      </c>
      <c r="I11" s="544"/>
      <c r="J11" s="545" t="s">
        <v>816</v>
      </c>
      <c r="K11" s="546" t="s">
        <v>816</v>
      </c>
      <c r="L11" s="546" t="s">
        <v>816</v>
      </c>
      <c r="M11" s="546" t="s">
        <v>816</v>
      </c>
      <c r="N11" s="544"/>
      <c r="O11" s="545" t="s">
        <v>816</v>
      </c>
      <c r="P11" s="546" t="s">
        <v>816</v>
      </c>
      <c r="Q11" s="544"/>
      <c r="R11" s="545" t="s">
        <v>816</v>
      </c>
      <c r="S11" s="546" t="s">
        <v>816</v>
      </c>
      <c r="T11" s="546" t="s">
        <v>816</v>
      </c>
      <c r="U11" s="546" t="s">
        <v>816</v>
      </c>
      <c r="V11" s="546" t="s">
        <v>816</v>
      </c>
      <c r="W11" s="546" t="s">
        <v>816</v>
      </c>
      <c r="X11" s="544"/>
      <c r="Y11" s="545" t="s">
        <v>816</v>
      </c>
      <c r="Z11" s="546" t="s">
        <v>816</v>
      </c>
      <c r="AA11" s="546" t="s">
        <v>816</v>
      </c>
      <c r="AB11" s="544"/>
      <c r="AC11" s="547" t="str">
        <f t="shared" si="0"/>
        <v/>
      </c>
      <c r="AD11" s="548"/>
      <c r="AE11" s="549"/>
      <c r="AF11" s="550"/>
      <c r="AG11" s="548"/>
      <c r="AH11" s="549"/>
      <c r="AI11" s="549"/>
      <c r="AJ11" s="549"/>
      <c r="AK11" s="549"/>
      <c r="AL11" s="549"/>
      <c r="AM11" s="549"/>
      <c r="AN11" s="549"/>
      <c r="AO11" s="549"/>
      <c r="AP11" s="549"/>
      <c r="AQ11" s="550"/>
      <c r="AR11" s="548"/>
      <c r="AS11" s="549"/>
      <c r="AT11" s="549"/>
      <c r="AU11" s="550"/>
      <c r="AV11" s="548"/>
      <c r="AW11" s="549"/>
      <c r="AX11" s="549"/>
      <c r="AY11" s="549"/>
      <c r="AZ11" s="549"/>
      <c r="BA11" s="550"/>
      <c r="BB11" s="548"/>
      <c r="BC11" s="549"/>
      <c r="BD11" s="549"/>
      <c r="BE11" s="549"/>
      <c r="BF11" s="549"/>
      <c r="BG11" s="549"/>
      <c r="BH11" s="549"/>
      <c r="BI11" s="550"/>
      <c r="BJ11" s="551" t="s">
        <v>816</v>
      </c>
      <c r="BK11" s="552"/>
      <c r="BL11" s="553"/>
      <c r="BM11" s="553"/>
      <c r="BN11" s="553"/>
      <c r="BO11" s="554"/>
      <c r="BP11" s="552"/>
      <c r="BQ11" s="553"/>
      <c r="BR11" s="553"/>
      <c r="BS11" s="554"/>
      <c r="BT11" s="552"/>
      <c r="BU11" s="554"/>
      <c r="BV11" s="558"/>
      <c r="BW11" s="559"/>
      <c r="BX11" s="559"/>
      <c r="BY11" s="559"/>
      <c r="BZ11" s="559"/>
      <c r="CA11" s="559"/>
      <c r="CB11" s="559"/>
      <c r="CC11" s="559"/>
      <c r="CD11" s="559"/>
      <c r="CE11" s="557"/>
      <c r="CF11" s="558"/>
      <c r="CG11" s="559"/>
      <c r="CH11" s="559"/>
      <c r="CI11" s="559"/>
      <c r="CJ11" s="559"/>
      <c r="CK11" s="559"/>
      <c r="CL11" s="559"/>
      <c r="CM11" s="557"/>
      <c r="CN11" s="558"/>
      <c r="CO11" s="557"/>
      <c r="CP11" s="560" t="s">
        <v>816</v>
      </c>
      <c r="CQ11" s="545"/>
      <c r="CR11" s="546"/>
      <c r="CS11" s="544">
        <f>+CQ11+CR11</f>
        <v>0</v>
      </c>
      <c r="CT11" s="545"/>
      <c r="CU11" s="546"/>
      <c r="CV11" s="546"/>
      <c r="CW11" s="544">
        <f>+CT11+CU11+CV11</f>
        <v>0</v>
      </c>
      <c r="CX11" s="547">
        <f>+CS11+CW11</f>
        <v>0</v>
      </c>
      <c r="CY11" s="560"/>
    </row>
    <row r="12" spans="1:103" s="561" customFormat="1" ht="15" customHeight="1">
      <c r="A12" s="538">
        <v>9</v>
      </c>
      <c r="B12" s="539"/>
      <c r="C12" s="540" t="s">
        <v>818</v>
      </c>
      <c r="D12" s="541"/>
      <c r="E12" s="545" t="s">
        <v>816</v>
      </c>
      <c r="F12" s="546" t="s">
        <v>816</v>
      </c>
      <c r="G12" s="546" t="s">
        <v>816</v>
      </c>
      <c r="H12" s="546" t="s">
        <v>816</v>
      </c>
      <c r="I12" s="544"/>
      <c r="J12" s="545" t="s">
        <v>816</v>
      </c>
      <c r="K12" s="546" t="s">
        <v>816</v>
      </c>
      <c r="L12" s="546" t="s">
        <v>816</v>
      </c>
      <c r="M12" s="546" t="s">
        <v>816</v>
      </c>
      <c r="N12" s="544"/>
      <c r="O12" s="545" t="s">
        <v>816</v>
      </c>
      <c r="P12" s="546" t="s">
        <v>816</v>
      </c>
      <c r="Q12" s="544"/>
      <c r="R12" s="545" t="s">
        <v>816</v>
      </c>
      <c r="S12" s="546" t="s">
        <v>816</v>
      </c>
      <c r="T12" s="546" t="s">
        <v>816</v>
      </c>
      <c r="U12" s="546" t="s">
        <v>816</v>
      </c>
      <c r="V12" s="546" t="s">
        <v>816</v>
      </c>
      <c r="W12" s="546" t="s">
        <v>816</v>
      </c>
      <c r="X12" s="544"/>
      <c r="Y12" s="545" t="s">
        <v>816</v>
      </c>
      <c r="Z12" s="546" t="s">
        <v>816</v>
      </c>
      <c r="AA12" s="546" t="s">
        <v>816</v>
      </c>
      <c r="AB12" s="544"/>
      <c r="AC12" s="547" t="str">
        <f t="shared" si="0"/>
        <v/>
      </c>
      <c r="AD12" s="548"/>
      <c r="AE12" s="549"/>
      <c r="AF12" s="550"/>
      <c r="AG12" s="548"/>
      <c r="AH12" s="549"/>
      <c r="AI12" s="549"/>
      <c r="AJ12" s="549"/>
      <c r="AK12" s="549"/>
      <c r="AL12" s="549"/>
      <c r="AM12" s="549"/>
      <c r="AN12" s="549"/>
      <c r="AO12" s="549"/>
      <c r="AP12" s="549"/>
      <c r="AQ12" s="550"/>
      <c r="AR12" s="548"/>
      <c r="AS12" s="549"/>
      <c r="AT12" s="549"/>
      <c r="AU12" s="550"/>
      <c r="AV12" s="548"/>
      <c r="AW12" s="549"/>
      <c r="AX12" s="549"/>
      <c r="AY12" s="549"/>
      <c r="AZ12" s="549"/>
      <c r="BA12" s="550"/>
      <c r="BB12" s="548"/>
      <c r="BC12" s="549"/>
      <c r="BD12" s="549"/>
      <c r="BE12" s="549"/>
      <c r="BF12" s="549"/>
      <c r="BG12" s="549"/>
      <c r="BH12" s="549"/>
      <c r="BI12" s="550"/>
      <c r="BJ12" s="551" t="s">
        <v>816</v>
      </c>
      <c r="BK12" s="552"/>
      <c r="BL12" s="553"/>
      <c r="BM12" s="553"/>
      <c r="BN12" s="553"/>
      <c r="BO12" s="554"/>
      <c r="BP12" s="552"/>
      <c r="BQ12" s="553"/>
      <c r="BR12" s="553"/>
      <c r="BS12" s="554"/>
      <c r="BT12" s="552"/>
      <c r="BU12" s="554"/>
      <c r="BV12" s="558"/>
      <c r="BW12" s="559"/>
      <c r="BX12" s="559"/>
      <c r="BY12" s="559"/>
      <c r="BZ12" s="559"/>
      <c r="CA12" s="559"/>
      <c r="CB12" s="559"/>
      <c r="CC12" s="559"/>
      <c r="CD12" s="559"/>
      <c r="CE12" s="557"/>
      <c r="CF12" s="558"/>
      <c r="CG12" s="559"/>
      <c r="CH12" s="559"/>
      <c r="CI12" s="559"/>
      <c r="CJ12" s="559"/>
      <c r="CK12" s="559"/>
      <c r="CL12" s="559"/>
      <c r="CM12" s="557"/>
      <c r="CN12" s="558"/>
      <c r="CO12" s="557"/>
      <c r="CP12" s="560" t="s">
        <v>816</v>
      </c>
      <c r="CQ12" s="545"/>
      <c r="CR12" s="546"/>
      <c r="CS12" s="544">
        <f>+CQ12+CR12</f>
        <v>0</v>
      </c>
      <c r="CT12" s="545"/>
      <c r="CU12" s="546"/>
      <c r="CV12" s="546"/>
      <c r="CW12" s="544">
        <f>+CT12+CU12+CV12</f>
        <v>0</v>
      </c>
      <c r="CX12" s="547">
        <f>+CS12+CW12</f>
        <v>0</v>
      </c>
      <c r="CY12" s="560"/>
    </row>
    <row r="13" spans="1:103" s="561" customFormat="1" ht="15" customHeight="1">
      <c r="A13" s="538">
        <v>10</v>
      </c>
      <c r="B13" s="539"/>
      <c r="C13" s="540" t="s">
        <v>819</v>
      </c>
      <c r="D13" s="541"/>
      <c r="E13" s="545" t="s">
        <v>816</v>
      </c>
      <c r="F13" s="546" t="s">
        <v>816</v>
      </c>
      <c r="G13" s="546" t="s">
        <v>816</v>
      </c>
      <c r="H13" s="546" t="s">
        <v>816</v>
      </c>
      <c r="I13" s="544"/>
      <c r="J13" s="545" t="s">
        <v>816</v>
      </c>
      <c r="K13" s="546" t="s">
        <v>816</v>
      </c>
      <c r="L13" s="546" t="s">
        <v>816</v>
      </c>
      <c r="M13" s="546" t="s">
        <v>816</v>
      </c>
      <c r="N13" s="544"/>
      <c r="O13" s="545" t="s">
        <v>816</v>
      </c>
      <c r="P13" s="546" t="s">
        <v>816</v>
      </c>
      <c r="Q13" s="544"/>
      <c r="R13" s="545" t="s">
        <v>816</v>
      </c>
      <c r="S13" s="546" t="s">
        <v>816</v>
      </c>
      <c r="T13" s="546" t="s">
        <v>816</v>
      </c>
      <c r="U13" s="546" t="s">
        <v>816</v>
      </c>
      <c r="V13" s="546" t="s">
        <v>816</v>
      </c>
      <c r="W13" s="546" t="s">
        <v>816</v>
      </c>
      <c r="X13" s="544"/>
      <c r="Y13" s="545" t="s">
        <v>816</v>
      </c>
      <c r="Z13" s="546" t="s">
        <v>816</v>
      </c>
      <c r="AA13" s="546" t="s">
        <v>816</v>
      </c>
      <c r="AB13" s="544"/>
      <c r="AC13" s="547" t="str">
        <f t="shared" si="0"/>
        <v/>
      </c>
      <c r="AD13" s="548"/>
      <c r="AE13" s="549"/>
      <c r="AF13" s="550"/>
      <c r="AG13" s="548"/>
      <c r="AH13" s="549"/>
      <c r="AI13" s="549"/>
      <c r="AJ13" s="549"/>
      <c r="AK13" s="549"/>
      <c r="AL13" s="549"/>
      <c r="AM13" s="549"/>
      <c r="AN13" s="549"/>
      <c r="AO13" s="549"/>
      <c r="AP13" s="549"/>
      <c r="AQ13" s="550"/>
      <c r="AR13" s="548"/>
      <c r="AS13" s="549"/>
      <c r="AT13" s="549"/>
      <c r="AU13" s="550"/>
      <c r="AV13" s="548"/>
      <c r="AW13" s="549"/>
      <c r="AX13" s="549"/>
      <c r="AY13" s="549"/>
      <c r="AZ13" s="549"/>
      <c r="BA13" s="550"/>
      <c r="BB13" s="548"/>
      <c r="BC13" s="549"/>
      <c r="BD13" s="549"/>
      <c r="BE13" s="549"/>
      <c r="BF13" s="549"/>
      <c r="BG13" s="549"/>
      <c r="BH13" s="549"/>
      <c r="BI13" s="550"/>
      <c r="BJ13" s="551" t="s">
        <v>816</v>
      </c>
      <c r="BK13" s="552"/>
      <c r="BL13" s="553"/>
      <c r="BM13" s="553"/>
      <c r="BN13" s="553"/>
      <c r="BO13" s="554"/>
      <c r="BP13" s="552"/>
      <c r="BQ13" s="553"/>
      <c r="BR13" s="553"/>
      <c r="BS13" s="554"/>
      <c r="BT13" s="552"/>
      <c r="BU13" s="554"/>
      <c r="BV13" s="558"/>
      <c r="BW13" s="559"/>
      <c r="BX13" s="559"/>
      <c r="BY13" s="559"/>
      <c r="BZ13" s="559"/>
      <c r="CA13" s="559"/>
      <c r="CB13" s="559"/>
      <c r="CC13" s="559"/>
      <c r="CD13" s="559"/>
      <c r="CE13" s="557"/>
      <c r="CF13" s="558"/>
      <c r="CG13" s="559"/>
      <c r="CH13" s="559"/>
      <c r="CI13" s="559"/>
      <c r="CJ13" s="559"/>
      <c r="CK13" s="559"/>
      <c r="CL13" s="559"/>
      <c r="CM13" s="557"/>
      <c r="CN13" s="558"/>
      <c r="CO13" s="557"/>
      <c r="CP13" s="560" t="s">
        <v>816</v>
      </c>
      <c r="CQ13" s="545"/>
      <c r="CR13" s="546"/>
      <c r="CS13" s="544">
        <f>+CQ13+CR13</f>
        <v>0</v>
      </c>
      <c r="CT13" s="545"/>
      <c r="CU13" s="546"/>
      <c r="CV13" s="546"/>
      <c r="CW13" s="544">
        <f>+CT13+CU13+CV13</f>
        <v>0</v>
      </c>
      <c r="CX13" s="547">
        <f>+CS13+CW13</f>
        <v>0</v>
      </c>
      <c r="CY13" s="560"/>
    </row>
    <row r="14" spans="1:103" s="537" customFormat="1">
      <c r="A14" s="517">
        <v>11</v>
      </c>
      <c r="B14" s="562"/>
      <c r="C14" s="563" t="s">
        <v>820</v>
      </c>
      <c r="D14" s="564"/>
      <c r="E14" s="565"/>
      <c r="F14" s="566"/>
      <c r="G14" s="566"/>
      <c r="H14" s="566"/>
      <c r="I14" s="567"/>
      <c r="J14" s="565"/>
      <c r="K14" s="566"/>
      <c r="L14" s="566"/>
      <c r="M14" s="566"/>
      <c r="N14" s="567"/>
      <c r="O14" s="565"/>
      <c r="P14" s="566"/>
      <c r="Q14" s="567"/>
      <c r="R14" s="565"/>
      <c r="S14" s="566"/>
      <c r="T14" s="566"/>
      <c r="U14" s="566"/>
      <c r="V14" s="566"/>
      <c r="W14" s="566"/>
      <c r="X14" s="567"/>
      <c r="Y14" s="565"/>
      <c r="Z14" s="566"/>
      <c r="AA14" s="566"/>
      <c r="AB14" s="567"/>
      <c r="AC14" s="568"/>
      <c r="AD14" s="569"/>
      <c r="AE14" s="570"/>
      <c r="AF14" s="571"/>
      <c r="AG14" s="569"/>
      <c r="AH14" s="570"/>
      <c r="AI14" s="570"/>
      <c r="AJ14" s="570"/>
      <c r="AK14" s="570"/>
      <c r="AL14" s="570"/>
      <c r="AM14" s="570"/>
      <c r="AN14" s="570"/>
      <c r="AO14" s="570"/>
      <c r="AP14" s="570"/>
      <c r="AQ14" s="571"/>
      <c r="AR14" s="569"/>
      <c r="AS14" s="570"/>
      <c r="AT14" s="570"/>
      <c r="AU14" s="571"/>
      <c r="AV14" s="569"/>
      <c r="AW14" s="570"/>
      <c r="AX14" s="570"/>
      <c r="AY14" s="570"/>
      <c r="AZ14" s="570"/>
      <c r="BA14" s="571"/>
      <c r="BB14" s="569"/>
      <c r="BC14" s="570"/>
      <c r="BD14" s="570"/>
      <c r="BE14" s="570"/>
      <c r="BF14" s="570"/>
      <c r="BG14" s="570"/>
      <c r="BH14" s="570"/>
      <c r="BI14" s="571"/>
      <c r="BJ14" s="572" t="s">
        <v>816</v>
      </c>
      <c r="BK14" s="580"/>
      <c r="BL14" s="581"/>
      <c r="BM14" s="581"/>
      <c r="BN14" s="581"/>
      <c r="BO14" s="582"/>
      <c r="BP14" s="580"/>
      <c r="BQ14" s="581"/>
      <c r="BR14" s="581"/>
      <c r="BS14" s="582"/>
      <c r="BT14" s="580"/>
      <c r="BU14" s="582"/>
      <c r="BV14" s="580"/>
      <c r="BW14" s="581"/>
      <c r="BX14" s="581"/>
      <c r="BY14" s="581"/>
      <c r="BZ14" s="581"/>
      <c r="CA14" s="581"/>
      <c r="CB14" s="581"/>
      <c r="CC14" s="581"/>
      <c r="CD14" s="581"/>
      <c r="CE14" s="582"/>
      <c r="CF14" s="580"/>
      <c r="CG14" s="581"/>
      <c r="CH14" s="581"/>
      <c r="CI14" s="581"/>
      <c r="CJ14" s="581"/>
      <c r="CK14" s="581"/>
      <c r="CL14" s="581"/>
      <c r="CM14" s="582"/>
      <c r="CN14" s="580"/>
      <c r="CO14" s="583"/>
      <c r="CP14" s="579"/>
      <c r="CQ14" s="565"/>
      <c r="CR14" s="566"/>
      <c r="CS14" s="567"/>
      <c r="CT14" s="565"/>
      <c r="CU14" s="566"/>
      <c r="CV14" s="566"/>
      <c r="CW14" s="567"/>
      <c r="CX14" s="568"/>
      <c r="CY14" s="579"/>
    </row>
    <row r="15" spans="1:103" s="601" customFormat="1">
      <c r="A15" s="584">
        <v>12</v>
      </c>
      <c r="B15" s="585"/>
      <c r="C15" s="586" t="s">
        <v>821</v>
      </c>
      <c r="D15" s="587"/>
      <c r="E15" s="588"/>
      <c r="F15" s="589"/>
      <c r="G15" s="589"/>
      <c r="H15" s="589"/>
      <c r="I15" s="590"/>
      <c r="J15" s="588"/>
      <c r="K15" s="589"/>
      <c r="L15" s="589"/>
      <c r="M15" s="589"/>
      <c r="N15" s="590"/>
      <c r="O15" s="588"/>
      <c r="P15" s="589"/>
      <c r="Q15" s="590"/>
      <c r="R15" s="588"/>
      <c r="S15" s="589"/>
      <c r="T15" s="589"/>
      <c r="U15" s="589"/>
      <c r="V15" s="589"/>
      <c r="W15" s="589"/>
      <c r="X15" s="590"/>
      <c r="Y15" s="588"/>
      <c r="Z15" s="589"/>
      <c r="AA15" s="589"/>
      <c r="AB15" s="590"/>
      <c r="AC15" s="591"/>
      <c r="AD15" s="592"/>
      <c r="AE15" s="593"/>
      <c r="AF15" s="594"/>
      <c r="AG15" s="592"/>
      <c r="AH15" s="593"/>
      <c r="AI15" s="593"/>
      <c r="AJ15" s="593"/>
      <c r="AK15" s="593"/>
      <c r="AL15" s="593"/>
      <c r="AM15" s="593"/>
      <c r="AN15" s="593"/>
      <c r="AO15" s="593"/>
      <c r="AP15" s="593"/>
      <c r="AQ15" s="594"/>
      <c r="AR15" s="592"/>
      <c r="AS15" s="593"/>
      <c r="AT15" s="593"/>
      <c r="AU15" s="594"/>
      <c r="AV15" s="592"/>
      <c r="AW15" s="593"/>
      <c r="AX15" s="593"/>
      <c r="AY15" s="593"/>
      <c r="AZ15" s="593"/>
      <c r="BA15" s="594"/>
      <c r="BB15" s="592"/>
      <c r="BC15" s="593"/>
      <c r="BD15" s="593"/>
      <c r="BE15" s="593"/>
      <c r="BF15" s="593"/>
      <c r="BG15" s="593"/>
      <c r="BH15" s="593"/>
      <c r="BI15" s="594"/>
      <c r="BJ15" s="595"/>
      <c r="BK15" s="596"/>
      <c r="BL15" s="597"/>
      <c r="BM15" s="597"/>
      <c r="BN15" s="597"/>
      <c r="BO15" s="598"/>
      <c r="BP15" s="596"/>
      <c r="BQ15" s="597"/>
      <c r="BR15" s="597"/>
      <c r="BS15" s="598"/>
      <c r="BT15" s="596"/>
      <c r="BU15" s="598"/>
      <c r="BV15" s="596"/>
      <c r="BW15" s="597"/>
      <c r="BX15" s="597"/>
      <c r="BY15" s="597"/>
      <c r="BZ15" s="597"/>
      <c r="CA15" s="597"/>
      <c r="CB15" s="597"/>
      <c r="CC15" s="597"/>
      <c r="CD15" s="597"/>
      <c r="CE15" s="598"/>
      <c r="CF15" s="596"/>
      <c r="CG15" s="597"/>
      <c r="CH15" s="597"/>
      <c r="CI15" s="597"/>
      <c r="CJ15" s="597"/>
      <c r="CK15" s="597"/>
      <c r="CL15" s="597"/>
      <c r="CM15" s="598"/>
      <c r="CN15" s="596"/>
      <c r="CO15" s="599"/>
      <c r="CP15" s="600"/>
      <c r="CQ15" s="588"/>
      <c r="CR15" s="589"/>
      <c r="CS15" s="590"/>
      <c r="CT15" s="588"/>
      <c r="CU15" s="589"/>
      <c r="CV15" s="589"/>
      <c r="CW15" s="590"/>
      <c r="CX15" s="591"/>
      <c r="CY15" s="600"/>
    </row>
    <row r="16" spans="1:103" s="561" customFormat="1" hidden="1">
      <c r="A16" s="538">
        <v>13</v>
      </c>
      <c r="B16" s="602" t="s">
        <v>822</v>
      </c>
      <c r="C16" s="603" t="s">
        <v>823</v>
      </c>
      <c r="D16" s="541" t="s">
        <v>11</v>
      </c>
      <c r="E16" s="545">
        <v>0</v>
      </c>
      <c r="F16" s="546">
        <v>0</v>
      </c>
      <c r="G16" s="546">
        <v>0</v>
      </c>
      <c r="H16" s="546">
        <v>0</v>
      </c>
      <c r="I16" s="544">
        <f>+IF(D16="", "",SUM(E16:H16))</f>
        <v>0</v>
      </c>
      <c r="J16" s="545">
        <v>0</v>
      </c>
      <c r="K16" s="546">
        <v>0</v>
      </c>
      <c r="L16" s="546">
        <v>0</v>
      </c>
      <c r="M16" s="546">
        <v>0</v>
      </c>
      <c r="N16" s="544">
        <f>+IF(A16="", "",SUM(J16:M16))</f>
        <v>0</v>
      </c>
      <c r="O16" s="545">
        <v>0</v>
      </c>
      <c r="P16" s="546">
        <v>0</v>
      </c>
      <c r="Q16" s="544">
        <f>+IF(D16="", "",SUM(O16:P16))</f>
        <v>0</v>
      </c>
      <c r="R16" s="545">
        <v>0</v>
      </c>
      <c r="S16" s="546">
        <v>0</v>
      </c>
      <c r="T16" s="546">
        <v>0</v>
      </c>
      <c r="U16" s="546">
        <v>0</v>
      </c>
      <c r="V16" s="546">
        <v>0</v>
      </c>
      <c r="W16" s="546">
        <v>0</v>
      </c>
      <c r="X16" s="544">
        <f>+IF(D16="", "",SUM(R16:W16))</f>
        <v>0</v>
      </c>
      <c r="Y16" s="545">
        <v>0</v>
      </c>
      <c r="Z16" s="546">
        <v>0</v>
      </c>
      <c r="AA16" s="546">
        <v>0</v>
      </c>
      <c r="AB16" s="544">
        <f t="shared" ref="AB16:AB80" si="1">+IF(D16="", "",SUM(Y16:AA16))</f>
        <v>0</v>
      </c>
      <c r="AC16" s="547">
        <f>+IF(D16="",0,I16+N16+Q16+X16+AB16)</f>
        <v>0</v>
      </c>
      <c r="AD16" s="604" t="s">
        <v>816</v>
      </c>
      <c r="AE16" s="605" t="s">
        <v>816</v>
      </c>
      <c r="AF16" s="606">
        <f>SUM(AD16:AE16)</f>
        <v>0</v>
      </c>
      <c r="AG16" s="604" t="s">
        <v>816</v>
      </c>
      <c r="AH16" s="605" t="s">
        <v>816</v>
      </c>
      <c r="AI16" s="605" t="s">
        <v>816</v>
      </c>
      <c r="AJ16" s="605" t="s">
        <v>816</v>
      </c>
      <c r="AK16" s="605" t="s">
        <v>816</v>
      </c>
      <c r="AL16" s="605" t="s">
        <v>816</v>
      </c>
      <c r="AM16" s="605" t="s">
        <v>816</v>
      </c>
      <c r="AN16" s="605" t="s">
        <v>816</v>
      </c>
      <c r="AO16" s="605" t="s">
        <v>816</v>
      </c>
      <c r="AP16" s="605" t="s">
        <v>816</v>
      </c>
      <c r="AQ16" s="606">
        <f>SUM(AG16:AP16)</f>
        <v>0</v>
      </c>
      <c r="AR16" s="604" t="s">
        <v>816</v>
      </c>
      <c r="AS16" s="605" t="s">
        <v>816</v>
      </c>
      <c r="AT16" s="605" t="s">
        <v>816</v>
      </c>
      <c r="AU16" s="606">
        <f>SUM(AR16:AT16)</f>
        <v>0</v>
      </c>
      <c r="AV16" s="604" t="s">
        <v>816</v>
      </c>
      <c r="AW16" s="605" t="s">
        <v>816</v>
      </c>
      <c r="AX16" s="605" t="s">
        <v>816</v>
      </c>
      <c r="AY16" s="605" t="s">
        <v>816</v>
      </c>
      <c r="AZ16" s="605" t="s">
        <v>816</v>
      </c>
      <c r="BA16" s="606">
        <f>SUM(AV16:AZ16)</f>
        <v>0</v>
      </c>
      <c r="BB16" s="604" t="s">
        <v>816</v>
      </c>
      <c r="BC16" s="605" t="s">
        <v>816</v>
      </c>
      <c r="BD16" s="605" t="s">
        <v>816</v>
      </c>
      <c r="BE16" s="605" t="s">
        <v>816</v>
      </c>
      <c r="BF16" s="605" t="s">
        <v>816</v>
      </c>
      <c r="BG16" s="605" t="s">
        <v>816</v>
      </c>
      <c r="BH16" s="605" t="s">
        <v>816</v>
      </c>
      <c r="BI16" s="606">
        <f t="shared" ref="BI16:BI80" si="2">SUM(BB16:BH16)</f>
        <v>0</v>
      </c>
      <c r="BJ16" s="551">
        <f>IF(D16="",0,AF16+AQ16+AU16+BA16+BI16)</f>
        <v>0</v>
      </c>
      <c r="BK16" s="607"/>
      <c r="BL16" s="608"/>
      <c r="BM16" s="608"/>
      <c r="BN16" s="608"/>
      <c r="BO16" s="557">
        <f>+BK16+BL16+BM16+BN16</f>
        <v>0</v>
      </c>
      <c r="BP16" s="607"/>
      <c r="BQ16" s="608"/>
      <c r="BR16" s="608"/>
      <c r="BS16" s="557">
        <f>+BP16+BQ16+BR16</f>
        <v>0</v>
      </c>
      <c r="BT16" s="607"/>
      <c r="BU16" s="557">
        <f>+BT16</f>
        <v>0</v>
      </c>
      <c r="BV16" s="607"/>
      <c r="BW16" s="608"/>
      <c r="BX16" s="608"/>
      <c r="BY16" s="608"/>
      <c r="BZ16" s="608"/>
      <c r="CA16" s="608"/>
      <c r="CB16" s="608"/>
      <c r="CC16" s="608"/>
      <c r="CD16" s="608"/>
      <c r="CE16" s="557">
        <f>+SUM(BV16:CD16)</f>
        <v>0</v>
      </c>
      <c r="CF16" s="607"/>
      <c r="CG16" s="608"/>
      <c r="CH16" s="608"/>
      <c r="CI16" s="608"/>
      <c r="CJ16" s="608"/>
      <c r="CK16" s="608"/>
      <c r="CL16" s="608"/>
      <c r="CM16" s="557">
        <f>+SUM(CF16:CL16)</f>
        <v>0</v>
      </c>
      <c r="CN16" s="607"/>
      <c r="CO16" s="609">
        <f>+CN16</f>
        <v>0</v>
      </c>
      <c r="CP16" s="610">
        <f t="shared" ref="CP16:CP80" si="3">+IF(D16="",0,CO16+CM16+CE16+BU16+BS16+BO16)</f>
        <v>0</v>
      </c>
      <c r="CQ16" s="545"/>
      <c r="CR16" s="546"/>
      <c r="CS16" s="544">
        <f>+CQ16+CR16</f>
        <v>0</v>
      </c>
      <c r="CT16" s="545"/>
      <c r="CU16" s="546"/>
      <c r="CV16" s="546"/>
      <c r="CW16" s="544">
        <f>+CT16+CU16+CV16</f>
        <v>0</v>
      </c>
      <c r="CX16" s="547">
        <f>+CS16+CW16</f>
        <v>0</v>
      </c>
      <c r="CY16" s="610">
        <f>IF(D16="",0,AC16+BJ16+CP16+CX16)</f>
        <v>0</v>
      </c>
    </row>
    <row r="17" spans="1:103" s="561" customFormat="1" hidden="1">
      <c r="A17" s="538">
        <v>14</v>
      </c>
      <c r="B17" s="602" t="s">
        <v>824</v>
      </c>
      <c r="C17" s="603" t="s">
        <v>825</v>
      </c>
      <c r="D17" s="541" t="s">
        <v>11</v>
      </c>
      <c r="E17" s="545">
        <v>0</v>
      </c>
      <c r="F17" s="546">
        <v>0</v>
      </c>
      <c r="G17" s="546">
        <v>0</v>
      </c>
      <c r="H17" s="546">
        <v>0</v>
      </c>
      <c r="I17" s="544">
        <f t="shared" ref="I17:I83" si="4">+IF(D17="", "",SUM(E17:H17))</f>
        <v>0</v>
      </c>
      <c r="J17" s="545">
        <v>0</v>
      </c>
      <c r="K17" s="546">
        <v>0</v>
      </c>
      <c r="L17" s="546">
        <v>0</v>
      </c>
      <c r="M17" s="546">
        <v>0</v>
      </c>
      <c r="N17" s="544">
        <f t="shared" ref="N17:N83" si="5">+IF(A17="", "",SUM(J17:M17))</f>
        <v>0</v>
      </c>
      <c r="O17" s="545">
        <v>0</v>
      </c>
      <c r="P17" s="546">
        <v>0</v>
      </c>
      <c r="Q17" s="544">
        <f t="shared" ref="Q17:Q83" si="6">+IF(D17="", "",SUM(O17:P17))</f>
        <v>0</v>
      </c>
      <c r="R17" s="545">
        <v>0</v>
      </c>
      <c r="S17" s="546">
        <v>0</v>
      </c>
      <c r="T17" s="546">
        <v>0</v>
      </c>
      <c r="U17" s="546">
        <v>0</v>
      </c>
      <c r="V17" s="546">
        <v>0</v>
      </c>
      <c r="W17" s="546">
        <v>0</v>
      </c>
      <c r="X17" s="544">
        <f t="shared" ref="X17:X83" si="7">+IF(D17="", "",SUM(R17:W17))</f>
        <v>0</v>
      </c>
      <c r="Y17" s="545">
        <v>0</v>
      </c>
      <c r="Z17" s="546">
        <v>0</v>
      </c>
      <c r="AA17" s="546">
        <v>0</v>
      </c>
      <c r="AB17" s="544">
        <f t="shared" si="1"/>
        <v>0</v>
      </c>
      <c r="AC17" s="547">
        <f t="shared" ref="AC17:AC19" si="8">+IF(D17="",0,I17+N17+Q17+X17+AB17)</f>
        <v>0</v>
      </c>
      <c r="AD17" s="604" t="s">
        <v>816</v>
      </c>
      <c r="AE17" s="605" t="s">
        <v>816</v>
      </c>
      <c r="AF17" s="606">
        <f t="shared" ref="AF17:AF83" si="9">SUM(AD17:AE17)</f>
        <v>0</v>
      </c>
      <c r="AG17" s="604" t="s">
        <v>816</v>
      </c>
      <c r="AH17" s="605" t="s">
        <v>816</v>
      </c>
      <c r="AI17" s="605" t="s">
        <v>816</v>
      </c>
      <c r="AJ17" s="605" t="s">
        <v>816</v>
      </c>
      <c r="AK17" s="605" t="s">
        <v>816</v>
      </c>
      <c r="AL17" s="605" t="s">
        <v>816</v>
      </c>
      <c r="AM17" s="605" t="s">
        <v>816</v>
      </c>
      <c r="AN17" s="605" t="s">
        <v>816</v>
      </c>
      <c r="AO17" s="605" t="s">
        <v>816</v>
      </c>
      <c r="AP17" s="605" t="s">
        <v>816</v>
      </c>
      <c r="AQ17" s="606">
        <f t="shared" ref="AQ17:AQ83" si="10">SUM(AG17:AP17)</f>
        <v>0</v>
      </c>
      <c r="AR17" s="604" t="s">
        <v>816</v>
      </c>
      <c r="AS17" s="605" t="s">
        <v>816</v>
      </c>
      <c r="AT17" s="605" t="s">
        <v>816</v>
      </c>
      <c r="AU17" s="606">
        <f t="shared" ref="AU17:AU83" si="11">SUM(AR17:AT17)</f>
        <v>0</v>
      </c>
      <c r="AV17" s="604" t="s">
        <v>816</v>
      </c>
      <c r="AW17" s="605" t="s">
        <v>816</v>
      </c>
      <c r="AX17" s="605" t="s">
        <v>816</v>
      </c>
      <c r="AY17" s="605" t="s">
        <v>816</v>
      </c>
      <c r="AZ17" s="605" t="s">
        <v>816</v>
      </c>
      <c r="BA17" s="606">
        <f t="shared" ref="BA17:BA83" si="12">SUM(AV17:AZ17)</f>
        <v>0</v>
      </c>
      <c r="BB17" s="604" t="s">
        <v>816</v>
      </c>
      <c r="BC17" s="605" t="s">
        <v>816</v>
      </c>
      <c r="BD17" s="605" t="s">
        <v>816</v>
      </c>
      <c r="BE17" s="605" t="s">
        <v>816</v>
      </c>
      <c r="BF17" s="605" t="s">
        <v>816</v>
      </c>
      <c r="BG17" s="605" t="s">
        <v>816</v>
      </c>
      <c r="BH17" s="605" t="s">
        <v>816</v>
      </c>
      <c r="BI17" s="606">
        <f t="shared" si="2"/>
        <v>0</v>
      </c>
      <c r="BJ17" s="551">
        <f t="shared" ref="BJ17:BJ19" si="13">IF(D17="",0,AF17+AQ17+AU17+BA17+BI17)</f>
        <v>0</v>
      </c>
      <c r="BK17" s="607"/>
      <c r="BL17" s="608"/>
      <c r="BM17" s="608"/>
      <c r="BN17" s="608"/>
      <c r="BO17" s="557">
        <f t="shared" ref="BO17:BO19" si="14">+BK17+BL17+BM17+BN17</f>
        <v>0</v>
      </c>
      <c r="BP17" s="607"/>
      <c r="BQ17" s="608"/>
      <c r="BR17" s="608"/>
      <c r="BS17" s="557">
        <f t="shared" ref="BS17:BS19" si="15">+BP17+BQ17+BR17</f>
        <v>0</v>
      </c>
      <c r="BT17" s="607"/>
      <c r="BU17" s="557">
        <f t="shared" ref="BU17:BU83" si="16">+BT17</f>
        <v>0</v>
      </c>
      <c r="BV17" s="607"/>
      <c r="BW17" s="608"/>
      <c r="BX17" s="608"/>
      <c r="BY17" s="608"/>
      <c r="BZ17" s="608"/>
      <c r="CA17" s="608"/>
      <c r="CB17" s="608"/>
      <c r="CC17" s="608"/>
      <c r="CD17" s="608"/>
      <c r="CE17" s="557">
        <f t="shared" ref="CE17:CE83" si="17">+SUM(BV17:CD17)</f>
        <v>0</v>
      </c>
      <c r="CF17" s="607"/>
      <c r="CG17" s="608"/>
      <c r="CH17" s="608"/>
      <c r="CI17" s="608"/>
      <c r="CJ17" s="608"/>
      <c r="CK17" s="608"/>
      <c r="CL17" s="608"/>
      <c r="CM17" s="557">
        <f t="shared" ref="CM17:CM83" si="18">+SUM(CF17:CL17)</f>
        <v>0</v>
      </c>
      <c r="CN17" s="607"/>
      <c r="CO17" s="609">
        <f t="shared" ref="CO17:CO83" si="19">+CN17</f>
        <v>0</v>
      </c>
      <c r="CP17" s="610">
        <f t="shared" si="3"/>
        <v>0</v>
      </c>
      <c r="CQ17" s="545"/>
      <c r="CR17" s="546"/>
      <c r="CS17" s="544">
        <f>+CQ17+CR17</f>
        <v>0</v>
      </c>
      <c r="CT17" s="545"/>
      <c r="CU17" s="546"/>
      <c r="CV17" s="546"/>
      <c r="CW17" s="544">
        <f>+CT17+CU17+CV17</f>
        <v>0</v>
      </c>
      <c r="CX17" s="547">
        <f>+CS17+CW17</f>
        <v>0</v>
      </c>
      <c r="CY17" s="610">
        <f t="shared" ref="CY17:CY19" si="20">IF(D17="",0,AC17+BJ17+CP17+CX17)</f>
        <v>0</v>
      </c>
    </row>
    <row r="18" spans="1:103" s="561" customFormat="1" hidden="1">
      <c r="A18" s="538">
        <v>15</v>
      </c>
      <c r="B18" s="602" t="s">
        <v>826</v>
      </c>
      <c r="C18" s="603" t="s">
        <v>825</v>
      </c>
      <c r="D18" s="541" t="s">
        <v>827</v>
      </c>
      <c r="E18" s="545">
        <v>0</v>
      </c>
      <c r="F18" s="546">
        <v>0</v>
      </c>
      <c r="G18" s="546">
        <v>0</v>
      </c>
      <c r="H18" s="546">
        <v>0</v>
      </c>
      <c r="I18" s="544">
        <f t="shared" si="4"/>
        <v>0</v>
      </c>
      <c r="J18" s="545">
        <v>0</v>
      </c>
      <c r="K18" s="546">
        <v>0</v>
      </c>
      <c r="L18" s="546">
        <v>0</v>
      </c>
      <c r="M18" s="546">
        <v>0</v>
      </c>
      <c r="N18" s="544">
        <f t="shared" si="5"/>
        <v>0</v>
      </c>
      <c r="O18" s="545">
        <v>0</v>
      </c>
      <c r="P18" s="546">
        <v>0</v>
      </c>
      <c r="Q18" s="544">
        <f t="shared" si="6"/>
        <v>0</v>
      </c>
      <c r="R18" s="545">
        <v>0</v>
      </c>
      <c r="S18" s="546">
        <v>0</v>
      </c>
      <c r="T18" s="546">
        <v>0</v>
      </c>
      <c r="U18" s="546">
        <v>0</v>
      </c>
      <c r="V18" s="546">
        <v>0</v>
      </c>
      <c r="W18" s="546">
        <v>0</v>
      </c>
      <c r="X18" s="544">
        <f t="shared" si="7"/>
        <v>0</v>
      </c>
      <c r="Y18" s="545">
        <v>0</v>
      </c>
      <c r="Z18" s="546">
        <v>0</v>
      </c>
      <c r="AA18" s="546">
        <v>0</v>
      </c>
      <c r="AB18" s="544">
        <f t="shared" si="1"/>
        <v>0</v>
      </c>
      <c r="AC18" s="547">
        <f t="shared" si="8"/>
        <v>0</v>
      </c>
      <c r="AD18" s="604" t="s">
        <v>816</v>
      </c>
      <c r="AE18" s="605" t="s">
        <v>816</v>
      </c>
      <c r="AF18" s="606">
        <f t="shared" si="9"/>
        <v>0</v>
      </c>
      <c r="AG18" s="604" t="s">
        <v>816</v>
      </c>
      <c r="AH18" s="605" t="s">
        <v>816</v>
      </c>
      <c r="AI18" s="605" t="s">
        <v>816</v>
      </c>
      <c r="AJ18" s="605" t="s">
        <v>816</v>
      </c>
      <c r="AK18" s="605" t="s">
        <v>816</v>
      </c>
      <c r="AL18" s="605" t="s">
        <v>816</v>
      </c>
      <c r="AM18" s="605" t="s">
        <v>816</v>
      </c>
      <c r="AN18" s="605" t="s">
        <v>816</v>
      </c>
      <c r="AO18" s="605" t="s">
        <v>816</v>
      </c>
      <c r="AP18" s="605" t="s">
        <v>816</v>
      </c>
      <c r="AQ18" s="606">
        <f t="shared" si="10"/>
        <v>0</v>
      </c>
      <c r="AR18" s="604" t="s">
        <v>816</v>
      </c>
      <c r="AS18" s="605" t="s">
        <v>816</v>
      </c>
      <c r="AT18" s="605" t="s">
        <v>816</v>
      </c>
      <c r="AU18" s="606">
        <f t="shared" si="11"/>
        <v>0</v>
      </c>
      <c r="AV18" s="604" t="s">
        <v>816</v>
      </c>
      <c r="AW18" s="605" t="s">
        <v>816</v>
      </c>
      <c r="AX18" s="605" t="s">
        <v>816</v>
      </c>
      <c r="AY18" s="605" t="s">
        <v>816</v>
      </c>
      <c r="AZ18" s="605" t="s">
        <v>816</v>
      </c>
      <c r="BA18" s="606">
        <f t="shared" si="12"/>
        <v>0</v>
      </c>
      <c r="BB18" s="604" t="s">
        <v>816</v>
      </c>
      <c r="BC18" s="605" t="s">
        <v>816</v>
      </c>
      <c r="BD18" s="605" t="s">
        <v>816</v>
      </c>
      <c r="BE18" s="605" t="s">
        <v>816</v>
      </c>
      <c r="BF18" s="605" t="s">
        <v>816</v>
      </c>
      <c r="BG18" s="605" t="s">
        <v>816</v>
      </c>
      <c r="BH18" s="605" t="s">
        <v>816</v>
      </c>
      <c r="BI18" s="606">
        <f t="shared" si="2"/>
        <v>0</v>
      </c>
      <c r="BJ18" s="551">
        <f t="shared" si="13"/>
        <v>0</v>
      </c>
      <c r="BK18" s="607"/>
      <c r="BL18" s="608"/>
      <c r="BM18" s="608"/>
      <c r="BN18" s="608"/>
      <c r="BO18" s="557">
        <f t="shared" si="14"/>
        <v>0</v>
      </c>
      <c r="BP18" s="607"/>
      <c r="BQ18" s="608"/>
      <c r="BR18" s="608"/>
      <c r="BS18" s="557">
        <f t="shared" si="15"/>
        <v>0</v>
      </c>
      <c r="BT18" s="607"/>
      <c r="BU18" s="557">
        <f t="shared" si="16"/>
        <v>0</v>
      </c>
      <c r="BV18" s="607"/>
      <c r="BW18" s="608"/>
      <c r="BX18" s="608"/>
      <c r="BY18" s="608"/>
      <c r="BZ18" s="608"/>
      <c r="CA18" s="608"/>
      <c r="CB18" s="608"/>
      <c r="CC18" s="608"/>
      <c r="CD18" s="608"/>
      <c r="CE18" s="557">
        <f t="shared" si="17"/>
        <v>0</v>
      </c>
      <c r="CF18" s="607"/>
      <c r="CG18" s="608"/>
      <c r="CH18" s="608"/>
      <c r="CI18" s="608"/>
      <c r="CJ18" s="608"/>
      <c r="CK18" s="608"/>
      <c r="CL18" s="608"/>
      <c r="CM18" s="557">
        <f t="shared" si="18"/>
        <v>0</v>
      </c>
      <c r="CN18" s="607"/>
      <c r="CO18" s="609">
        <f t="shared" si="19"/>
        <v>0</v>
      </c>
      <c r="CP18" s="610">
        <f t="shared" si="3"/>
        <v>0</v>
      </c>
      <c r="CQ18" s="545"/>
      <c r="CR18" s="546"/>
      <c r="CS18" s="544">
        <f>+CQ18+CR18</f>
        <v>0</v>
      </c>
      <c r="CT18" s="545"/>
      <c r="CU18" s="546"/>
      <c r="CV18" s="546"/>
      <c r="CW18" s="544">
        <f>+CT18+CU18+CV18</f>
        <v>0</v>
      </c>
      <c r="CX18" s="547">
        <f>+CS18+CW18</f>
        <v>0</v>
      </c>
      <c r="CY18" s="610">
        <f t="shared" si="20"/>
        <v>0</v>
      </c>
    </row>
    <row r="19" spans="1:103" s="561" customFormat="1">
      <c r="A19" s="538">
        <v>16</v>
      </c>
      <c r="B19" s="539" t="s">
        <v>85</v>
      </c>
      <c r="C19" s="603" t="s">
        <v>828</v>
      </c>
      <c r="D19" s="541" t="s">
        <v>829</v>
      </c>
      <c r="E19" s="545">
        <v>0</v>
      </c>
      <c r="F19" s="546">
        <v>0</v>
      </c>
      <c r="G19" s="546">
        <v>0</v>
      </c>
      <c r="H19" s="546">
        <v>0</v>
      </c>
      <c r="I19" s="544">
        <f t="shared" si="4"/>
        <v>0</v>
      </c>
      <c r="J19" s="545">
        <v>0</v>
      </c>
      <c r="K19" s="546">
        <v>0</v>
      </c>
      <c r="L19" s="546">
        <v>0</v>
      </c>
      <c r="M19" s="546">
        <v>0</v>
      </c>
      <c r="N19" s="544">
        <f t="shared" si="5"/>
        <v>0</v>
      </c>
      <c r="O19" s="545">
        <v>0.9</v>
      </c>
      <c r="P19" s="546">
        <v>0</v>
      </c>
      <c r="Q19" s="544">
        <f t="shared" si="6"/>
        <v>0.9</v>
      </c>
      <c r="R19" s="545">
        <v>0</v>
      </c>
      <c r="S19" s="546">
        <v>0</v>
      </c>
      <c r="T19" s="546">
        <v>0</v>
      </c>
      <c r="U19" s="546">
        <v>0</v>
      </c>
      <c r="V19" s="546">
        <v>0</v>
      </c>
      <c r="W19" s="546">
        <v>0</v>
      </c>
      <c r="X19" s="544">
        <f t="shared" si="7"/>
        <v>0</v>
      </c>
      <c r="Y19" s="545">
        <v>0</v>
      </c>
      <c r="Z19" s="546">
        <v>0</v>
      </c>
      <c r="AA19" s="546">
        <v>0</v>
      </c>
      <c r="AB19" s="544">
        <f t="shared" si="1"/>
        <v>0</v>
      </c>
      <c r="AC19" s="547">
        <f t="shared" si="8"/>
        <v>0.9</v>
      </c>
      <c r="AD19" s="604" t="s">
        <v>816</v>
      </c>
      <c r="AE19" s="605" t="s">
        <v>816</v>
      </c>
      <c r="AF19" s="606">
        <f t="shared" si="9"/>
        <v>0</v>
      </c>
      <c r="AG19" s="604" t="s">
        <v>816</v>
      </c>
      <c r="AH19" s="605" t="s">
        <v>816</v>
      </c>
      <c r="AI19" s="605" t="s">
        <v>816</v>
      </c>
      <c r="AJ19" s="605" t="s">
        <v>816</v>
      </c>
      <c r="AK19" s="605" t="s">
        <v>816</v>
      </c>
      <c r="AL19" s="605" t="s">
        <v>816</v>
      </c>
      <c r="AM19" s="605" t="s">
        <v>816</v>
      </c>
      <c r="AN19" s="605" t="s">
        <v>816</v>
      </c>
      <c r="AO19" s="605" t="s">
        <v>816</v>
      </c>
      <c r="AP19" s="605" t="s">
        <v>816</v>
      </c>
      <c r="AQ19" s="606">
        <f t="shared" si="10"/>
        <v>0</v>
      </c>
      <c r="AR19" s="604" t="s">
        <v>816</v>
      </c>
      <c r="AS19" s="605" t="s">
        <v>816</v>
      </c>
      <c r="AT19" s="605" t="s">
        <v>816</v>
      </c>
      <c r="AU19" s="606">
        <f t="shared" si="11"/>
        <v>0</v>
      </c>
      <c r="AV19" s="604" t="s">
        <v>816</v>
      </c>
      <c r="AW19" s="605" t="s">
        <v>816</v>
      </c>
      <c r="AX19" s="605" t="s">
        <v>816</v>
      </c>
      <c r="AY19" s="605" t="s">
        <v>816</v>
      </c>
      <c r="AZ19" s="605" t="s">
        <v>816</v>
      </c>
      <c r="BA19" s="606">
        <f t="shared" si="12"/>
        <v>0</v>
      </c>
      <c r="BB19" s="604" t="s">
        <v>816</v>
      </c>
      <c r="BC19" s="605" t="s">
        <v>816</v>
      </c>
      <c r="BD19" s="605" t="s">
        <v>816</v>
      </c>
      <c r="BE19" s="605" t="s">
        <v>816</v>
      </c>
      <c r="BF19" s="605" t="s">
        <v>816</v>
      </c>
      <c r="BG19" s="605" t="s">
        <v>816</v>
      </c>
      <c r="BH19" s="605" t="s">
        <v>816</v>
      </c>
      <c r="BI19" s="606">
        <f t="shared" si="2"/>
        <v>0</v>
      </c>
      <c r="BJ19" s="551">
        <f t="shared" si="13"/>
        <v>0</v>
      </c>
      <c r="BK19" s="607"/>
      <c r="BL19" s="608"/>
      <c r="BM19" s="608"/>
      <c r="BN19" s="608"/>
      <c r="BO19" s="557">
        <f t="shared" si="14"/>
        <v>0</v>
      </c>
      <c r="BP19" s="607"/>
      <c r="BQ19" s="608"/>
      <c r="BR19" s="608"/>
      <c r="BS19" s="557">
        <f t="shared" si="15"/>
        <v>0</v>
      </c>
      <c r="BT19" s="607"/>
      <c r="BU19" s="557">
        <f t="shared" si="16"/>
        <v>0</v>
      </c>
      <c r="BV19" s="607"/>
      <c r="BW19" s="608"/>
      <c r="BX19" s="608"/>
      <c r="BY19" s="608"/>
      <c r="BZ19" s="608"/>
      <c r="CA19" s="608"/>
      <c r="CB19" s="608"/>
      <c r="CC19" s="608"/>
      <c r="CD19" s="608"/>
      <c r="CE19" s="557">
        <f t="shared" si="17"/>
        <v>0</v>
      </c>
      <c r="CF19" s="607"/>
      <c r="CG19" s="608"/>
      <c r="CH19" s="608"/>
      <c r="CI19" s="608"/>
      <c r="CJ19" s="608"/>
      <c r="CK19" s="608"/>
      <c r="CL19" s="608"/>
      <c r="CM19" s="557">
        <f t="shared" si="18"/>
        <v>0</v>
      </c>
      <c r="CN19" s="607"/>
      <c r="CO19" s="609">
        <f t="shared" si="19"/>
        <v>0</v>
      </c>
      <c r="CP19" s="610">
        <f t="shared" si="3"/>
        <v>0</v>
      </c>
      <c r="CQ19" s="545">
        <v>5.6</v>
      </c>
      <c r="CR19" s="546"/>
      <c r="CS19" s="544">
        <f>+CQ19+CR19</f>
        <v>5.6</v>
      </c>
      <c r="CT19" s="545"/>
      <c r="CU19" s="546"/>
      <c r="CV19" s="546"/>
      <c r="CW19" s="544">
        <f>+CT19+CU19+CV19</f>
        <v>0</v>
      </c>
      <c r="CX19" s="547">
        <f>+CS19+CW19</f>
        <v>5.6</v>
      </c>
      <c r="CY19" s="611">
        <f t="shared" si="20"/>
        <v>6.5</v>
      </c>
    </row>
    <row r="20" spans="1:103" s="601" customFormat="1">
      <c r="A20" s="584">
        <v>17</v>
      </c>
      <c r="B20" s="585"/>
      <c r="C20" s="586" t="s">
        <v>830</v>
      </c>
      <c r="D20" s="587"/>
      <c r="E20" s="588"/>
      <c r="F20" s="589"/>
      <c r="G20" s="589"/>
      <c r="H20" s="589"/>
      <c r="I20" s="590"/>
      <c r="J20" s="588"/>
      <c r="K20" s="589"/>
      <c r="L20" s="589"/>
      <c r="M20" s="589"/>
      <c r="N20" s="590"/>
      <c r="O20" s="588"/>
      <c r="P20" s="589"/>
      <c r="Q20" s="590"/>
      <c r="R20" s="588"/>
      <c r="S20" s="589"/>
      <c r="T20" s="589"/>
      <c r="U20" s="589"/>
      <c r="V20" s="589"/>
      <c r="W20" s="589"/>
      <c r="X20" s="590"/>
      <c r="Y20" s="588"/>
      <c r="Z20" s="589"/>
      <c r="AA20" s="589"/>
      <c r="AB20" s="590"/>
      <c r="AC20" s="591"/>
      <c r="AD20" s="612"/>
      <c r="AE20" s="613"/>
      <c r="AF20" s="614"/>
      <c r="AG20" s="612"/>
      <c r="AH20" s="613"/>
      <c r="AI20" s="613"/>
      <c r="AJ20" s="613"/>
      <c r="AK20" s="613"/>
      <c r="AL20" s="613"/>
      <c r="AM20" s="613"/>
      <c r="AN20" s="613"/>
      <c r="AO20" s="613"/>
      <c r="AP20" s="613"/>
      <c r="AQ20" s="614"/>
      <c r="AR20" s="612"/>
      <c r="AS20" s="613"/>
      <c r="AT20" s="613"/>
      <c r="AU20" s="614"/>
      <c r="AV20" s="612"/>
      <c r="AW20" s="613"/>
      <c r="AX20" s="613"/>
      <c r="AY20" s="613"/>
      <c r="AZ20" s="613"/>
      <c r="BA20" s="614"/>
      <c r="BB20" s="612"/>
      <c r="BC20" s="613"/>
      <c r="BD20" s="613"/>
      <c r="BE20" s="613"/>
      <c r="BF20" s="613"/>
      <c r="BG20" s="613"/>
      <c r="BH20" s="613"/>
      <c r="BI20" s="614"/>
      <c r="BJ20" s="595"/>
      <c r="BK20" s="596"/>
      <c r="BL20" s="597"/>
      <c r="BM20" s="597"/>
      <c r="BN20" s="597"/>
      <c r="BO20" s="598"/>
      <c r="BP20" s="596"/>
      <c r="BQ20" s="597"/>
      <c r="BR20" s="597"/>
      <c r="BS20" s="598"/>
      <c r="BT20" s="596"/>
      <c r="BU20" s="598"/>
      <c r="BV20" s="596"/>
      <c r="BW20" s="597"/>
      <c r="BX20" s="597"/>
      <c r="BY20" s="597"/>
      <c r="BZ20" s="597"/>
      <c r="CA20" s="597"/>
      <c r="CB20" s="597"/>
      <c r="CC20" s="597"/>
      <c r="CD20" s="597"/>
      <c r="CE20" s="598"/>
      <c r="CF20" s="596"/>
      <c r="CG20" s="597"/>
      <c r="CH20" s="597"/>
      <c r="CI20" s="597"/>
      <c r="CJ20" s="597"/>
      <c r="CK20" s="597"/>
      <c r="CL20" s="597"/>
      <c r="CM20" s="598"/>
      <c r="CN20" s="596"/>
      <c r="CO20" s="599"/>
      <c r="CP20" s="600"/>
      <c r="CQ20" s="588"/>
      <c r="CR20" s="589"/>
      <c r="CS20" s="590"/>
      <c r="CT20" s="588"/>
      <c r="CU20" s="589"/>
      <c r="CV20" s="589"/>
      <c r="CW20" s="590"/>
      <c r="CX20" s="591"/>
      <c r="CY20" s="615"/>
    </row>
    <row r="21" spans="1:103" s="561" customFormat="1" hidden="1">
      <c r="A21" s="538">
        <v>18</v>
      </c>
      <c r="B21" s="602" t="s">
        <v>35</v>
      </c>
      <c r="C21" s="603" t="s">
        <v>831</v>
      </c>
      <c r="D21" s="541" t="s">
        <v>832</v>
      </c>
      <c r="E21" s="545">
        <v>0</v>
      </c>
      <c r="F21" s="546">
        <v>0</v>
      </c>
      <c r="G21" s="546">
        <v>0</v>
      </c>
      <c r="H21" s="546">
        <v>0</v>
      </c>
      <c r="I21" s="544">
        <f t="shared" si="4"/>
        <v>0</v>
      </c>
      <c r="J21" s="545">
        <v>0</v>
      </c>
      <c r="K21" s="546">
        <v>0</v>
      </c>
      <c r="L21" s="546">
        <v>0</v>
      </c>
      <c r="M21" s="546">
        <v>0</v>
      </c>
      <c r="N21" s="544">
        <f t="shared" si="5"/>
        <v>0</v>
      </c>
      <c r="O21" s="545">
        <v>0</v>
      </c>
      <c r="P21" s="546">
        <v>0</v>
      </c>
      <c r="Q21" s="544">
        <f t="shared" si="6"/>
        <v>0</v>
      </c>
      <c r="R21" s="545">
        <v>0</v>
      </c>
      <c r="S21" s="546">
        <v>0</v>
      </c>
      <c r="T21" s="546">
        <v>0</v>
      </c>
      <c r="U21" s="546">
        <v>0</v>
      </c>
      <c r="V21" s="546">
        <v>0</v>
      </c>
      <c r="W21" s="546">
        <v>0</v>
      </c>
      <c r="X21" s="544">
        <f t="shared" si="7"/>
        <v>0</v>
      </c>
      <c r="Y21" s="545">
        <v>0</v>
      </c>
      <c r="Z21" s="546">
        <v>0</v>
      </c>
      <c r="AA21" s="546">
        <v>0</v>
      </c>
      <c r="AB21" s="544">
        <f t="shared" si="1"/>
        <v>0</v>
      </c>
      <c r="AC21" s="547">
        <f t="shared" ref="AC21:AC32" si="21">+IF(D21="",0,I21+N21+Q21+X21+AB21)</f>
        <v>0</v>
      </c>
      <c r="AD21" s="604" t="s">
        <v>816</v>
      </c>
      <c r="AE21" s="605" t="s">
        <v>816</v>
      </c>
      <c r="AF21" s="606">
        <f t="shared" si="9"/>
        <v>0</v>
      </c>
      <c r="AG21" s="604" t="s">
        <v>816</v>
      </c>
      <c r="AH21" s="605" t="s">
        <v>816</v>
      </c>
      <c r="AI21" s="605" t="s">
        <v>816</v>
      </c>
      <c r="AJ21" s="605" t="s">
        <v>816</v>
      </c>
      <c r="AK21" s="605" t="s">
        <v>816</v>
      </c>
      <c r="AL21" s="605" t="s">
        <v>816</v>
      </c>
      <c r="AM21" s="605" t="s">
        <v>816</v>
      </c>
      <c r="AN21" s="605" t="s">
        <v>816</v>
      </c>
      <c r="AO21" s="605" t="s">
        <v>816</v>
      </c>
      <c r="AP21" s="605" t="s">
        <v>816</v>
      </c>
      <c r="AQ21" s="606">
        <f t="shared" si="10"/>
        <v>0</v>
      </c>
      <c r="AR21" s="604" t="s">
        <v>816</v>
      </c>
      <c r="AS21" s="605" t="s">
        <v>816</v>
      </c>
      <c r="AT21" s="605" t="s">
        <v>816</v>
      </c>
      <c r="AU21" s="606">
        <f t="shared" si="11"/>
        <v>0</v>
      </c>
      <c r="AV21" s="604" t="s">
        <v>816</v>
      </c>
      <c r="AW21" s="605" t="s">
        <v>816</v>
      </c>
      <c r="AX21" s="605" t="s">
        <v>816</v>
      </c>
      <c r="AY21" s="605" t="s">
        <v>816</v>
      </c>
      <c r="AZ21" s="605" t="s">
        <v>816</v>
      </c>
      <c r="BA21" s="606">
        <f t="shared" si="12"/>
        <v>0</v>
      </c>
      <c r="BB21" s="604" t="s">
        <v>816</v>
      </c>
      <c r="BC21" s="605" t="s">
        <v>816</v>
      </c>
      <c r="BD21" s="605" t="s">
        <v>816</v>
      </c>
      <c r="BE21" s="605" t="s">
        <v>816</v>
      </c>
      <c r="BF21" s="605" t="s">
        <v>816</v>
      </c>
      <c r="BG21" s="605" t="s">
        <v>816</v>
      </c>
      <c r="BH21" s="605" t="s">
        <v>816</v>
      </c>
      <c r="BI21" s="606">
        <f t="shared" si="2"/>
        <v>0</v>
      </c>
      <c r="BJ21" s="551">
        <f t="shared" ref="BJ21:BJ32" si="22">IF(D21="",0,AF21+AQ21+AU21+BA21+BI21)</f>
        <v>0</v>
      </c>
      <c r="BK21" s="607"/>
      <c r="BL21" s="608"/>
      <c r="BM21" s="608"/>
      <c r="BN21" s="608"/>
      <c r="BO21" s="557">
        <f t="shared" ref="BO21:BO31" si="23">+BK21+BL21+BM21+BN21</f>
        <v>0</v>
      </c>
      <c r="BP21" s="607"/>
      <c r="BQ21" s="608"/>
      <c r="BR21" s="608"/>
      <c r="BS21" s="557">
        <f t="shared" ref="BS21:BS31" si="24">+BP21+BQ21+BR21</f>
        <v>0</v>
      </c>
      <c r="BT21" s="607"/>
      <c r="BU21" s="557">
        <f t="shared" si="16"/>
        <v>0</v>
      </c>
      <c r="BV21" s="607"/>
      <c r="BW21" s="608"/>
      <c r="BX21" s="608"/>
      <c r="BY21" s="608"/>
      <c r="BZ21" s="608"/>
      <c r="CA21" s="608"/>
      <c r="CB21" s="608"/>
      <c r="CC21" s="608"/>
      <c r="CD21" s="608"/>
      <c r="CE21" s="557">
        <f t="shared" si="17"/>
        <v>0</v>
      </c>
      <c r="CF21" s="607"/>
      <c r="CG21" s="608"/>
      <c r="CH21" s="608"/>
      <c r="CI21" s="608"/>
      <c r="CJ21" s="608"/>
      <c r="CK21" s="608"/>
      <c r="CL21" s="608"/>
      <c r="CM21" s="557">
        <f t="shared" si="18"/>
        <v>0</v>
      </c>
      <c r="CN21" s="607"/>
      <c r="CO21" s="609">
        <f t="shared" si="19"/>
        <v>0</v>
      </c>
      <c r="CP21" s="610">
        <f t="shared" si="3"/>
        <v>0</v>
      </c>
      <c r="CQ21" s="545"/>
      <c r="CR21" s="546"/>
      <c r="CS21" s="544">
        <f t="shared" ref="CS21:CS28" si="25">+CQ21+CR21</f>
        <v>0</v>
      </c>
      <c r="CT21" s="545"/>
      <c r="CU21" s="546"/>
      <c r="CV21" s="546"/>
      <c r="CW21" s="544">
        <f t="shared" ref="CW21:CW32" si="26">+CT21+CU21+CV21</f>
        <v>0</v>
      </c>
      <c r="CX21" s="547">
        <f t="shared" ref="CX21:CX31" si="27">+CS21+CW21</f>
        <v>0</v>
      </c>
      <c r="CY21" s="611">
        <f t="shared" ref="CY21:CY32" si="28">IF(D21="",0,AC21+BJ21+CP21+CX21)</f>
        <v>0</v>
      </c>
    </row>
    <row r="22" spans="1:103" s="561" customFormat="1" ht="30">
      <c r="A22" s="538">
        <v>19</v>
      </c>
      <c r="B22" s="602" t="s">
        <v>87</v>
      </c>
      <c r="C22" s="603" t="s">
        <v>833</v>
      </c>
      <c r="D22" s="541" t="s">
        <v>829</v>
      </c>
      <c r="E22" s="545">
        <v>1038.96</v>
      </c>
      <c r="F22" s="546">
        <v>599.04</v>
      </c>
      <c r="G22" s="546">
        <v>0</v>
      </c>
      <c r="H22" s="546">
        <v>0</v>
      </c>
      <c r="I22" s="544">
        <f t="shared" si="4"/>
        <v>1638</v>
      </c>
      <c r="J22" s="545">
        <v>0</v>
      </c>
      <c r="K22" s="546">
        <v>0</v>
      </c>
      <c r="L22" s="546">
        <v>0</v>
      </c>
      <c r="M22" s="546">
        <v>0</v>
      </c>
      <c r="N22" s="544">
        <f t="shared" si="5"/>
        <v>0</v>
      </c>
      <c r="O22" s="545">
        <v>0</v>
      </c>
      <c r="P22" s="546">
        <v>0</v>
      </c>
      <c r="Q22" s="544">
        <f t="shared" si="6"/>
        <v>0</v>
      </c>
      <c r="R22" s="545">
        <v>148.36799999999999</v>
      </c>
      <c r="S22" s="546">
        <v>25.7424</v>
      </c>
      <c r="T22" s="546">
        <v>24011.064439999995</v>
      </c>
      <c r="U22" s="546">
        <v>95.796599999999984</v>
      </c>
      <c r="V22" s="546">
        <v>78.412319999999994</v>
      </c>
      <c r="W22" s="546">
        <v>14.037119999999998</v>
      </c>
      <c r="X22" s="544">
        <f t="shared" si="7"/>
        <v>24373.420879999998</v>
      </c>
      <c r="Y22" s="545">
        <v>0</v>
      </c>
      <c r="Z22" s="546">
        <v>0</v>
      </c>
      <c r="AA22" s="546">
        <v>0</v>
      </c>
      <c r="AB22" s="544">
        <f t="shared" si="1"/>
        <v>0</v>
      </c>
      <c r="AC22" s="547">
        <f t="shared" si="21"/>
        <v>26011.420879999998</v>
      </c>
      <c r="AD22" s="604">
        <v>0</v>
      </c>
      <c r="AE22" s="605">
        <v>0</v>
      </c>
      <c r="AF22" s="606">
        <f t="shared" si="9"/>
        <v>0</v>
      </c>
      <c r="AG22" s="604">
        <v>0</v>
      </c>
      <c r="AH22" s="605">
        <v>0</v>
      </c>
      <c r="AI22" s="605">
        <v>0</v>
      </c>
      <c r="AJ22" s="605">
        <v>0</v>
      </c>
      <c r="AK22" s="605">
        <v>0</v>
      </c>
      <c r="AL22" s="605">
        <v>0</v>
      </c>
      <c r="AM22" s="605">
        <v>0</v>
      </c>
      <c r="AN22" s="605">
        <v>0</v>
      </c>
      <c r="AO22" s="605">
        <v>0</v>
      </c>
      <c r="AP22" s="605">
        <v>0</v>
      </c>
      <c r="AQ22" s="606">
        <f t="shared" si="10"/>
        <v>0</v>
      </c>
      <c r="AR22" s="604">
        <v>0</v>
      </c>
      <c r="AS22" s="605">
        <v>0</v>
      </c>
      <c r="AT22" s="605">
        <v>0</v>
      </c>
      <c r="AU22" s="606">
        <f t="shared" si="11"/>
        <v>0</v>
      </c>
      <c r="AV22" s="604">
        <v>0</v>
      </c>
      <c r="AW22" s="605">
        <v>0</v>
      </c>
      <c r="AX22" s="605">
        <v>0</v>
      </c>
      <c r="AY22" s="605">
        <v>0</v>
      </c>
      <c r="AZ22" s="605">
        <v>0</v>
      </c>
      <c r="BA22" s="606">
        <f t="shared" si="12"/>
        <v>0</v>
      </c>
      <c r="BB22" s="604">
        <v>0</v>
      </c>
      <c r="BC22" s="605">
        <v>0</v>
      </c>
      <c r="BD22" s="605">
        <v>0</v>
      </c>
      <c r="BE22" s="605">
        <v>0</v>
      </c>
      <c r="BF22" s="605">
        <v>0</v>
      </c>
      <c r="BG22" s="605">
        <v>0</v>
      </c>
      <c r="BH22" s="605">
        <v>0</v>
      </c>
      <c r="BI22" s="606">
        <f t="shared" si="2"/>
        <v>0</v>
      </c>
      <c r="BJ22" s="551">
        <f t="shared" si="22"/>
        <v>0</v>
      </c>
      <c r="BK22" s="607"/>
      <c r="BL22" s="608"/>
      <c r="BM22" s="608"/>
      <c r="BN22" s="608"/>
      <c r="BO22" s="557">
        <f t="shared" si="23"/>
        <v>0</v>
      </c>
      <c r="BP22" s="607"/>
      <c r="BQ22" s="608"/>
      <c r="BR22" s="608"/>
      <c r="BS22" s="557">
        <f t="shared" si="24"/>
        <v>0</v>
      </c>
      <c r="BT22" s="607"/>
      <c r="BU22" s="557">
        <f t="shared" si="16"/>
        <v>0</v>
      </c>
      <c r="BV22" s="607"/>
      <c r="BW22" s="608"/>
      <c r="BX22" s="608"/>
      <c r="BY22" s="608"/>
      <c r="BZ22" s="608"/>
      <c r="CA22" s="608"/>
      <c r="CB22" s="608"/>
      <c r="CC22" s="608"/>
      <c r="CD22" s="608"/>
      <c r="CE22" s="557">
        <f t="shared" si="17"/>
        <v>0</v>
      </c>
      <c r="CF22" s="607"/>
      <c r="CG22" s="608"/>
      <c r="CH22" s="608"/>
      <c r="CI22" s="608"/>
      <c r="CJ22" s="608"/>
      <c r="CK22" s="608"/>
      <c r="CL22" s="608"/>
      <c r="CM22" s="557">
        <f t="shared" si="18"/>
        <v>0</v>
      </c>
      <c r="CN22" s="607"/>
      <c r="CO22" s="609">
        <f t="shared" si="19"/>
        <v>0</v>
      </c>
      <c r="CP22" s="610">
        <f t="shared" si="3"/>
        <v>0</v>
      </c>
      <c r="CQ22" s="545">
        <v>173.81</v>
      </c>
      <c r="CR22" s="546"/>
      <c r="CS22" s="544">
        <f t="shared" si="25"/>
        <v>173.81</v>
      </c>
      <c r="CT22" s="545"/>
      <c r="CU22" s="546"/>
      <c r="CV22" s="546"/>
      <c r="CW22" s="544">
        <f t="shared" si="26"/>
        <v>0</v>
      </c>
      <c r="CX22" s="547">
        <f t="shared" si="27"/>
        <v>173.81</v>
      </c>
      <c r="CY22" s="611">
        <f t="shared" si="28"/>
        <v>26185.230879999999</v>
      </c>
    </row>
    <row r="23" spans="1:103" s="561" customFormat="1" ht="30" hidden="1">
      <c r="A23" s="538">
        <v>20</v>
      </c>
      <c r="B23" s="602" t="s">
        <v>834</v>
      </c>
      <c r="C23" s="603" t="s">
        <v>835</v>
      </c>
      <c r="D23" s="541" t="s">
        <v>829</v>
      </c>
      <c r="E23" s="545">
        <v>0</v>
      </c>
      <c r="F23" s="546">
        <v>0</v>
      </c>
      <c r="G23" s="546">
        <v>0</v>
      </c>
      <c r="H23" s="546">
        <v>0</v>
      </c>
      <c r="I23" s="544">
        <f t="shared" si="4"/>
        <v>0</v>
      </c>
      <c r="J23" s="545">
        <v>0</v>
      </c>
      <c r="K23" s="546">
        <v>0</v>
      </c>
      <c r="L23" s="546">
        <v>0</v>
      </c>
      <c r="M23" s="546">
        <v>0</v>
      </c>
      <c r="N23" s="544">
        <f t="shared" si="5"/>
        <v>0</v>
      </c>
      <c r="O23" s="545">
        <v>0</v>
      </c>
      <c r="P23" s="546">
        <v>0</v>
      </c>
      <c r="Q23" s="544">
        <f t="shared" si="6"/>
        <v>0</v>
      </c>
      <c r="R23" s="545">
        <v>0</v>
      </c>
      <c r="S23" s="546">
        <v>0</v>
      </c>
      <c r="T23" s="546">
        <v>0</v>
      </c>
      <c r="U23" s="546">
        <v>0</v>
      </c>
      <c r="V23" s="546">
        <v>0</v>
      </c>
      <c r="W23" s="546">
        <v>0</v>
      </c>
      <c r="X23" s="544">
        <f t="shared" si="7"/>
        <v>0</v>
      </c>
      <c r="Y23" s="545">
        <v>0</v>
      </c>
      <c r="Z23" s="546">
        <v>0</v>
      </c>
      <c r="AA23" s="546">
        <v>0</v>
      </c>
      <c r="AB23" s="544">
        <f t="shared" si="1"/>
        <v>0</v>
      </c>
      <c r="AC23" s="547">
        <f t="shared" si="21"/>
        <v>0</v>
      </c>
      <c r="AD23" s="604" t="s">
        <v>816</v>
      </c>
      <c r="AE23" s="605" t="s">
        <v>816</v>
      </c>
      <c r="AF23" s="606">
        <f t="shared" si="9"/>
        <v>0</v>
      </c>
      <c r="AG23" s="604" t="s">
        <v>816</v>
      </c>
      <c r="AH23" s="605" t="s">
        <v>816</v>
      </c>
      <c r="AI23" s="605" t="s">
        <v>816</v>
      </c>
      <c r="AJ23" s="605" t="s">
        <v>816</v>
      </c>
      <c r="AK23" s="605" t="s">
        <v>816</v>
      </c>
      <c r="AL23" s="605" t="s">
        <v>816</v>
      </c>
      <c r="AM23" s="605" t="s">
        <v>816</v>
      </c>
      <c r="AN23" s="605" t="s">
        <v>816</v>
      </c>
      <c r="AO23" s="605" t="s">
        <v>816</v>
      </c>
      <c r="AP23" s="605" t="s">
        <v>816</v>
      </c>
      <c r="AQ23" s="606">
        <f t="shared" si="10"/>
        <v>0</v>
      </c>
      <c r="AR23" s="604" t="s">
        <v>816</v>
      </c>
      <c r="AS23" s="605" t="s">
        <v>816</v>
      </c>
      <c r="AT23" s="605" t="s">
        <v>816</v>
      </c>
      <c r="AU23" s="606">
        <f t="shared" si="11"/>
        <v>0</v>
      </c>
      <c r="AV23" s="604" t="s">
        <v>816</v>
      </c>
      <c r="AW23" s="605" t="s">
        <v>816</v>
      </c>
      <c r="AX23" s="605" t="s">
        <v>816</v>
      </c>
      <c r="AY23" s="605" t="s">
        <v>816</v>
      </c>
      <c r="AZ23" s="605" t="s">
        <v>816</v>
      </c>
      <c r="BA23" s="606">
        <f t="shared" si="12"/>
        <v>0</v>
      </c>
      <c r="BB23" s="604" t="s">
        <v>816</v>
      </c>
      <c r="BC23" s="605" t="s">
        <v>816</v>
      </c>
      <c r="BD23" s="605" t="s">
        <v>816</v>
      </c>
      <c r="BE23" s="605" t="s">
        <v>816</v>
      </c>
      <c r="BF23" s="605" t="s">
        <v>816</v>
      </c>
      <c r="BG23" s="605" t="s">
        <v>816</v>
      </c>
      <c r="BH23" s="605" t="s">
        <v>816</v>
      </c>
      <c r="BI23" s="606">
        <f t="shared" si="2"/>
        <v>0</v>
      </c>
      <c r="BJ23" s="551">
        <f t="shared" si="22"/>
        <v>0</v>
      </c>
      <c r="BK23" s="607"/>
      <c r="BL23" s="608"/>
      <c r="BM23" s="608"/>
      <c r="BN23" s="608"/>
      <c r="BO23" s="557">
        <f t="shared" si="23"/>
        <v>0</v>
      </c>
      <c r="BP23" s="607"/>
      <c r="BQ23" s="608"/>
      <c r="BR23" s="608"/>
      <c r="BS23" s="557">
        <f t="shared" si="24"/>
        <v>0</v>
      </c>
      <c r="BT23" s="607"/>
      <c r="BU23" s="557">
        <f t="shared" si="16"/>
        <v>0</v>
      </c>
      <c r="BV23" s="607"/>
      <c r="BW23" s="608"/>
      <c r="BX23" s="608"/>
      <c r="BY23" s="608"/>
      <c r="BZ23" s="608"/>
      <c r="CA23" s="608"/>
      <c r="CB23" s="608"/>
      <c r="CC23" s="608"/>
      <c r="CD23" s="608"/>
      <c r="CE23" s="557">
        <f t="shared" si="17"/>
        <v>0</v>
      </c>
      <c r="CF23" s="607"/>
      <c r="CG23" s="608"/>
      <c r="CH23" s="608"/>
      <c r="CI23" s="608"/>
      <c r="CJ23" s="608"/>
      <c r="CK23" s="608"/>
      <c r="CL23" s="608"/>
      <c r="CM23" s="557">
        <f t="shared" si="18"/>
        <v>0</v>
      </c>
      <c r="CN23" s="607"/>
      <c r="CO23" s="609">
        <f t="shared" si="19"/>
        <v>0</v>
      </c>
      <c r="CP23" s="610">
        <f t="shared" si="3"/>
        <v>0</v>
      </c>
      <c r="CQ23" s="545"/>
      <c r="CR23" s="546"/>
      <c r="CS23" s="544">
        <f t="shared" si="25"/>
        <v>0</v>
      </c>
      <c r="CT23" s="545"/>
      <c r="CU23" s="546"/>
      <c r="CV23" s="546"/>
      <c r="CW23" s="544">
        <f t="shared" si="26"/>
        <v>0</v>
      </c>
      <c r="CX23" s="547">
        <f t="shared" si="27"/>
        <v>0</v>
      </c>
      <c r="CY23" s="611">
        <f t="shared" si="28"/>
        <v>0</v>
      </c>
    </row>
    <row r="24" spans="1:103" s="561" customFormat="1" ht="30" hidden="1">
      <c r="A24" s="538">
        <v>21</v>
      </c>
      <c r="B24" s="602" t="s">
        <v>836</v>
      </c>
      <c r="C24" s="603" t="s">
        <v>837</v>
      </c>
      <c r="D24" s="541" t="s">
        <v>829</v>
      </c>
      <c r="E24" s="545">
        <v>0</v>
      </c>
      <c r="F24" s="546">
        <v>0</v>
      </c>
      <c r="G24" s="546">
        <v>0</v>
      </c>
      <c r="H24" s="546">
        <v>0</v>
      </c>
      <c r="I24" s="544">
        <f t="shared" si="4"/>
        <v>0</v>
      </c>
      <c r="J24" s="545">
        <v>0</v>
      </c>
      <c r="K24" s="546">
        <v>0</v>
      </c>
      <c r="L24" s="546">
        <v>0</v>
      </c>
      <c r="M24" s="546">
        <v>0</v>
      </c>
      <c r="N24" s="544">
        <f t="shared" si="5"/>
        <v>0</v>
      </c>
      <c r="O24" s="545">
        <v>0</v>
      </c>
      <c r="P24" s="546">
        <v>0</v>
      </c>
      <c r="Q24" s="544">
        <f t="shared" si="6"/>
        <v>0</v>
      </c>
      <c r="R24" s="545">
        <v>0</v>
      </c>
      <c r="S24" s="546">
        <v>0</v>
      </c>
      <c r="T24" s="546">
        <v>0</v>
      </c>
      <c r="U24" s="546">
        <v>0</v>
      </c>
      <c r="V24" s="546">
        <v>0</v>
      </c>
      <c r="W24" s="546">
        <v>0</v>
      </c>
      <c r="X24" s="544">
        <f t="shared" si="7"/>
        <v>0</v>
      </c>
      <c r="Y24" s="545">
        <v>0</v>
      </c>
      <c r="Z24" s="546">
        <v>0</v>
      </c>
      <c r="AA24" s="546">
        <v>0</v>
      </c>
      <c r="AB24" s="544">
        <f t="shared" si="1"/>
        <v>0</v>
      </c>
      <c r="AC24" s="547">
        <f t="shared" si="21"/>
        <v>0</v>
      </c>
      <c r="AD24" s="604" t="s">
        <v>816</v>
      </c>
      <c r="AE24" s="605" t="s">
        <v>816</v>
      </c>
      <c r="AF24" s="606">
        <f t="shared" si="9"/>
        <v>0</v>
      </c>
      <c r="AG24" s="604" t="s">
        <v>816</v>
      </c>
      <c r="AH24" s="605" t="s">
        <v>816</v>
      </c>
      <c r="AI24" s="605" t="s">
        <v>816</v>
      </c>
      <c r="AJ24" s="605" t="s">
        <v>816</v>
      </c>
      <c r="AK24" s="605" t="s">
        <v>816</v>
      </c>
      <c r="AL24" s="605" t="s">
        <v>816</v>
      </c>
      <c r="AM24" s="605" t="s">
        <v>816</v>
      </c>
      <c r="AN24" s="605" t="s">
        <v>816</v>
      </c>
      <c r="AO24" s="605" t="s">
        <v>816</v>
      </c>
      <c r="AP24" s="605" t="s">
        <v>816</v>
      </c>
      <c r="AQ24" s="606">
        <f t="shared" si="10"/>
        <v>0</v>
      </c>
      <c r="AR24" s="604" t="s">
        <v>816</v>
      </c>
      <c r="AS24" s="605" t="s">
        <v>816</v>
      </c>
      <c r="AT24" s="605" t="s">
        <v>816</v>
      </c>
      <c r="AU24" s="606">
        <f t="shared" si="11"/>
        <v>0</v>
      </c>
      <c r="AV24" s="604" t="s">
        <v>816</v>
      </c>
      <c r="AW24" s="605" t="s">
        <v>816</v>
      </c>
      <c r="AX24" s="605" t="s">
        <v>816</v>
      </c>
      <c r="AY24" s="605" t="s">
        <v>816</v>
      </c>
      <c r="AZ24" s="605" t="s">
        <v>816</v>
      </c>
      <c r="BA24" s="606">
        <f t="shared" si="12"/>
        <v>0</v>
      </c>
      <c r="BB24" s="604" t="s">
        <v>816</v>
      </c>
      <c r="BC24" s="605" t="s">
        <v>816</v>
      </c>
      <c r="BD24" s="605" t="s">
        <v>816</v>
      </c>
      <c r="BE24" s="605" t="s">
        <v>816</v>
      </c>
      <c r="BF24" s="605" t="s">
        <v>816</v>
      </c>
      <c r="BG24" s="605" t="s">
        <v>816</v>
      </c>
      <c r="BH24" s="605" t="s">
        <v>816</v>
      </c>
      <c r="BI24" s="606">
        <f t="shared" si="2"/>
        <v>0</v>
      </c>
      <c r="BJ24" s="551">
        <f t="shared" si="22"/>
        <v>0</v>
      </c>
      <c r="BK24" s="607"/>
      <c r="BL24" s="608"/>
      <c r="BM24" s="608"/>
      <c r="BN24" s="608"/>
      <c r="BO24" s="557">
        <f t="shared" si="23"/>
        <v>0</v>
      </c>
      <c r="BP24" s="607"/>
      <c r="BQ24" s="608"/>
      <c r="BR24" s="608"/>
      <c r="BS24" s="557">
        <f t="shared" si="24"/>
        <v>0</v>
      </c>
      <c r="BT24" s="607"/>
      <c r="BU24" s="557">
        <f t="shared" si="16"/>
        <v>0</v>
      </c>
      <c r="BV24" s="607"/>
      <c r="BW24" s="608"/>
      <c r="BX24" s="608"/>
      <c r="BY24" s="608"/>
      <c r="BZ24" s="608"/>
      <c r="CA24" s="608"/>
      <c r="CB24" s="608"/>
      <c r="CC24" s="608"/>
      <c r="CD24" s="608"/>
      <c r="CE24" s="557">
        <f t="shared" si="17"/>
        <v>0</v>
      </c>
      <c r="CF24" s="607"/>
      <c r="CG24" s="608"/>
      <c r="CH24" s="608"/>
      <c r="CI24" s="608"/>
      <c r="CJ24" s="608"/>
      <c r="CK24" s="608"/>
      <c r="CL24" s="608"/>
      <c r="CM24" s="557">
        <f t="shared" si="18"/>
        <v>0</v>
      </c>
      <c r="CN24" s="607"/>
      <c r="CO24" s="609">
        <f t="shared" si="19"/>
        <v>0</v>
      </c>
      <c r="CP24" s="610">
        <f t="shared" si="3"/>
        <v>0</v>
      </c>
      <c r="CQ24" s="545"/>
      <c r="CR24" s="546"/>
      <c r="CS24" s="544">
        <f t="shared" si="25"/>
        <v>0</v>
      </c>
      <c r="CT24" s="545"/>
      <c r="CU24" s="546"/>
      <c r="CV24" s="546"/>
      <c r="CW24" s="544">
        <f t="shared" si="26"/>
        <v>0</v>
      </c>
      <c r="CX24" s="547">
        <f t="shared" si="27"/>
        <v>0</v>
      </c>
      <c r="CY24" s="611">
        <f t="shared" si="28"/>
        <v>0</v>
      </c>
    </row>
    <row r="25" spans="1:103" s="561" customFormat="1">
      <c r="A25" s="538">
        <v>22</v>
      </c>
      <c r="B25" s="602" t="s">
        <v>89</v>
      </c>
      <c r="C25" s="603" t="s">
        <v>838</v>
      </c>
      <c r="D25" s="541" t="s">
        <v>829</v>
      </c>
      <c r="E25" s="545">
        <v>0</v>
      </c>
      <c r="F25" s="546">
        <v>0</v>
      </c>
      <c r="G25" s="546">
        <v>0</v>
      </c>
      <c r="H25" s="546">
        <v>0</v>
      </c>
      <c r="I25" s="544">
        <f t="shared" si="4"/>
        <v>0</v>
      </c>
      <c r="J25" s="545">
        <v>0</v>
      </c>
      <c r="K25" s="546">
        <v>10687.07375</v>
      </c>
      <c r="L25" s="546">
        <v>0</v>
      </c>
      <c r="M25" s="546">
        <v>1431.288</v>
      </c>
      <c r="N25" s="544">
        <f t="shared" si="5"/>
        <v>12118.36175</v>
      </c>
      <c r="O25" s="545">
        <v>889.8</v>
      </c>
      <c r="P25" s="546">
        <v>11122.5</v>
      </c>
      <c r="Q25" s="544">
        <f t="shared" si="6"/>
        <v>12012.3</v>
      </c>
      <c r="R25" s="545">
        <v>0</v>
      </c>
      <c r="S25" s="546">
        <v>813.68000000000018</v>
      </c>
      <c r="T25" s="546">
        <v>281.60000000000002</v>
      </c>
      <c r="U25" s="546">
        <v>0</v>
      </c>
      <c r="V25" s="546">
        <v>0</v>
      </c>
      <c r="W25" s="546">
        <v>254.79000000000002</v>
      </c>
      <c r="X25" s="544">
        <f t="shared" si="7"/>
        <v>1350.0700000000002</v>
      </c>
      <c r="Y25" s="545">
        <v>0</v>
      </c>
      <c r="Z25" s="546">
        <v>3638.8799999999997</v>
      </c>
      <c r="AA25" s="546">
        <v>4989.0200000000004</v>
      </c>
      <c r="AB25" s="544">
        <f t="shared" si="1"/>
        <v>8627.9</v>
      </c>
      <c r="AC25" s="547">
        <f t="shared" si="21"/>
        <v>34108.63175</v>
      </c>
      <c r="AD25" s="604">
        <v>4365.7919999999995</v>
      </c>
      <c r="AE25" s="605">
        <v>1144.26</v>
      </c>
      <c r="AF25" s="606">
        <f t="shared" si="9"/>
        <v>5510.0519999999997</v>
      </c>
      <c r="AG25" s="604">
        <v>0</v>
      </c>
      <c r="AH25" s="605">
        <v>3208.14</v>
      </c>
      <c r="AI25" s="605">
        <v>0</v>
      </c>
      <c r="AJ25" s="605">
        <v>0</v>
      </c>
      <c r="AK25" s="605">
        <v>0</v>
      </c>
      <c r="AL25" s="605">
        <v>0</v>
      </c>
      <c r="AM25" s="605">
        <v>1111.32</v>
      </c>
      <c r="AN25" s="605">
        <v>0</v>
      </c>
      <c r="AO25" s="605">
        <v>0</v>
      </c>
      <c r="AP25" s="605">
        <v>0</v>
      </c>
      <c r="AQ25" s="606">
        <f t="shared" si="10"/>
        <v>4319.46</v>
      </c>
      <c r="AR25" s="604">
        <v>77154.381331250013</v>
      </c>
      <c r="AS25" s="605">
        <v>0</v>
      </c>
      <c r="AT25" s="605">
        <v>0</v>
      </c>
      <c r="AU25" s="606">
        <f t="shared" si="11"/>
        <v>77154.381331250013</v>
      </c>
      <c r="AV25" s="604">
        <v>0</v>
      </c>
      <c r="AW25" s="605">
        <v>0</v>
      </c>
      <c r="AX25" s="605">
        <v>1028.6880000000001</v>
      </c>
      <c r="AY25" s="605">
        <v>0</v>
      </c>
      <c r="AZ25" s="605">
        <v>0</v>
      </c>
      <c r="BA25" s="606">
        <f t="shared" si="12"/>
        <v>1028.6880000000001</v>
      </c>
      <c r="BB25" s="604">
        <v>849</v>
      </c>
      <c r="BC25" s="605">
        <v>0</v>
      </c>
      <c r="BD25" s="605">
        <v>0</v>
      </c>
      <c r="BE25" s="605">
        <v>0</v>
      </c>
      <c r="BF25" s="605">
        <v>0</v>
      </c>
      <c r="BG25" s="605">
        <v>0</v>
      </c>
      <c r="BH25" s="605">
        <v>0</v>
      </c>
      <c r="BI25" s="606">
        <f t="shared" si="2"/>
        <v>849</v>
      </c>
      <c r="BJ25" s="551">
        <f t="shared" si="22"/>
        <v>88861.58133125001</v>
      </c>
      <c r="BK25" s="607"/>
      <c r="BL25" s="608"/>
      <c r="BM25" s="608">
        <v>2852.3056500000025</v>
      </c>
      <c r="BN25" s="608"/>
      <c r="BO25" s="557">
        <f t="shared" si="23"/>
        <v>2852.3056500000025</v>
      </c>
      <c r="BP25" s="607"/>
      <c r="BQ25" s="608">
        <v>2865.1873500000006</v>
      </c>
      <c r="BR25" s="608"/>
      <c r="BS25" s="557">
        <f t="shared" si="24"/>
        <v>2865.1873500000006</v>
      </c>
      <c r="BT25" s="607"/>
      <c r="BU25" s="557">
        <f t="shared" si="16"/>
        <v>0</v>
      </c>
      <c r="BV25" s="607"/>
      <c r="BW25" s="608"/>
      <c r="BX25" s="608"/>
      <c r="BY25" s="608"/>
      <c r="BZ25" s="608"/>
      <c r="CA25" s="608"/>
      <c r="CB25" s="608"/>
      <c r="CC25" s="608"/>
      <c r="CD25" s="608"/>
      <c r="CE25" s="557">
        <f t="shared" si="17"/>
        <v>0</v>
      </c>
      <c r="CF25" s="607"/>
      <c r="CG25" s="608"/>
      <c r="CH25" s="608"/>
      <c r="CI25" s="608">
        <v>5158.9210499999999</v>
      </c>
      <c r="CJ25" s="608"/>
      <c r="CK25" s="608"/>
      <c r="CL25" s="608"/>
      <c r="CM25" s="557">
        <f t="shared" si="18"/>
        <v>5158.9210499999999</v>
      </c>
      <c r="CN25" s="607"/>
      <c r="CO25" s="609">
        <f t="shared" si="19"/>
        <v>0</v>
      </c>
      <c r="CP25" s="610">
        <f t="shared" si="3"/>
        <v>10876.414050000003</v>
      </c>
      <c r="CQ25" s="545">
        <v>419.49</v>
      </c>
      <c r="CR25" s="546"/>
      <c r="CS25" s="544">
        <f t="shared" si="25"/>
        <v>419.49</v>
      </c>
      <c r="CT25" s="545"/>
      <c r="CU25" s="546"/>
      <c r="CV25" s="546">
        <v>5612.8</v>
      </c>
      <c r="CW25" s="544">
        <f t="shared" si="26"/>
        <v>5612.8</v>
      </c>
      <c r="CX25" s="547">
        <f t="shared" si="27"/>
        <v>6032.29</v>
      </c>
      <c r="CY25" s="611">
        <f t="shared" si="28"/>
        <v>139878.91713125003</v>
      </c>
    </row>
    <row r="26" spans="1:103" s="561" customFormat="1">
      <c r="A26" s="538">
        <v>23</v>
      </c>
      <c r="B26" s="602" t="s">
        <v>839</v>
      </c>
      <c r="C26" s="603" t="s">
        <v>840</v>
      </c>
      <c r="D26" s="541" t="s">
        <v>829</v>
      </c>
      <c r="E26" s="545">
        <v>0</v>
      </c>
      <c r="F26" s="546">
        <v>0</v>
      </c>
      <c r="G26" s="546">
        <v>0</v>
      </c>
      <c r="H26" s="546">
        <v>0</v>
      </c>
      <c r="I26" s="544">
        <f t="shared" si="4"/>
        <v>0</v>
      </c>
      <c r="J26" s="545">
        <v>0</v>
      </c>
      <c r="K26" s="546">
        <v>0</v>
      </c>
      <c r="L26" s="546">
        <v>0</v>
      </c>
      <c r="M26" s="546">
        <v>808.74720000000002</v>
      </c>
      <c r="N26" s="544">
        <f t="shared" si="5"/>
        <v>808.74720000000002</v>
      </c>
      <c r="O26" s="545">
        <v>464.03999999999996</v>
      </c>
      <c r="P26" s="546">
        <v>11276.171999999999</v>
      </c>
      <c r="Q26" s="544">
        <f t="shared" si="6"/>
        <v>11740.212</v>
      </c>
      <c r="R26" s="545">
        <v>1044.9360000000001</v>
      </c>
      <c r="S26" s="546">
        <v>649.65599999999995</v>
      </c>
      <c r="T26" s="546">
        <v>928.07999999999993</v>
      </c>
      <c r="U26" s="546">
        <v>0</v>
      </c>
      <c r="V26" s="546">
        <v>1431.1080000000002</v>
      </c>
      <c r="W26" s="546">
        <v>556.84799999999996</v>
      </c>
      <c r="X26" s="544">
        <f t="shared" si="7"/>
        <v>4610.6280000000006</v>
      </c>
      <c r="Y26" s="545">
        <v>0</v>
      </c>
      <c r="Z26" s="546">
        <v>1635.1160000000002</v>
      </c>
      <c r="AA26" s="546">
        <v>4035.2327000000005</v>
      </c>
      <c r="AB26" s="544">
        <f t="shared" si="1"/>
        <v>5670.3487000000005</v>
      </c>
      <c r="AC26" s="547">
        <f t="shared" si="21"/>
        <v>22829.935900000004</v>
      </c>
      <c r="AD26" s="604">
        <v>6644.8984499999997</v>
      </c>
      <c r="AE26" s="605">
        <v>2281.2359999999999</v>
      </c>
      <c r="AF26" s="606">
        <f t="shared" si="9"/>
        <v>8926.1344499999996</v>
      </c>
      <c r="AG26" s="604">
        <v>0</v>
      </c>
      <c r="AH26" s="605">
        <v>246.375</v>
      </c>
      <c r="AI26" s="605">
        <v>0</v>
      </c>
      <c r="AJ26" s="605">
        <v>0</v>
      </c>
      <c r="AK26" s="605">
        <v>0</v>
      </c>
      <c r="AL26" s="605">
        <v>0</v>
      </c>
      <c r="AM26" s="605">
        <v>277.83</v>
      </c>
      <c r="AN26" s="605">
        <v>0</v>
      </c>
      <c r="AO26" s="605">
        <v>0</v>
      </c>
      <c r="AP26" s="605">
        <v>0</v>
      </c>
      <c r="AQ26" s="606">
        <f t="shared" si="10"/>
        <v>524.20499999999993</v>
      </c>
      <c r="AR26" s="604">
        <v>15621.277887</v>
      </c>
      <c r="AS26" s="605">
        <v>6115.6299360000003</v>
      </c>
      <c r="AT26" s="605">
        <v>0</v>
      </c>
      <c r="AU26" s="606">
        <f t="shared" si="11"/>
        <v>21736.907823000001</v>
      </c>
      <c r="AV26" s="604">
        <v>37.324349999999995</v>
      </c>
      <c r="AW26" s="605">
        <v>0</v>
      </c>
      <c r="AX26" s="605">
        <v>301.08300000000003</v>
      </c>
      <c r="AY26" s="605">
        <v>0</v>
      </c>
      <c r="AZ26" s="605">
        <v>153.6885</v>
      </c>
      <c r="BA26" s="606">
        <f t="shared" si="12"/>
        <v>492.09585000000004</v>
      </c>
      <c r="BB26" s="604">
        <v>212.25</v>
      </c>
      <c r="BC26" s="605">
        <v>0</v>
      </c>
      <c r="BD26" s="605">
        <v>0</v>
      </c>
      <c r="BE26" s="605">
        <v>0</v>
      </c>
      <c r="BF26" s="605">
        <v>0</v>
      </c>
      <c r="BG26" s="605">
        <v>54.888750000000002</v>
      </c>
      <c r="BH26" s="605">
        <v>0</v>
      </c>
      <c r="BI26" s="606">
        <f t="shared" si="2"/>
        <v>267.13875000000002</v>
      </c>
      <c r="BJ26" s="551">
        <f t="shared" si="22"/>
        <v>31946.481873000001</v>
      </c>
      <c r="BK26" s="607"/>
      <c r="BL26" s="608">
        <v>1417.5449999999998</v>
      </c>
      <c r="BM26" s="608">
        <v>2477.79</v>
      </c>
      <c r="BN26" s="608"/>
      <c r="BO26" s="557">
        <f t="shared" si="23"/>
        <v>3895.335</v>
      </c>
      <c r="BP26" s="607"/>
      <c r="BQ26" s="608">
        <v>2152.7804999999998</v>
      </c>
      <c r="BR26" s="608"/>
      <c r="BS26" s="557">
        <f t="shared" si="24"/>
        <v>2152.7804999999998</v>
      </c>
      <c r="BT26" s="607">
        <v>649.89599999999996</v>
      </c>
      <c r="BU26" s="557">
        <f t="shared" si="16"/>
        <v>649.89599999999996</v>
      </c>
      <c r="BV26" s="607"/>
      <c r="BW26" s="608"/>
      <c r="BX26" s="608"/>
      <c r="BY26" s="608"/>
      <c r="BZ26" s="608"/>
      <c r="CA26" s="608"/>
      <c r="CB26" s="608"/>
      <c r="CC26" s="608"/>
      <c r="CD26" s="608"/>
      <c r="CE26" s="557">
        <f t="shared" si="17"/>
        <v>0</v>
      </c>
      <c r="CF26" s="607"/>
      <c r="CG26" s="608"/>
      <c r="CH26" s="608"/>
      <c r="CI26" s="608">
        <v>1054.944</v>
      </c>
      <c r="CJ26" s="608"/>
      <c r="CK26" s="608">
        <v>314.35799999999995</v>
      </c>
      <c r="CL26" s="608"/>
      <c r="CM26" s="557">
        <f t="shared" si="18"/>
        <v>1369.3019999999999</v>
      </c>
      <c r="CN26" s="607"/>
      <c r="CO26" s="609">
        <f t="shared" si="19"/>
        <v>0</v>
      </c>
      <c r="CP26" s="610">
        <f t="shared" si="3"/>
        <v>8067.3134999999993</v>
      </c>
      <c r="CQ26" s="545">
        <v>201.75</v>
      </c>
      <c r="CR26" s="546"/>
      <c r="CS26" s="544">
        <f t="shared" si="25"/>
        <v>201.75</v>
      </c>
      <c r="CT26" s="545"/>
      <c r="CU26" s="546"/>
      <c r="CV26" s="546">
        <v>1108.8</v>
      </c>
      <c r="CW26" s="544">
        <f t="shared" si="26"/>
        <v>1108.8</v>
      </c>
      <c r="CX26" s="547">
        <f t="shared" si="27"/>
        <v>1310.55</v>
      </c>
      <c r="CY26" s="611">
        <f t="shared" si="28"/>
        <v>64154.281273000008</v>
      </c>
    </row>
    <row r="27" spans="1:103" s="561" customFormat="1" ht="30" hidden="1">
      <c r="A27" s="538">
        <v>24</v>
      </c>
      <c r="B27" s="602" t="s">
        <v>841</v>
      </c>
      <c r="C27" s="603" t="s">
        <v>842</v>
      </c>
      <c r="D27" s="541" t="s">
        <v>843</v>
      </c>
      <c r="E27" s="545">
        <v>0</v>
      </c>
      <c r="F27" s="546">
        <v>0</v>
      </c>
      <c r="G27" s="546">
        <v>0</v>
      </c>
      <c r="H27" s="546">
        <v>0</v>
      </c>
      <c r="I27" s="544">
        <f t="shared" si="4"/>
        <v>0</v>
      </c>
      <c r="J27" s="545">
        <v>0</v>
      </c>
      <c r="K27" s="546">
        <v>0</v>
      </c>
      <c r="L27" s="546">
        <v>0</v>
      </c>
      <c r="M27" s="546">
        <v>0</v>
      </c>
      <c r="N27" s="544">
        <f t="shared" si="5"/>
        <v>0</v>
      </c>
      <c r="O27" s="545">
        <v>0</v>
      </c>
      <c r="P27" s="546">
        <v>0</v>
      </c>
      <c r="Q27" s="544">
        <f t="shared" si="6"/>
        <v>0</v>
      </c>
      <c r="R27" s="545">
        <v>0</v>
      </c>
      <c r="S27" s="546">
        <v>0</v>
      </c>
      <c r="T27" s="546">
        <v>0</v>
      </c>
      <c r="U27" s="546">
        <v>0</v>
      </c>
      <c r="V27" s="546">
        <v>0</v>
      </c>
      <c r="W27" s="546">
        <v>0</v>
      </c>
      <c r="X27" s="544">
        <f t="shared" si="7"/>
        <v>0</v>
      </c>
      <c r="Y27" s="545">
        <v>0</v>
      </c>
      <c r="Z27" s="546">
        <v>0</v>
      </c>
      <c r="AA27" s="546">
        <v>0</v>
      </c>
      <c r="AB27" s="544">
        <f t="shared" si="1"/>
        <v>0</v>
      </c>
      <c r="AC27" s="547">
        <f t="shared" si="21"/>
        <v>0</v>
      </c>
      <c r="AD27" s="604" t="s">
        <v>816</v>
      </c>
      <c r="AE27" s="605" t="s">
        <v>816</v>
      </c>
      <c r="AF27" s="606">
        <f t="shared" si="9"/>
        <v>0</v>
      </c>
      <c r="AG27" s="604" t="s">
        <v>816</v>
      </c>
      <c r="AH27" s="605" t="s">
        <v>816</v>
      </c>
      <c r="AI27" s="605" t="s">
        <v>816</v>
      </c>
      <c r="AJ27" s="605" t="s">
        <v>816</v>
      </c>
      <c r="AK27" s="605" t="s">
        <v>816</v>
      </c>
      <c r="AL27" s="605" t="s">
        <v>816</v>
      </c>
      <c r="AM27" s="605" t="s">
        <v>816</v>
      </c>
      <c r="AN27" s="605" t="s">
        <v>816</v>
      </c>
      <c r="AO27" s="605" t="s">
        <v>816</v>
      </c>
      <c r="AP27" s="605" t="s">
        <v>816</v>
      </c>
      <c r="AQ27" s="606">
        <f t="shared" si="10"/>
        <v>0</v>
      </c>
      <c r="AR27" s="604" t="s">
        <v>816</v>
      </c>
      <c r="AS27" s="605" t="s">
        <v>816</v>
      </c>
      <c r="AT27" s="605" t="s">
        <v>816</v>
      </c>
      <c r="AU27" s="606">
        <f t="shared" si="11"/>
        <v>0</v>
      </c>
      <c r="AV27" s="604" t="s">
        <v>816</v>
      </c>
      <c r="AW27" s="605" t="s">
        <v>816</v>
      </c>
      <c r="AX27" s="605" t="s">
        <v>816</v>
      </c>
      <c r="AY27" s="605" t="s">
        <v>816</v>
      </c>
      <c r="AZ27" s="605" t="s">
        <v>816</v>
      </c>
      <c r="BA27" s="606">
        <f t="shared" si="12"/>
        <v>0</v>
      </c>
      <c r="BB27" s="604" t="s">
        <v>816</v>
      </c>
      <c r="BC27" s="605" t="s">
        <v>816</v>
      </c>
      <c r="BD27" s="605" t="s">
        <v>816</v>
      </c>
      <c r="BE27" s="605" t="s">
        <v>816</v>
      </c>
      <c r="BF27" s="605" t="s">
        <v>816</v>
      </c>
      <c r="BG27" s="605" t="s">
        <v>816</v>
      </c>
      <c r="BH27" s="605" t="s">
        <v>816</v>
      </c>
      <c r="BI27" s="606">
        <f t="shared" si="2"/>
        <v>0</v>
      </c>
      <c r="BJ27" s="551">
        <f t="shared" si="22"/>
        <v>0</v>
      </c>
      <c r="BK27" s="607"/>
      <c r="BL27" s="608"/>
      <c r="BM27" s="608"/>
      <c r="BN27" s="608"/>
      <c r="BO27" s="557">
        <f t="shared" si="23"/>
        <v>0</v>
      </c>
      <c r="BP27" s="607"/>
      <c r="BQ27" s="608"/>
      <c r="BR27" s="608"/>
      <c r="BS27" s="557">
        <f t="shared" si="24"/>
        <v>0</v>
      </c>
      <c r="BT27" s="607"/>
      <c r="BU27" s="557">
        <f t="shared" si="16"/>
        <v>0</v>
      </c>
      <c r="BV27" s="607"/>
      <c r="BW27" s="608"/>
      <c r="BX27" s="608"/>
      <c r="BY27" s="608"/>
      <c r="BZ27" s="608"/>
      <c r="CA27" s="608"/>
      <c r="CB27" s="608"/>
      <c r="CC27" s="608"/>
      <c r="CD27" s="608"/>
      <c r="CE27" s="557">
        <f t="shared" si="17"/>
        <v>0</v>
      </c>
      <c r="CF27" s="607"/>
      <c r="CG27" s="608"/>
      <c r="CH27" s="608"/>
      <c r="CI27" s="608"/>
      <c r="CJ27" s="608"/>
      <c r="CK27" s="608"/>
      <c r="CL27" s="608"/>
      <c r="CM27" s="557">
        <f t="shared" si="18"/>
        <v>0</v>
      </c>
      <c r="CN27" s="607"/>
      <c r="CO27" s="609">
        <f t="shared" si="19"/>
        <v>0</v>
      </c>
      <c r="CP27" s="610">
        <f t="shared" si="3"/>
        <v>0</v>
      </c>
      <c r="CQ27" s="545"/>
      <c r="CR27" s="546"/>
      <c r="CS27" s="544">
        <f t="shared" si="25"/>
        <v>0</v>
      </c>
      <c r="CT27" s="545"/>
      <c r="CU27" s="546"/>
      <c r="CV27" s="546"/>
      <c r="CW27" s="544">
        <f t="shared" si="26"/>
        <v>0</v>
      </c>
      <c r="CX27" s="547">
        <f t="shared" si="27"/>
        <v>0</v>
      </c>
      <c r="CY27" s="611">
        <f t="shared" si="28"/>
        <v>0</v>
      </c>
    </row>
    <row r="28" spans="1:103" s="561" customFormat="1" ht="30" hidden="1">
      <c r="A28" s="538">
        <v>25</v>
      </c>
      <c r="B28" s="602" t="s">
        <v>844</v>
      </c>
      <c r="C28" s="603" t="s">
        <v>845</v>
      </c>
      <c r="D28" s="541" t="s">
        <v>829</v>
      </c>
      <c r="E28" s="545">
        <v>0</v>
      </c>
      <c r="F28" s="546">
        <v>0</v>
      </c>
      <c r="G28" s="546">
        <v>0</v>
      </c>
      <c r="H28" s="546">
        <v>0</v>
      </c>
      <c r="I28" s="544">
        <f t="shared" si="4"/>
        <v>0</v>
      </c>
      <c r="J28" s="545">
        <v>0</v>
      </c>
      <c r="K28" s="546">
        <v>0</v>
      </c>
      <c r="L28" s="546">
        <v>0</v>
      </c>
      <c r="M28" s="546">
        <v>0</v>
      </c>
      <c r="N28" s="544">
        <f t="shared" si="5"/>
        <v>0</v>
      </c>
      <c r="O28" s="545">
        <v>0</v>
      </c>
      <c r="P28" s="546">
        <v>0</v>
      </c>
      <c r="Q28" s="544">
        <f t="shared" si="6"/>
        <v>0</v>
      </c>
      <c r="R28" s="545">
        <v>0</v>
      </c>
      <c r="S28" s="546">
        <v>0</v>
      </c>
      <c r="T28" s="546">
        <v>0</v>
      </c>
      <c r="U28" s="546">
        <v>0</v>
      </c>
      <c r="V28" s="546">
        <v>0</v>
      </c>
      <c r="W28" s="546">
        <v>0</v>
      </c>
      <c r="X28" s="544">
        <f t="shared" si="7"/>
        <v>0</v>
      </c>
      <c r="Y28" s="545">
        <v>0</v>
      </c>
      <c r="Z28" s="546">
        <v>0</v>
      </c>
      <c r="AA28" s="546">
        <v>0</v>
      </c>
      <c r="AB28" s="544">
        <f t="shared" si="1"/>
        <v>0</v>
      </c>
      <c r="AC28" s="547">
        <f t="shared" si="21"/>
        <v>0</v>
      </c>
      <c r="AD28" s="604" t="s">
        <v>816</v>
      </c>
      <c r="AE28" s="605" t="s">
        <v>816</v>
      </c>
      <c r="AF28" s="606">
        <f t="shared" si="9"/>
        <v>0</v>
      </c>
      <c r="AG28" s="604" t="s">
        <v>816</v>
      </c>
      <c r="AH28" s="605" t="s">
        <v>816</v>
      </c>
      <c r="AI28" s="605" t="s">
        <v>816</v>
      </c>
      <c r="AJ28" s="605" t="s">
        <v>816</v>
      </c>
      <c r="AK28" s="605" t="s">
        <v>816</v>
      </c>
      <c r="AL28" s="605" t="s">
        <v>816</v>
      </c>
      <c r="AM28" s="605" t="s">
        <v>816</v>
      </c>
      <c r="AN28" s="605" t="s">
        <v>816</v>
      </c>
      <c r="AO28" s="605" t="s">
        <v>816</v>
      </c>
      <c r="AP28" s="605" t="s">
        <v>816</v>
      </c>
      <c r="AQ28" s="606">
        <f t="shared" si="10"/>
        <v>0</v>
      </c>
      <c r="AR28" s="604" t="s">
        <v>816</v>
      </c>
      <c r="AS28" s="605" t="s">
        <v>816</v>
      </c>
      <c r="AT28" s="605" t="s">
        <v>816</v>
      </c>
      <c r="AU28" s="606">
        <f t="shared" si="11"/>
        <v>0</v>
      </c>
      <c r="AV28" s="604" t="s">
        <v>816</v>
      </c>
      <c r="AW28" s="605" t="s">
        <v>816</v>
      </c>
      <c r="AX28" s="605" t="s">
        <v>816</v>
      </c>
      <c r="AY28" s="605" t="s">
        <v>816</v>
      </c>
      <c r="AZ28" s="605" t="s">
        <v>816</v>
      </c>
      <c r="BA28" s="606">
        <f t="shared" si="12"/>
        <v>0</v>
      </c>
      <c r="BB28" s="604" t="s">
        <v>816</v>
      </c>
      <c r="BC28" s="605" t="s">
        <v>816</v>
      </c>
      <c r="BD28" s="605" t="s">
        <v>816</v>
      </c>
      <c r="BE28" s="605" t="s">
        <v>816</v>
      </c>
      <c r="BF28" s="605" t="s">
        <v>816</v>
      </c>
      <c r="BG28" s="605" t="s">
        <v>816</v>
      </c>
      <c r="BH28" s="605" t="s">
        <v>816</v>
      </c>
      <c r="BI28" s="606">
        <f t="shared" si="2"/>
        <v>0</v>
      </c>
      <c r="BJ28" s="551">
        <f t="shared" si="22"/>
        <v>0</v>
      </c>
      <c r="BK28" s="607"/>
      <c r="BL28" s="608"/>
      <c r="BM28" s="608"/>
      <c r="BN28" s="608"/>
      <c r="BO28" s="557">
        <f t="shared" si="23"/>
        <v>0</v>
      </c>
      <c r="BP28" s="607"/>
      <c r="BQ28" s="608"/>
      <c r="BR28" s="608"/>
      <c r="BS28" s="557">
        <f t="shared" si="24"/>
        <v>0</v>
      </c>
      <c r="BT28" s="607"/>
      <c r="BU28" s="557">
        <f t="shared" si="16"/>
        <v>0</v>
      </c>
      <c r="BV28" s="607"/>
      <c r="BW28" s="608"/>
      <c r="BX28" s="608"/>
      <c r="BY28" s="608"/>
      <c r="BZ28" s="608"/>
      <c r="CA28" s="608"/>
      <c r="CB28" s="608"/>
      <c r="CC28" s="608"/>
      <c r="CD28" s="608"/>
      <c r="CE28" s="557">
        <f t="shared" si="17"/>
        <v>0</v>
      </c>
      <c r="CF28" s="607"/>
      <c r="CG28" s="608"/>
      <c r="CH28" s="608"/>
      <c r="CI28" s="608"/>
      <c r="CJ28" s="608"/>
      <c r="CK28" s="608"/>
      <c r="CL28" s="608"/>
      <c r="CM28" s="557">
        <f t="shared" si="18"/>
        <v>0</v>
      </c>
      <c r="CN28" s="607"/>
      <c r="CO28" s="609">
        <f t="shared" si="19"/>
        <v>0</v>
      </c>
      <c r="CP28" s="610">
        <f t="shared" si="3"/>
        <v>0</v>
      </c>
      <c r="CQ28" s="545"/>
      <c r="CR28" s="546"/>
      <c r="CS28" s="544">
        <f t="shared" si="25"/>
        <v>0</v>
      </c>
      <c r="CT28" s="545"/>
      <c r="CU28" s="546"/>
      <c r="CV28" s="546"/>
      <c r="CW28" s="544">
        <f t="shared" si="26"/>
        <v>0</v>
      </c>
      <c r="CX28" s="547">
        <f t="shared" si="27"/>
        <v>0</v>
      </c>
      <c r="CY28" s="611">
        <f t="shared" si="28"/>
        <v>0</v>
      </c>
    </row>
    <row r="29" spans="1:103" s="561" customFormat="1">
      <c r="A29" s="538">
        <v>26</v>
      </c>
      <c r="B29" s="602">
        <v>234.1</v>
      </c>
      <c r="C29" s="616" t="s">
        <v>846</v>
      </c>
      <c r="D29" s="541" t="s">
        <v>829</v>
      </c>
      <c r="E29" s="545">
        <v>0</v>
      </c>
      <c r="F29" s="546">
        <v>0</v>
      </c>
      <c r="G29" s="546">
        <v>0</v>
      </c>
      <c r="H29" s="546">
        <v>0</v>
      </c>
      <c r="I29" s="544">
        <f t="shared" ref="I29" si="29">+IF(D29="", "",SUM(E29:H29))</f>
        <v>0</v>
      </c>
      <c r="J29" s="545">
        <v>0</v>
      </c>
      <c r="K29" s="546">
        <v>0</v>
      </c>
      <c r="L29" s="546">
        <v>0</v>
      </c>
      <c r="M29" s="546">
        <v>0</v>
      </c>
      <c r="N29" s="544">
        <f t="shared" si="5"/>
        <v>0</v>
      </c>
      <c r="O29" s="545">
        <v>0</v>
      </c>
      <c r="P29" s="546">
        <v>0</v>
      </c>
      <c r="Q29" s="544">
        <f t="shared" si="6"/>
        <v>0</v>
      </c>
      <c r="R29" s="545">
        <v>0</v>
      </c>
      <c r="S29" s="546">
        <v>0</v>
      </c>
      <c r="T29" s="546">
        <v>0</v>
      </c>
      <c r="U29" s="546">
        <v>0</v>
      </c>
      <c r="V29" s="546">
        <v>0</v>
      </c>
      <c r="W29" s="546">
        <v>0</v>
      </c>
      <c r="X29" s="544">
        <f t="shared" si="7"/>
        <v>0</v>
      </c>
      <c r="Y29" s="545">
        <v>0</v>
      </c>
      <c r="Z29" s="546">
        <v>0</v>
      </c>
      <c r="AA29" s="546">
        <v>0</v>
      </c>
      <c r="AB29" s="544">
        <f t="shared" si="1"/>
        <v>0</v>
      </c>
      <c r="AC29" s="547">
        <f t="shared" si="21"/>
        <v>0</v>
      </c>
      <c r="AD29" s="604" t="s">
        <v>816</v>
      </c>
      <c r="AE29" s="605" t="s">
        <v>816</v>
      </c>
      <c r="AF29" s="606">
        <f t="shared" si="9"/>
        <v>0</v>
      </c>
      <c r="AG29" s="604" t="s">
        <v>816</v>
      </c>
      <c r="AH29" s="605" t="s">
        <v>816</v>
      </c>
      <c r="AI29" s="605" t="s">
        <v>816</v>
      </c>
      <c r="AJ29" s="605" t="s">
        <v>816</v>
      </c>
      <c r="AK29" s="605" t="s">
        <v>816</v>
      </c>
      <c r="AL29" s="605" t="s">
        <v>816</v>
      </c>
      <c r="AM29" s="605" t="s">
        <v>816</v>
      </c>
      <c r="AN29" s="605" t="s">
        <v>816</v>
      </c>
      <c r="AO29" s="605" t="s">
        <v>816</v>
      </c>
      <c r="AP29" s="605" t="s">
        <v>816</v>
      </c>
      <c r="AQ29" s="606">
        <f t="shared" si="10"/>
        <v>0</v>
      </c>
      <c r="AR29" s="604" t="s">
        <v>816</v>
      </c>
      <c r="AS29" s="605" t="s">
        <v>816</v>
      </c>
      <c r="AT29" s="605" t="s">
        <v>816</v>
      </c>
      <c r="AU29" s="606">
        <f t="shared" si="11"/>
        <v>0</v>
      </c>
      <c r="AV29" s="604" t="s">
        <v>816</v>
      </c>
      <c r="AW29" s="605" t="s">
        <v>816</v>
      </c>
      <c r="AX29" s="605" t="s">
        <v>816</v>
      </c>
      <c r="AY29" s="605" t="s">
        <v>816</v>
      </c>
      <c r="AZ29" s="605" t="s">
        <v>816</v>
      </c>
      <c r="BA29" s="606">
        <f t="shared" si="12"/>
        <v>0</v>
      </c>
      <c r="BB29" s="604" t="s">
        <v>816</v>
      </c>
      <c r="BC29" s="605" t="s">
        <v>816</v>
      </c>
      <c r="BD29" s="605" t="s">
        <v>816</v>
      </c>
      <c r="BE29" s="605" t="s">
        <v>816</v>
      </c>
      <c r="BF29" s="605" t="s">
        <v>816</v>
      </c>
      <c r="BG29" s="605" t="s">
        <v>816</v>
      </c>
      <c r="BH29" s="605" t="s">
        <v>816</v>
      </c>
      <c r="BI29" s="606">
        <f t="shared" si="2"/>
        <v>0</v>
      </c>
      <c r="BJ29" s="551">
        <f t="shared" si="22"/>
        <v>0</v>
      </c>
      <c r="BK29" s="607"/>
      <c r="BL29" s="608"/>
      <c r="BM29" s="608"/>
      <c r="BN29" s="608"/>
      <c r="BO29" s="557">
        <f t="shared" si="23"/>
        <v>0</v>
      </c>
      <c r="BP29" s="607"/>
      <c r="BQ29" s="608"/>
      <c r="BR29" s="608"/>
      <c r="BS29" s="557">
        <f t="shared" si="24"/>
        <v>0</v>
      </c>
      <c r="BT29" s="607"/>
      <c r="BU29" s="557">
        <f t="shared" si="16"/>
        <v>0</v>
      </c>
      <c r="BV29" s="607"/>
      <c r="BW29" s="608"/>
      <c r="BX29" s="608"/>
      <c r="BY29" s="608"/>
      <c r="BZ29" s="608"/>
      <c r="CA29" s="608"/>
      <c r="CB29" s="608"/>
      <c r="CC29" s="608"/>
      <c r="CD29" s="608"/>
      <c r="CE29" s="557">
        <f t="shared" si="17"/>
        <v>0</v>
      </c>
      <c r="CF29" s="607"/>
      <c r="CG29" s="608"/>
      <c r="CH29" s="608"/>
      <c r="CI29" s="608"/>
      <c r="CJ29" s="608"/>
      <c r="CK29" s="608"/>
      <c r="CL29" s="608"/>
      <c r="CM29" s="557">
        <f t="shared" si="18"/>
        <v>0</v>
      </c>
      <c r="CN29" s="607"/>
      <c r="CO29" s="609">
        <f t="shared" si="19"/>
        <v>0</v>
      </c>
      <c r="CP29" s="610">
        <f t="shared" si="3"/>
        <v>0</v>
      </c>
      <c r="CQ29" s="545"/>
      <c r="CR29" s="546"/>
      <c r="CS29" s="544"/>
      <c r="CT29" s="545"/>
      <c r="CU29" s="546"/>
      <c r="CV29" s="546">
        <v>3402</v>
      </c>
      <c r="CW29" s="544">
        <f t="shared" si="26"/>
        <v>3402</v>
      </c>
      <c r="CX29" s="547">
        <f t="shared" si="27"/>
        <v>3402</v>
      </c>
      <c r="CY29" s="611">
        <f t="shared" si="28"/>
        <v>3402</v>
      </c>
    </row>
    <row r="30" spans="1:103" s="561" customFormat="1">
      <c r="A30" s="538">
        <v>26</v>
      </c>
      <c r="B30" s="602" t="s">
        <v>847</v>
      </c>
      <c r="C30" s="603" t="s">
        <v>848</v>
      </c>
      <c r="D30" s="541" t="s">
        <v>829</v>
      </c>
      <c r="E30" s="545">
        <v>0</v>
      </c>
      <c r="F30" s="546">
        <v>0</v>
      </c>
      <c r="G30" s="546">
        <v>0</v>
      </c>
      <c r="H30" s="546">
        <v>0</v>
      </c>
      <c r="I30" s="544">
        <f t="shared" si="4"/>
        <v>0</v>
      </c>
      <c r="J30" s="545">
        <v>0</v>
      </c>
      <c r="K30" s="546">
        <v>0</v>
      </c>
      <c r="L30" s="546">
        <v>0</v>
      </c>
      <c r="M30" s="546">
        <v>0</v>
      </c>
      <c r="N30" s="544">
        <f t="shared" si="5"/>
        <v>0</v>
      </c>
      <c r="O30" s="545">
        <v>0</v>
      </c>
      <c r="P30" s="546">
        <v>0</v>
      </c>
      <c r="Q30" s="544">
        <f t="shared" si="6"/>
        <v>0</v>
      </c>
      <c r="R30" s="545">
        <v>0</v>
      </c>
      <c r="S30" s="546">
        <v>0</v>
      </c>
      <c r="T30" s="546">
        <v>0</v>
      </c>
      <c r="U30" s="546">
        <v>0</v>
      </c>
      <c r="V30" s="546">
        <v>0</v>
      </c>
      <c r="W30" s="546">
        <v>0</v>
      </c>
      <c r="X30" s="544">
        <f t="shared" si="7"/>
        <v>0</v>
      </c>
      <c r="Y30" s="545">
        <v>0</v>
      </c>
      <c r="Z30" s="546">
        <v>0</v>
      </c>
      <c r="AA30" s="546">
        <v>0</v>
      </c>
      <c r="AB30" s="544">
        <f t="shared" si="1"/>
        <v>0</v>
      </c>
      <c r="AC30" s="547">
        <f t="shared" si="21"/>
        <v>0</v>
      </c>
      <c r="AD30" s="604" t="s">
        <v>816</v>
      </c>
      <c r="AE30" s="605" t="s">
        <v>816</v>
      </c>
      <c r="AF30" s="606">
        <f t="shared" si="9"/>
        <v>0</v>
      </c>
      <c r="AG30" s="604" t="s">
        <v>816</v>
      </c>
      <c r="AH30" s="605" t="s">
        <v>816</v>
      </c>
      <c r="AI30" s="605" t="s">
        <v>816</v>
      </c>
      <c r="AJ30" s="605" t="s">
        <v>816</v>
      </c>
      <c r="AK30" s="605" t="s">
        <v>816</v>
      </c>
      <c r="AL30" s="605" t="s">
        <v>816</v>
      </c>
      <c r="AM30" s="605" t="s">
        <v>816</v>
      </c>
      <c r="AN30" s="605" t="s">
        <v>816</v>
      </c>
      <c r="AO30" s="605" t="s">
        <v>816</v>
      </c>
      <c r="AP30" s="605" t="s">
        <v>816</v>
      </c>
      <c r="AQ30" s="606">
        <f t="shared" si="10"/>
        <v>0</v>
      </c>
      <c r="AR30" s="604" t="s">
        <v>816</v>
      </c>
      <c r="AS30" s="605" t="s">
        <v>816</v>
      </c>
      <c r="AT30" s="605" t="s">
        <v>816</v>
      </c>
      <c r="AU30" s="606">
        <f t="shared" si="11"/>
        <v>0</v>
      </c>
      <c r="AV30" s="604" t="s">
        <v>816</v>
      </c>
      <c r="AW30" s="605" t="s">
        <v>816</v>
      </c>
      <c r="AX30" s="605" t="s">
        <v>816</v>
      </c>
      <c r="AY30" s="605" t="s">
        <v>816</v>
      </c>
      <c r="AZ30" s="605" t="s">
        <v>816</v>
      </c>
      <c r="BA30" s="606">
        <f t="shared" si="12"/>
        <v>0</v>
      </c>
      <c r="BB30" s="604" t="s">
        <v>816</v>
      </c>
      <c r="BC30" s="605" t="s">
        <v>816</v>
      </c>
      <c r="BD30" s="605" t="s">
        <v>816</v>
      </c>
      <c r="BE30" s="605" t="s">
        <v>816</v>
      </c>
      <c r="BF30" s="605" t="s">
        <v>816</v>
      </c>
      <c r="BG30" s="605" t="s">
        <v>816</v>
      </c>
      <c r="BH30" s="605" t="s">
        <v>816</v>
      </c>
      <c r="BI30" s="606">
        <f t="shared" si="2"/>
        <v>0</v>
      </c>
      <c r="BJ30" s="551">
        <f t="shared" si="22"/>
        <v>0</v>
      </c>
      <c r="BK30" s="607"/>
      <c r="BL30" s="608"/>
      <c r="BM30" s="608"/>
      <c r="BN30" s="608"/>
      <c r="BO30" s="557">
        <f t="shared" si="23"/>
        <v>0</v>
      </c>
      <c r="BP30" s="607"/>
      <c r="BQ30" s="608"/>
      <c r="BR30" s="608"/>
      <c r="BS30" s="557">
        <f t="shared" si="24"/>
        <v>0</v>
      </c>
      <c r="BT30" s="607"/>
      <c r="BU30" s="557">
        <f t="shared" si="16"/>
        <v>0</v>
      </c>
      <c r="BV30" s="607"/>
      <c r="BW30" s="608"/>
      <c r="BX30" s="608"/>
      <c r="BY30" s="608"/>
      <c r="BZ30" s="608"/>
      <c r="CA30" s="608"/>
      <c r="CB30" s="608"/>
      <c r="CC30" s="608"/>
      <c r="CD30" s="608"/>
      <c r="CE30" s="557">
        <f t="shared" si="17"/>
        <v>0</v>
      </c>
      <c r="CF30" s="607"/>
      <c r="CG30" s="608"/>
      <c r="CH30" s="608"/>
      <c r="CI30" s="608"/>
      <c r="CJ30" s="608"/>
      <c r="CK30" s="608"/>
      <c r="CL30" s="608"/>
      <c r="CM30" s="557">
        <f t="shared" si="18"/>
        <v>0</v>
      </c>
      <c r="CN30" s="607"/>
      <c r="CO30" s="609">
        <f t="shared" si="19"/>
        <v>0</v>
      </c>
      <c r="CP30" s="610">
        <f t="shared" si="3"/>
        <v>0</v>
      </c>
      <c r="CQ30" s="545">
        <v>150</v>
      </c>
      <c r="CR30" s="546">
        <v>150</v>
      </c>
      <c r="CS30" s="544">
        <f>+CQ30+CR30</f>
        <v>300</v>
      </c>
      <c r="CT30" s="545">
        <v>539.9</v>
      </c>
      <c r="CU30" s="546">
        <v>231</v>
      </c>
      <c r="CV30" s="546">
        <v>151.19999999999999</v>
      </c>
      <c r="CW30" s="544">
        <f t="shared" si="26"/>
        <v>922.09999999999991</v>
      </c>
      <c r="CX30" s="547">
        <f t="shared" si="27"/>
        <v>1222.0999999999999</v>
      </c>
      <c r="CY30" s="611">
        <f t="shared" si="28"/>
        <v>1222.0999999999999</v>
      </c>
    </row>
    <row r="31" spans="1:103" s="561" customFormat="1" ht="30">
      <c r="A31" s="538">
        <v>27</v>
      </c>
      <c r="B31" s="602" t="s">
        <v>849</v>
      </c>
      <c r="C31" s="603" t="s">
        <v>850</v>
      </c>
      <c r="D31" s="541" t="s">
        <v>851</v>
      </c>
      <c r="E31" s="545">
        <v>1038.96</v>
      </c>
      <c r="F31" s="546">
        <v>599.04</v>
      </c>
      <c r="G31" s="546">
        <v>0</v>
      </c>
      <c r="H31" s="546">
        <v>0</v>
      </c>
      <c r="I31" s="544">
        <f t="shared" si="4"/>
        <v>1638</v>
      </c>
      <c r="J31" s="545">
        <v>0</v>
      </c>
      <c r="K31" s="546">
        <v>0</v>
      </c>
      <c r="L31" s="546">
        <v>0</v>
      </c>
      <c r="M31" s="546">
        <v>0</v>
      </c>
      <c r="N31" s="544">
        <f t="shared" si="5"/>
        <v>0</v>
      </c>
      <c r="O31" s="545">
        <v>0</v>
      </c>
      <c r="P31" s="546">
        <v>0</v>
      </c>
      <c r="Q31" s="544">
        <f t="shared" si="6"/>
        <v>0</v>
      </c>
      <c r="R31" s="545">
        <v>0</v>
      </c>
      <c r="S31" s="546">
        <v>0</v>
      </c>
      <c r="T31" s="546">
        <v>0</v>
      </c>
      <c r="U31" s="546">
        <v>0</v>
      </c>
      <c r="V31" s="546">
        <v>0</v>
      </c>
      <c r="W31" s="546">
        <v>0</v>
      </c>
      <c r="X31" s="544">
        <f t="shared" si="7"/>
        <v>0</v>
      </c>
      <c r="Y31" s="545">
        <v>0</v>
      </c>
      <c r="Z31" s="546">
        <v>5273.9960000000001</v>
      </c>
      <c r="AA31" s="546">
        <v>0</v>
      </c>
      <c r="AB31" s="544">
        <f t="shared" si="1"/>
        <v>5273.9960000000001</v>
      </c>
      <c r="AC31" s="547">
        <f t="shared" si="21"/>
        <v>6911.9960000000001</v>
      </c>
      <c r="AD31" s="604" t="s">
        <v>816</v>
      </c>
      <c r="AE31" s="605" t="s">
        <v>816</v>
      </c>
      <c r="AF31" s="606">
        <f t="shared" si="9"/>
        <v>0</v>
      </c>
      <c r="AG31" s="604" t="s">
        <v>816</v>
      </c>
      <c r="AH31" s="605" t="s">
        <v>816</v>
      </c>
      <c r="AI31" s="605" t="s">
        <v>816</v>
      </c>
      <c r="AJ31" s="605" t="s">
        <v>816</v>
      </c>
      <c r="AK31" s="605" t="s">
        <v>816</v>
      </c>
      <c r="AL31" s="605" t="s">
        <v>816</v>
      </c>
      <c r="AM31" s="605" t="s">
        <v>816</v>
      </c>
      <c r="AN31" s="605" t="s">
        <v>816</v>
      </c>
      <c r="AO31" s="605" t="s">
        <v>816</v>
      </c>
      <c r="AP31" s="605" t="s">
        <v>816</v>
      </c>
      <c r="AQ31" s="606">
        <f t="shared" si="10"/>
        <v>0</v>
      </c>
      <c r="AR31" s="604" t="s">
        <v>816</v>
      </c>
      <c r="AS31" s="605" t="s">
        <v>816</v>
      </c>
      <c r="AT31" s="605" t="s">
        <v>816</v>
      </c>
      <c r="AU31" s="606">
        <f t="shared" si="11"/>
        <v>0</v>
      </c>
      <c r="AV31" s="604" t="s">
        <v>816</v>
      </c>
      <c r="AW31" s="605" t="s">
        <v>816</v>
      </c>
      <c r="AX31" s="605" t="s">
        <v>816</v>
      </c>
      <c r="AY31" s="605" t="s">
        <v>816</v>
      </c>
      <c r="AZ31" s="605" t="s">
        <v>816</v>
      </c>
      <c r="BA31" s="606">
        <f t="shared" si="12"/>
        <v>0</v>
      </c>
      <c r="BB31" s="604" t="s">
        <v>816</v>
      </c>
      <c r="BC31" s="605" t="s">
        <v>816</v>
      </c>
      <c r="BD31" s="605" t="s">
        <v>816</v>
      </c>
      <c r="BE31" s="605" t="s">
        <v>816</v>
      </c>
      <c r="BF31" s="605" t="s">
        <v>816</v>
      </c>
      <c r="BG31" s="605" t="s">
        <v>816</v>
      </c>
      <c r="BH31" s="605" t="s">
        <v>816</v>
      </c>
      <c r="BI31" s="606">
        <f t="shared" si="2"/>
        <v>0</v>
      </c>
      <c r="BJ31" s="551">
        <f t="shared" si="22"/>
        <v>0</v>
      </c>
      <c r="BK31" s="607"/>
      <c r="BL31" s="608"/>
      <c r="BM31" s="608"/>
      <c r="BN31" s="608"/>
      <c r="BO31" s="557">
        <f t="shared" si="23"/>
        <v>0</v>
      </c>
      <c r="BP31" s="607"/>
      <c r="BQ31" s="608"/>
      <c r="BR31" s="608"/>
      <c r="BS31" s="557">
        <f t="shared" si="24"/>
        <v>0</v>
      </c>
      <c r="BT31" s="607"/>
      <c r="BU31" s="557">
        <f t="shared" si="16"/>
        <v>0</v>
      </c>
      <c r="BV31" s="607"/>
      <c r="BW31" s="608"/>
      <c r="BX31" s="608"/>
      <c r="BY31" s="608"/>
      <c r="BZ31" s="608"/>
      <c r="CA31" s="608"/>
      <c r="CB31" s="608"/>
      <c r="CC31" s="608"/>
      <c r="CD31" s="608"/>
      <c r="CE31" s="557">
        <f t="shared" si="17"/>
        <v>0</v>
      </c>
      <c r="CF31" s="607"/>
      <c r="CG31" s="608"/>
      <c r="CH31" s="608"/>
      <c r="CI31" s="608"/>
      <c r="CJ31" s="608"/>
      <c r="CK31" s="608"/>
      <c r="CL31" s="608"/>
      <c r="CM31" s="557">
        <f t="shared" si="18"/>
        <v>0</v>
      </c>
      <c r="CN31" s="607"/>
      <c r="CO31" s="609">
        <f t="shared" si="19"/>
        <v>0</v>
      </c>
      <c r="CP31" s="610">
        <f t="shared" si="3"/>
        <v>0</v>
      </c>
      <c r="CQ31" s="545">
        <v>200</v>
      </c>
      <c r="CR31" s="546">
        <v>200</v>
      </c>
      <c r="CS31" s="544">
        <f>+CQ31+CR31</f>
        <v>400</v>
      </c>
      <c r="CT31" s="545"/>
      <c r="CU31" s="546"/>
      <c r="CV31" s="546">
        <f>+CT62+CU62+CV62</f>
        <v>922.09999999999991</v>
      </c>
      <c r="CW31" s="544">
        <f t="shared" si="26"/>
        <v>922.09999999999991</v>
      </c>
      <c r="CX31" s="547">
        <f t="shared" si="27"/>
        <v>1322.1</v>
      </c>
      <c r="CY31" s="611">
        <f t="shared" si="28"/>
        <v>8234.0959999999995</v>
      </c>
    </row>
    <row r="32" spans="1:103" s="561" customFormat="1">
      <c r="A32" s="538">
        <v>28</v>
      </c>
      <c r="B32" s="602" t="s">
        <v>852</v>
      </c>
      <c r="C32" s="603" t="s">
        <v>853</v>
      </c>
      <c r="D32" s="541" t="s">
        <v>854</v>
      </c>
      <c r="E32" s="545"/>
      <c r="F32" s="546"/>
      <c r="G32" s="546"/>
      <c r="H32" s="546"/>
      <c r="I32" s="544">
        <f>+'Acarreos Tramo 2'!Y24+'Acarreos Tramo 2'!Y23</f>
        <v>0</v>
      </c>
      <c r="J32" s="545">
        <v>0</v>
      </c>
      <c r="K32" s="546"/>
      <c r="L32" s="546"/>
      <c r="M32" s="546"/>
      <c r="N32" s="544">
        <f>+'Acarreos Tramo 2'!Y37+'Acarreos Tramo 2'!Y38</f>
        <v>113083.82830835474</v>
      </c>
      <c r="O32" s="545"/>
      <c r="P32" s="546"/>
      <c r="Q32" s="544">
        <f>+'Acarreos Tramo 2'!Y51+'Acarreos Tramo 2'!Y52</f>
        <v>349241.10144000006</v>
      </c>
      <c r="R32" s="545"/>
      <c r="S32" s="546"/>
      <c r="T32" s="546"/>
      <c r="U32" s="546"/>
      <c r="V32" s="546"/>
      <c r="W32" s="546"/>
      <c r="X32" s="544">
        <f>+'Acarreos Tramo 2'!Y64+'Acarreos Tramo 2'!Y65</f>
        <v>39694.271569834455</v>
      </c>
      <c r="Y32" s="545"/>
      <c r="Z32" s="546"/>
      <c r="AA32" s="546"/>
      <c r="AB32" s="544">
        <f>+'Acarreos Tramo 2'!Y77+'Acarreos Tramo 2'!Y78</f>
        <v>10922.273312500001</v>
      </c>
      <c r="AC32" s="547">
        <f t="shared" si="21"/>
        <v>512941.47463068925</v>
      </c>
      <c r="AD32" s="604" t="s">
        <v>816</v>
      </c>
      <c r="AE32" s="605" t="s">
        <v>816</v>
      </c>
      <c r="AF32" s="606" t="e">
        <f>+#REF!+#REF!</f>
        <v>#REF!</v>
      </c>
      <c r="AG32" s="604" t="s">
        <v>816</v>
      </c>
      <c r="AH32" s="605" t="s">
        <v>816</v>
      </c>
      <c r="AI32" s="605" t="s">
        <v>816</v>
      </c>
      <c r="AJ32" s="605" t="s">
        <v>816</v>
      </c>
      <c r="AK32" s="605" t="s">
        <v>816</v>
      </c>
      <c r="AL32" s="605" t="s">
        <v>816</v>
      </c>
      <c r="AM32" s="605" t="s">
        <v>816</v>
      </c>
      <c r="AN32" s="605" t="s">
        <v>816</v>
      </c>
      <c r="AO32" s="605" t="s">
        <v>816</v>
      </c>
      <c r="AP32" s="605" t="s">
        <v>816</v>
      </c>
      <c r="AQ32" s="606" t="e">
        <f>+#REF!+#REF!</f>
        <v>#REF!</v>
      </c>
      <c r="AR32" s="604" t="s">
        <v>816</v>
      </c>
      <c r="AS32" s="605" t="s">
        <v>816</v>
      </c>
      <c r="AT32" s="605" t="s">
        <v>816</v>
      </c>
      <c r="AU32" s="606" t="e">
        <f>+#REF!+#REF!</f>
        <v>#REF!</v>
      </c>
      <c r="AV32" s="604" t="s">
        <v>816</v>
      </c>
      <c r="AW32" s="605" t="s">
        <v>816</v>
      </c>
      <c r="AX32" s="605" t="s">
        <v>816</v>
      </c>
      <c r="AY32" s="605" t="s">
        <v>816</v>
      </c>
      <c r="AZ32" s="605" t="s">
        <v>816</v>
      </c>
      <c r="BA32" s="606" t="e">
        <f>+#REF!+#REF!</f>
        <v>#REF!</v>
      </c>
      <c r="BB32" s="604" t="s">
        <v>816</v>
      </c>
      <c r="BC32" s="605" t="s">
        <v>816</v>
      </c>
      <c r="BD32" s="605" t="s">
        <v>816</v>
      </c>
      <c r="BE32" s="605" t="s">
        <v>816</v>
      </c>
      <c r="BF32" s="605" t="s">
        <v>816</v>
      </c>
      <c r="BG32" s="605" t="s">
        <v>816</v>
      </c>
      <c r="BH32" s="605" t="s">
        <v>816</v>
      </c>
      <c r="BI32" s="606" t="e">
        <f>+#REF!+#REF!</f>
        <v>#REF!</v>
      </c>
      <c r="BJ32" s="551" t="e">
        <f t="shared" si="22"/>
        <v>#REF!</v>
      </c>
      <c r="BK32" s="607"/>
      <c r="BL32" s="608"/>
      <c r="BM32" s="608"/>
      <c r="BN32" s="608"/>
      <c r="BO32" s="557">
        <f>+'Acarreos Tramo 7'!AI23+'Acarreos Tramo 7'!AI24</f>
        <v>213961.12480531257</v>
      </c>
      <c r="BP32" s="607"/>
      <c r="BQ32" s="608"/>
      <c r="BR32" s="608"/>
      <c r="BS32" s="557">
        <f>+'Acarreos Tramo 7'!AI37+'Acarreos Tramo 7'!AI38</f>
        <v>189473.58743614587</v>
      </c>
      <c r="BT32" s="607"/>
      <c r="BU32" s="557">
        <f>+'Acarreos Tramo 7'!AI50+'Acarreos Tramo 7'!AI51</f>
        <v>21885.726195666666</v>
      </c>
      <c r="BV32" s="607"/>
      <c r="BW32" s="608"/>
      <c r="BX32" s="608"/>
      <c r="BY32" s="608"/>
      <c r="BZ32" s="608"/>
      <c r="CA32" s="608"/>
      <c r="CB32" s="608"/>
      <c r="CC32" s="608"/>
      <c r="CD32" s="608"/>
      <c r="CE32" s="557">
        <f t="shared" si="17"/>
        <v>0</v>
      </c>
      <c r="CF32" s="607"/>
      <c r="CG32" s="608"/>
      <c r="CH32" s="608"/>
      <c r="CI32" s="608"/>
      <c r="CJ32" s="608"/>
      <c r="CK32" s="608"/>
      <c r="CL32" s="608"/>
      <c r="CM32" s="557">
        <f>+'Acarreos Tramo 7'!AI76+'Acarreos Tramo 7'!AI77</f>
        <v>63904.322087627086</v>
      </c>
      <c r="CN32" s="607"/>
      <c r="CO32" s="609">
        <f t="shared" si="19"/>
        <v>0</v>
      </c>
      <c r="CP32" s="610">
        <f t="shared" si="3"/>
        <v>489224.7605247522</v>
      </c>
      <c r="CQ32" s="545"/>
      <c r="CR32" s="546"/>
      <c r="CS32" s="544">
        <f>+CQ32+CR32</f>
        <v>0</v>
      </c>
      <c r="CT32" s="546">
        <f>((CR62+CS62+CT62)+CT26)*1.3*23</f>
        <v>34083.01</v>
      </c>
      <c r="CU32" s="546">
        <f>((CS62+CT62+CU62)+CU26)*1.3*23</f>
        <v>35009.910000000003</v>
      </c>
      <c r="CV32" s="546">
        <f>((CT62+CU62+CV62)+CV26)*1.3*23</f>
        <v>60723.91</v>
      </c>
      <c r="CW32" s="544">
        <f t="shared" si="26"/>
        <v>129816.83000000002</v>
      </c>
      <c r="CX32" s="547">
        <f>+CW32+CS32</f>
        <v>129816.83000000002</v>
      </c>
      <c r="CY32" s="611" t="e">
        <f t="shared" si="28"/>
        <v>#REF!</v>
      </c>
    </row>
    <row r="33" spans="1:103" s="601" customFormat="1">
      <c r="A33" s="584">
        <v>29</v>
      </c>
      <c r="B33" s="585"/>
      <c r="C33" s="586" t="s">
        <v>855</v>
      </c>
      <c r="D33" s="587"/>
      <c r="E33" s="588"/>
      <c r="F33" s="589"/>
      <c r="G33" s="589"/>
      <c r="H33" s="589"/>
      <c r="I33" s="590"/>
      <c r="J33" s="588"/>
      <c r="K33" s="589"/>
      <c r="L33" s="589"/>
      <c r="M33" s="589"/>
      <c r="N33" s="590"/>
      <c r="O33" s="588"/>
      <c r="P33" s="589"/>
      <c r="Q33" s="590"/>
      <c r="R33" s="588"/>
      <c r="S33" s="589"/>
      <c r="T33" s="589"/>
      <c r="U33" s="589"/>
      <c r="V33" s="589"/>
      <c r="W33" s="589"/>
      <c r="X33" s="590"/>
      <c r="Y33" s="588"/>
      <c r="Z33" s="589"/>
      <c r="AA33" s="589"/>
      <c r="AB33" s="590"/>
      <c r="AC33" s="591"/>
      <c r="AD33" s="612"/>
      <c r="AE33" s="613"/>
      <c r="AF33" s="614"/>
      <c r="AG33" s="612"/>
      <c r="AH33" s="613"/>
      <c r="AI33" s="613"/>
      <c r="AJ33" s="613"/>
      <c r="AK33" s="613"/>
      <c r="AL33" s="613"/>
      <c r="AM33" s="613"/>
      <c r="AN33" s="613"/>
      <c r="AO33" s="613"/>
      <c r="AP33" s="613"/>
      <c r="AQ33" s="614"/>
      <c r="AR33" s="612"/>
      <c r="AS33" s="613"/>
      <c r="AT33" s="613"/>
      <c r="AU33" s="614"/>
      <c r="AV33" s="612"/>
      <c r="AW33" s="613"/>
      <c r="AX33" s="613"/>
      <c r="AY33" s="613"/>
      <c r="AZ33" s="613"/>
      <c r="BA33" s="614"/>
      <c r="BB33" s="612"/>
      <c r="BC33" s="613"/>
      <c r="BD33" s="613"/>
      <c r="BE33" s="613"/>
      <c r="BF33" s="613"/>
      <c r="BG33" s="613"/>
      <c r="BH33" s="613"/>
      <c r="BI33" s="614"/>
      <c r="BJ33" s="595"/>
      <c r="BK33" s="596"/>
      <c r="BL33" s="597"/>
      <c r="BM33" s="597"/>
      <c r="BN33" s="597"/>
      <c r="BO33" s="598"/>
      <c r="BP33" s="596"/>
      <c r="BQ33" s="597"/>
      <c r="BR33" s="597"/>
      <c r="BS33" s="598"/>
      <c r="BT33" s="596"/>
      <c r="BU33" s="598"/>
      <c r="BV33" s="596"/>
      <c r="BW33" s="597"/>
      <c r="BX33" s="597"/>
      <c r="BY33" s="597"/>
      <c r="BZ33" s="597"/>
      <c r="CA33" s="597"/>
      <c r="CB33" s="597"/>
      <c r="CC33" s="597"/>
      <c r="CD33" s="597"/>
      <c r="CE33" s="598"/>
      <c r="CF33" s="596"/>
      <c r="CG33" s="597"/>
      <c r="CH33" s="597"/>
      <c r="CI33" s="597"/>
      <c r="CJ33" s="597"/>
      <c r="CK33" s="597"/>
      <c r="CL33" s="597"/>
      <c r="CM33" s="598"/>
      <c r="CN33" s="596"/>
      <c r="CO33" s="599"/>
      <c r="CP33" s="600"/>
      <c r="CQ33" s="588"/>
      <c r="CR33" s="589"/>
      <c r="CS33" s="590"/>
      <c r="CT33" s="588"/>
      <c r="CU33" s="589"/>
      <c r="CV33" s="589"/>
      <c r="CW33" s="590"/>
      <c r="CX33" s="591"/>
      <c r="CY33" s="615"/>
    </row>
    <row r="34" spans="1:103" s="635" customFormat="1">
      <c r="A34" s="617">
        <v>30</v>
      </c>
      <c r="B34" s="618"/>
      <c r="C34" s="619" t="s">
        <v>856</v>
      </c>
      <c r="D34" s="620"/>
      <c r="E34" s="621"/>
      <c r="F34" s="622"/>
      <c r="G34" s="622"/>
      <c r="H34" s="622"/>
      <c r="I34" s="623"/>
      <c r="J34" s="621"/>
      <c r="K34" s="622"/>
      <c r="L34" s="622"/>
      <c r="M34" s="622"/>
      <c r="N34" s="623"/>
      <c r="O34" s="621"/>
      <c r="P34" s="622"/>
      <c r="Q34" s="623"/>
      <c r="R34" s="621"/>
      <c r="S34" s="622"/>
      <c r="T34" s="622"/>
      <c r="U34" s="622"/>
      <c r="V34" s="622"/>
      <c r="W34" s="622"/>
      <c r="X34" s="623"/>
      <c r="Y34" s="621"/>
      <c r="Z34" s="622"/>
      <c r="AA34" s="622"/>
      <c r="AB34" s="623"/>
      <c r="AC34" s="624"/>
      <c r="AD34" s="625" t="s">
        <v>816</v>
      </c>
      <c r="AE34" s="626" t="s">
        <v>816</v>
      </c>
      <c r="AF34" s="627">
        <f t="shared" si="9"/>
        <v>0</v>
      </c>
      <c r="AG34" s="625" t="s">
        <v>816</v>
      </c>
      <c r="AH34" s="626" t="s">
        <v>816</v>
      </c>
      <c r="AI34" s="626" t="s">
        <v>816</v>
      </c>
      <c r="AJ34" s="626" t="s">
        <v>816</v>
      </c>
      <c r="AK34" s="626" t="s">
        <v>816</v>
      </c>
      <c r="AL34" s="626" t="s">
        <v>816</v>
      </c>
      <c r="AM34" s="626" t="s">
        <v>816</v>
      </c>
      <c r="AN34" s="626" t="s">
        <v>816</v>
      </c>
      <c r="AO34" s="626" t="s">
        <v>816</v>
      </c>
      <c r="AP34" s="626" t="s">
        <v>816</v>
      </c>
      <c r="AQ34" s="627">
        <f t="shared" si="10"/>
        <v>0</v>
      </c>
      <c r="AR34" s="625" t="s">
        <v>816</v>
      </c>
      <c r="AS34" s="626" t="s">
        <v>816</v>
      </c>
      <c r="AT34" s="626" t="s">
        <v>816</v>
      </c>
      <c r="AU34" s="627">
        <f t="shared" si="11"/>
        <v>0</v>
      </c>
      <c r="AV34" s="625" t="s">
        <v>816</v>
      </c>
      <c r="AW34" s="626" t="s">
        <v>816</v>
      </c>
      <c r="AX34" s="626" t="s">
        <v>816</v>
      </c>
      <c r="AY34" s="626" t="s">
        <v>816</v>
      </c>
      <c r="AZ34" s="626" t="s">
        <v>816</v>
      </c>
      <c r="BA34" s="627">
        <f t="shared" si="12"/>
        <v>0</v>
      </c>
      <c r="BB34" s="625" t="s">
        <v>816</v>
      </c>
      <c r="BC34" s="626" t="s">
        <v>816</v>
      </c>
      <c r="BD34" s="626" t="s">
        <v>816</v>
      </c>
      <c r="BE34" s="626" t="s">
        <v>816</v>
      </c>
      <c r="BF34" s="626" t="s">
        <v>816</v>
      </c>
      <c r="BG34" s="626" t="s">
        <v>816</v>
      </c>
      <c r="BH34" s="626" t="s">
        <v>816</v>
      </c>
      <c r="BI34" s="627">
        <f t="shared" si="2"/>
        <v>0</v>
      </c>
      <c r="BJ34" s="628"/>
      <c r="BK34" s="629"/>
      <c r="BL34" s="630"/>
      <c r="BM34" s="630"/>
      <c r="BN34" s="630"/>
      <c r="BO34" s="631"/>
      <c r="BP34" s="629"/>
      <c r="BQ34" s="630"/>
      <c r="BR34" s="630"/>
      <c r="BS34" s="631"/>
      <c r="BT34" s="629"/>
      <c r="BU34" s="631"/>
      <c r="BV34" s="629"/>
      <c r="BW34" s="630"/>
      <c r="BX34" s="630"/>
      <c r="BY34" s="630"/>
      <c r="BZ34" s="630"/>
      <c r="CA34" s="630"/>
      <c r="CB34" s="630"/>
      <c r="CC34" s="630"/>
      <c r="CD34" s="630"/>
      <c r="CE34" s="631"/>
      <c r="CF34" s="629"/>
      <c r="CG34" s="630"/>
      <c r="CH34" s="630"/>
      <c r="CI34" s="630"/>
      <c r="CJ34" s="630"/>
      <c r="CK34" s="630"/>
      <c r="CL34" s="630"/>
      <c r="CM34" s="631"/>
      <c r="CN34" s="629"/>
      <c r="CO34" s="632"/>
      <c r="CP34" s="633"/>
      <c r="CQ34" s="621"/>
      <c r="CR34" s="622"/>
      <c r="CS34" s="623"/>
      <c r="CT34" s="621"/>
      <c r="CU34" s="622"/>
      <c r="CV34" s="622"/>
      <c r="CW34" s="623"/>
      <c r="CX34" s="624"/>
      <c r="CY34" s="634"/>
    </row>
    <row r="35" spans="1:103" s="561" customFormat="1">
      <c r="A35" s="538">
        <v>31</v>
      </c>
      <c r="B35" s="602" t="s">
        <v>857</v>
      </c>
      <c r="C35" s="603" t="s">
        <v>858</v>
      </c>
      <c r="D35" s="541" t="s">
        <v>829</v>
      </c>
      <c r="E35" s="545">
        <v>0</v>
      </c>
      <c r="F35" s="546">
        <v>0</v>
      </c>
      <c r="G35" s="546">
        <v>0</v>
      </c>
      <c r="H35" s="546">
        <v>0</v>
      </c>
      <c r="I35" s="544">
        <f t="shared" si="4"/>
        <v>0</v>
      </c>
      <c r="J35" s="545">
        <v>0</v>
      </c>
      <c r="K35" s="546">
        <v>0</v>
      </c>
      <c r="L35" s="546">
        <v>0</v>
      </c>
      <c r="M35" s="546">
        <v>0</v>
      </c>
      <c r="N35" s="544">
        <f t="shared" si="5"/>
        <v>0</v>
      </c>
      <c r="O35" s="545">
        <v>0</v>
      </c>
      <c r="P35" s="546">
        <v>0</v>
      </c>
      <c r="Q35" s="544">
        <f t="shared" si="6"/>
        <v>0</v>
      </c>
      <c r="R35" s="545">
        <v>0</v>
      </c>
      <c r="S35" s="546">
        <v>0</v>
      </c>
      <c r="T35" s="546">
        <v>0</v>
      </c>
      <c r="U35" s="546">
        <v>0</v>
      </c>
      <c r="V35" s="546">
        <v>0</v>
      </c>
      <c r="W35" s="546">
        <v>0</v>
      </c>
      <c r="X35" s="544">
        <f t="shared" si="7"/>
        <v>0</v>
      </c>
      <c r="Y35" s="545">
        <v>0</v>
      </c>
      <c r="Z35" s="546">
        <v>0</v>
      </c>
      <c r="AA35" s="546">
        <v>281.82000000000005</v>
      </c>
      <c r="AB35" s="544">
        <f t="shared" si="1"/>
        <v>281.82000000000005</v>
      </c>
      <c r="AC35" s="547">
        <f t="shared" ref="AC35:AC52" si="30">+IF(D35="",0,I35+N35+Q35+X35+AB35)</f>
        <v>281.82000000000005</v>
      </c>
      <c r="AD35" s="604" t="s">
        <v>816</v>
      </c>
      <c r="AE35" s="605" t="s">
        <v>816</v>
      </c>
      <c r="AF35" s="606">
        <f t="shared" si="9"/>
        <v>0</v>
      </c>
      <c r="AG35" s="604" t="s">
        <v>816</v>
      </c>
      <c r="AH35" s="605" t="s">
        <v>816</v>
      </c>
      <c r="AI35" s="605" t="s">
        <v>816</v>
      </c>
      <c r="AJ35" s="605" t="s">
        <v>816</v>
      </c>
      <c r="AK35" s="605" t="s">
        <v>816</v>
      </c>
      <c r="AL35" s="605" t="s">
        <v>816</v>
      </c>
      <c r="AM35" s="605" t="s">
        <v>816</v>
      </c>
      <c r="AN35" s="605" t="s">
        <v>816</v>
      </c>
      <c r="AO35" s="605" t="s">
        <v>816</v>
      </c>
      <c r="AP35" s="605" t="s">
        <v>816</v>
      </c>
      <c r="AQ35" s="606">
        <f t="shared" si="10"/>
        <v>0</v>
      </c>
      <c r="AR35" s="604" t="s">
        <v>816</v>
      </c>
      <c r="AS35" s="605" t="s">
        <v>816</v>
      </c>
      <c r="AT35" s="605" t="s">
        <v>816</v>
      </c>
      <c r="AU35" s="606">
        <f t="shared" si="11"/>
        <v>0</v>
      </c>
      <c r="AV35" s="604" t="s">
        <v>816</v>
      </c>
      <c r="AW35" s="605" t="s">
        <v>816</v>
      </c>
      <c r="AX35" s="605" t="s">
        <v>816</v>
      </c>
      <c r="AY35" s="605" t="s">
        <v>816</v>
      </c>
      <c r="AZ35" s="605" t="s">
        <v>816</v>
      </c>
      <c r="BA35" s="606">
        <f t="shared" si="12"/>
        <v>0</v>
      </c>
      <c r="BB35" s="604" t="s">
        <v>816</v>
      </c>
      <c r="BC35" s="605" t="s">
        <v>816</v>
      </c>
      <c r="BD35" s="605" t="s">
        <v>816</v>
      </c>
      <c r="BE35" s="605" t="s">
        <v>816</v>
      </c>
      <c r="BF35" s="605" t="s">
        <v>816</v>
      </c>
      <c r="BG35" s="605" t="s">
        <v>816</v>
      </c>
      <c r="BH35" s="605" t="s">
        <v>816</v>
      </c>
      <c r="BI35" s="606">
        <f t="shared" si="2"/>
        <v>0</v>
      </c>
      <c r="BJ35" s="551">
        <f t="shared" ref="BJ35:BJ80" si="31">IF(D35="",0,AF35+AQ35+AU35+BA35+BI35)</f>
        <v>0</v>
      </c>
      <c r="BK35" s="607"/>
      <c r="BL35" s="608"/>
      <c r="BM35" s="608"/>
      <c r="BN35" s="608"/>
      <c r="BO35" s="557">
        <f t="shared" ref="BO35:BO80" si="32">+BK35+BL35+BM35+BN35</f>
        <v>0</v>
      </c>
      <c r="BP35" s="607"/>
      <c r="BQ35" s="608"/>
      <c r="BR35" s="608"/>
      <c r="BS35" s="557">
        <f t="shared" ref="BS35:BS103" si="33">+BP35+BQ35+BR35</f>
        <v>0</v>
      </c>
      <c r="BT35" s="607"/>
      <c r="BU35" s="557">
        <f t="shared" si="16"/>
        <v>0</v>
      </c>
      <c r="BV35" s="607"/>
      <c r="BW35" s="608"/>
      <c r="BX35" s="608"/>
      <c r="BY35" s="608"/>
      <c r="BZ35" s="608"/>
      <c r="CA35" s="608"/>
      <c r="CB35" s="608"/>
      <c r="CC35" s="608"/>
      <c r="CD35" s="608"/>
      <c r="CE35" s="557">
        <f t="shared" si="17"/>
        <v>0</v>
      </c>
      <c r="CF35" s="607"/>
      <c r="CG35" s="608"/>
      <c r="CH35" s="608"/>
      <c r="CI35" s="608"/>
      <c r="CJ35" s="608"/>
      <c r="CK35" s="608"/>
      <c r="CL35" s="608"/>
      <c r="CM35" s="557">
        <f t="shared" si="18"/>
        <v>0</v>
      </c>
      <c r="CN35" s="607"/>
      <c r="CO35" s="609">
        <f t="shared" si="19"/>
        <v>0</v>
      </c>
      <c r="CP35" s="610">
        <f t="shared" si="3"/>
        <v>0</v>
      </c>
      <c r="CQ35" s="545"/>
      <c r="CR35" s="546"/>
      <c r="CS35" s="544">
        <f t="shared" ref="CS35:CS52" si="34">+CQ35+CR35</f>
        <v>0</v>
      </c>
      <c r="CT35" s="545"/>
      <c r="CU35" s="546"/>
      <c r="CV35" s="546"/>
      <c r="CW35" s="544">
        <f t="shared" ref="CW35:CW52" si="35">+CT35+CU35+CV35</f>
        <v>0</v>
      </c>
      <c r="CX35" s="547">
        <f t="shared" ref="CX35:CX52" si="36">+CS35+CW35</f>
        <v>0</v>
      </c>
      <c r="CY35" s="611">
        <f t="shared" ref="CY35:CY52" si="37">IF(D35="",0,AC35+BJ35+CP35+CX35)</f>
        <v>281.82000000000005</v>
      </c>
    </row>
    <row r="36" spans="1:103" s="561" customFormat="1" hidden="1">
      <c r="A36" s="538">
        <v>32</v>
      </c>
      <c r="B36" s="602" t="s">
        <v>859</v>
      </c>
      <c r="C36" s="603" t="s">
        <v>860</v>
      </c>
      <c r="D36" s="541" t="s">
        <v>829</v>
      </c>
      <c r="E36" s="545">
        <v>0</v>
      </c>
      <c r="F36" s="546">
        <v>0</v>
      </c>
      <c r="G36" s="546">
        <v>0</v>
      </c>
      <c r="H36" s="546">
        <v>0</v>
      </c>
      <c r="I36" s="544">
        <f t="shared" si="4"/>
        <v>0</v>
      </c>
      <c r="J36" s="545">
        <v>0</v>
      </c>
      <c r="K36" s="546">
        <v>0</v>
      </c>
      <c r="L36" s="546">
        <v>0</v>
      </c>
      <c r="M36" s="546">
        <v>0</v>
      </c>
      <c r="N36" s="544">
        <f t="shared" si="5"/>
        <v>0</v>
      </c>
      <c r="O36" s="545">
        <v>0</v>
      </c>
      <c r="P36" s="546">
        <v>0</v>
      </c>
      <c r="Q36" s="544">
        <f t="shared" si="6"/>
        <v>0</v>
      </c>
      <c r="R36" s="545">
        <v>0</v>
      </c>
      <c r="S36" s="546">
        <v>0</v>
      </c>
      <c r="T36" s="546">
        <v>0</v>
      </c>
      <c r="U36" s="546">
        <v>0</v>
      </c>
      <c r="V36" s="546">
        <v>0</v>
      </c>
      <c r="W36" s="546">
        <v>0</v>
      </c>
      <c r="X36" s="544">
        <f t="shared" si="7"/>
        <v>0</v>
      </c>
      <c r="Y36" s="545">
        <v>0</v>
      </c>
      <c r="Z36" s="546">
        <v>0</v>
      </c>
      <c r="AA36" s="546">
        <v>0</v>
      </c>
      <c r="AB36" s="544">
        <f t="shared" si="1"/>
        <v>0</v>
      </c>
      <c r="AC36" s="547">
        <f t="shared" si="30"/>
        <v>0</v>
      </c>
      <c r="AD36" s="604" t="s">
        <v>816</v>
      </c>
      <c r="AE36" s="605" t="s">
        <v>816</v>
      </c>
      <c r="AF36" s="606">
        <f t="shared" si="9"/>
        <v>0</v>
      </c>
      <c r="AG36" s="604" t="s">
        <v>816</v>
      </c>
      <c r="AH36" s="605" t="s">
        <v>816</v>
      </c>
      <c r="AI36" s="605" t="s">
        <v>816</v>
      </c>
      <c r="AJ36" s="605" t="s">
        <v>816</v>
      </c>
      <c r="AK36" s="605" t="s">
        <v>816</v>
      </c>
      <c r="AL36" s="605" t="s">
        <v>816</v>
      </c>
      <c r="AM36" s="605" t="s">
        <v>816</v>
      </c>
      <c r="AN36" s="605" t="s">
        <v>816</v>
      </c>
      <c r="AO36" s="605" t="s">
        <v>816</v>
      </c>
      <c r="AP36" s="605" t="s">
        <v>816</v>
      </c>
      <c r="AQ36" s="606">
        <f t="shared" si="10"/>
        <v>0</v>
      </c>
      <c r="AR36" s="604" t="s">
        <v>816</v>
      </c>
      <c r="AS36" s="605" t="s">
        <v>816</v>
      </c>
      <c r="AT36" s="605" t="s">
        <v>816</v>
      </c>
      <c r="AU36" s="606">
        <f t="shared" si="11"/>
        <v>0</v>
      </c>
      <c r="AV36" s="604" t="s">
        <v>816</v>
      </c>
      <c r="AW36" s="605" t="s">
        <v>816</v>
      </c>
      <c r="AX36" s="605" t="s">
        <v>816</v>
      </c>
      <c r="AY36" s="605" t="s">
        <v>816</v>
      </c>
      <c r="AZ36" s="605" t="s">
        <v>816</v>
      </c>
      <c r="BA36" s="606">
        <f t="shared" si="12"/>
        <v>0</v>
      </c>
      <c r="BB36" s="604" t="s">
        <v>816</v>
      </c>
      <c r="BC36" s="605" t="s">
        <v>816</v>
      </c>
      <c r="BD36" s="605" t="s">
        <v>816</v>
      </c>
      <c r="BE36" s="605" t="s">
        <v>816</v>
      </c>
      <c r="BF36" s="605" t="s">
        <v>816</v>
      </c>
      <c r="BG36" s="605" t="s">
        <v>816</v>
      </c>
      <c r="BH36" s="605" t="s">
        <v>816</v>
      </c>
      <c r="BI36" s="606">
        <f t="shared" si="2"/>
        <v>0</v>
      </c>
      <c r="BJ36" s="551">
        <f t="shared" si="31"/>
        <v>0</v>
      </c>
      <c r="BK36" s="607"/>
      <c r="BL36" s="608"/>
      <c r="BM36" s="608"/>
      <c r="BN36" s="608"/>
      <c r="BO36" s="557">
        <f t="shared" si="32"/>
        <v>0</v>
      </c>
      <c r="BP36" s="607"/>
      <c r="BQ36" s="608"/>
      <c r="BR36" s="608"/>
      <c r="BS36" s="557">
        <f t="shared" si="33"/>
        <v>0</v>
      </c>
      <c r="BT36" s="607"/>
      <c r="BU36" s="557">
        <f t="shared" si="16"/>
        <v>0</v>
      </c>
      <c r="BV36" s="607"/>
      <c r="BW36" s="608"/>
      <c r="BX36" s="608"/>
      <c r="BY36" s="608"/>
      <c r="BZ36" s="608"/>
      <c r="CA36" s="608"/>
      <c r="CB36" s="608"/>
      <c r="CC36" s="608"/>
      <c r="CD36" s="608"/>
      <c r="CE36" s="557">
        <f t="shared" si="17"/>
        <v>0</v>
      </c>
      <c r="CF36" s="607"/>
      <c r="CG36" s="608"/>
      <c r="CH36" s="608"/>
      <c r="CI36" s="608"/>
      <c r="CJ36" s="608"/>
      <c r="CK36" s="608"/>
      <c r="CL36" s="608"/>
      <c r="CM36" s="557">
        <f t="shared" si="18"/>
        <v>0</v>
      </c>
      <c r="CN36" s="607"/>
      <c r="CO36" s="609">
        <f t="shared" si="19"/>
        <v>0</v>
      </c>
      <c r="CP36" s="610">
        <f t="shared" si="3"/>
        <v>0</v>
      </c>
      <c r="CQ36" s="545"/>
      <c r="CR36" s="546"/>
      <c r="CS36" s="544">
        <f t="shared" si="34"/>
        <v>0</v>
      </c>
      <c r="CT36" s="545"/>
      <c r="CU36" s="546"/>
      <c r="CV36" s="546"/>
      <c r="CW36" s="544">
        <f t="shared" si="35"/>
        <v>0</v>
      </c>
      <c r="CX36" s="547">
        <f t="shared" si="36"/>
        <v>0</v>
      </c>
      <c r="CY36" s="611">
        <f t="shared" si="37"/>
        <v>0</v>
      </c>
    </row>
    <row r="37" spans="1:103" s="561" customFormat="1" hidden="1">
      <c r="A37" s="538">
        <v>33</v>
      </c>
      <c r="B37" s="602" t="s">
        <v>861</v>
      </c>
      <c r="C37" s="603" t="s">
        <v>862</v>
      </c>
      <c r="D37" s="541" t="s">
        <v>829</v>
      </c>
      <c r="E37" s="545">
        <v>0</v>
      </c>
      <c r="F37" s="546">
        <v>0</v>
      </c>
      <c r="G37" s="546">
        <v>0</v>
      </c>
      <c r="H37" s="546">
        <v>0</v>
      </c>
      <c r="I37" s="544">
        <f t="shared" si="4"/>
        <v>0</v>
      </c>
      <c r="J37" s="545">
        <v>0</v>
      </c>
      <c r="K37" s="546">
        <v>0</v>
      </c>
      <c r="L37" s="546">
        <v>0</v>
      </c>
      <c r="M37" s="546">
        <v>0</v>
      </c>
      <c r="N37" s="544">
        <f t="shared" si="5"/>
        <v>0</v>
      </c>
      <c r="O37" s="545">
        <v>0</v>
      </c>
      <c r="P37" s="546">
        <v>0</v>
      </c>
      <c r="Q37" s="544">
        <f t="shared" si="6"/>
        <v>0</v>
      </c>
      <c r="R37" s="545">
        <v>0</v>
      </c>
      <c r="S37" s="546">
        <v>0</v>
      </c>
      <c r="T37" s="546">
        <v>0</v>
      </c>
      <c r="U37" s="546">
        <v>0</v>
      </c>
      <c r="V37" s="546">
        <v>0</v>
      </c>
      <c r="W37" s="546">
        <v>0</v>
      </c>
      <c r="X37" s="544">
        <f t="shared" si="7"/>
        <v>0</v>
      </c>
      <c r="Y37" s="545">
        <v>0</v>
      </c>
      <c r="Z37" s="546">
        <v>0</v>
      </c>
      <c r="AA37" s="546">
        <v>0</v>
      </c>
      <c r="AB37" s="544">
        <f t="shared" si="1"/>
        <v>0</v>
      </c>
      <c r="AC37" s="547">
        <f t="shared" si="30"/>
        <v>0</v>
      </c>
      <c r="AD37" s="604" t="s">
        <v>816</v>
      </c>
      <c r="AE37" s="605" t="s">
        <v>816</v>
      </c>
      <c r="AF37" s="606">
        <f t="shared" si="9"/>
        <v>0</v>
      </c>
      <c r="AG37" s="604" t="s">
        <v>816</v>
      </c>
      <c r="AH37" s="605" t="s">
        <v>816</v>
      </c>
      <c r="AI37" s="605" t="s">
        <v>816</v>
      </c>
      <c r="AJ37" s="605" t="s">
        <v>816</v>
      </c>
      <c r="AK37" s="605" t="s">
        <v>816</v>
      </c>
      <c r="AL37" s="605" t="s">
        <v>816</v>
      </c>
      <c r="AM37" s="605" t="s">
        <v>816</v>
      </c>
      <c r="AN37" s="605" t="s">
        <v>816</v>
      </c>
      <c r="AO37" s="605" t="s">
        <v>816</v>
      </c>
      <c r="AP37" s="605" t="s">
        <v>816</v>
      </c>
      <c r="AQ37" s="606">
        <f t="shared" si="10"/>
        <v>0</v>
      </c>
      <c r="AR37" s="604" t="s">
        <v>816</v>
      </c>
      <c r="AS37" s="605" t="s">
        <v>816</v>
      </c>
      <c r="AT37" s="605" t="s">
        <v>816</v>
      </c>
      <c r="AU37" s="606">
        <f t="shared" si="11"/>
        <v>0</v>
      </c>
      <c r="AV37" s="604" t="s">
        <v>816</v>
      </c>
      <c r="AW37" s="605" t="s">
        <v>816</v>
      </c>
      <c r="AX37" s="605" t="s">
        <v>816</v>
      </c>
      <c r="AY37" s="605" t="s">
        <v>816</v>
      </c>
      <c r="AZ37" s="605" t="s">
        <v>816</v>
      </c>
      <c r="BA37" s="606">
        <f t="shared" si="12"/>
        <v>0</v>
      </c>
      <c r="BB37" s="604" t="s">
        <v>816</v>
      </c>
      <c r="BC37" s="605" t="s">
        <v>816</v>
      </c>
      <c r="BD37" s="605" t="s">
        <v>816</v>
      </c>
      <c r="BE37" s="605" t="s">
        <v>816</v>
      </c>
      <c r="BF37" s="605" t="s">
        <v>816</v>
      </c>
      <c r="BG37" s="605" t="s">
        <v>816</v>
      </c>
      <c r="BH37" s="605" t="s">
        <v>816</v>
      </c>
      <c r="BI37" s="606">
        <f t="shared" si="2"/>
        <v>0</v>
      </c>
      <c r="BJ37" s="551">
        <f t="shared" si="31"/>
        <v>0</v>
      </c>
      <c r="BK37" s="607"/>
      <c r="BL37" s="608"/>
      <c r="BM37" s="608"/>
      <c r="BN37" s="608"/>
      <c r="BO37" s="557">
        <f t="shared" si="32"/>
        <v>0</v>
      </c>
      <c r="BP37" s="607"/>
      <c r="BQ37" s="608"/>
      <c r="BR37" s="608"/>
      <c r="BS37" s="557">
        <f t="shared" si="33"/>
        <v>0</v>
      </c>
      <c r="BT37" s="607"/>
      <c r="BU37" s="557">
        <f t="shared" si="16"/>
        <v>0</v>
      </c>
      <c r="BV37" s="607"/>
      <c r="BW37" s="608"/>
      <c r="BX37" s="608"/>
      <c r="BY37" s="608"/>
      <c r="BZ37" s="608"/>
      <c r="CA37" s="608"/>
      <c r="CB37" s="608"/>
      <c r="CC37" s="608"/>
      <c r="CD37" s="608"/>
      <c r="CE37" s="557">
        <f t="shared" si="17"/>
        <v>0</v>
      </c>
      <c r="CF37" s="607"/>
      <c r="CG37" s="608"/>
      <c r="CH37" s="608"/>
      <c r="CI37" s="608"/>
      <c r="CJ37" s="608"/>
      <c r="CK37" s="608"/>
      <c r="CL37" s="608"/>
      <c r="CM37" s="557">
        <f t="shared" si="18"/>
        <v>0</v>
      </c>
      <c r="CN37" s="607"/>
      <c r="CO37" s="609">
        <f t="shared" si="19"/>
        <v>0</v>
      </c>
      <c r="CP37" s="610">
        <f t="shared" si="3"/>
        <v>0</v>
      </c>
      <c r="CQ37" s="545"/>
      <c r="CR37" s="546"/>
      <c r="CS37" s="544">
        <f t="shared" si="34"/>
        <v>0</v>
      </c>
      <c r="CT37" s="545"/>
      <c r="CU37" s="546"/>
      <c r="CV37" s="546"/>
      <c r="CW37" s="544">
        <f t="shared" si="35"/>
        <v>0</v>
      </c>
      <c r="CX37" s="547">
        <f t="shared" si="36"/>
        <v>0</v>
      </c>
      <c r="CY37" s="611">
        <f t="shared" si="37"/>
        <v>0</v>
      </c>
    </row>
    <row r="38" spans="1:103" s="561" customFormat="1" ht="30">
      <c r="A38" s="538">
        <v>34</v>
      </c>
      <c r="B38" s="602" t="s">
        <v>396</v>
      </c>
      <c r="C38" s="603" t="s">
        <v>863</v>
      </c>
      <c r="D38" s="541" t="s">
        <v>829</v>
      </c>
      <c r="E38" s="545">
        <v>0</v>
      </c>
      <c r="F38" s="546">
        <v>0</v>
      </c>
      <c r="G38" s="546">
        <v>0</v>
      </c>
      <c r="H38" s="546">
        <v>0</v>
      </c>
      <c r="I38" s="544">
        <f t="shared" si="4"/>
        <v>0</v>
      </c>
      <c r="J38" s="545">
        <v>0</v>
      </c>
      <c r="K38" s="546">
        <v>0</v>
      </c>
      <c r="L38" s="546">
        <v>0</v>
      </c>
      <c r="M38" s="546">
        <v>0</v>
      </c>
      <c r="N38" s="544">
        <f t="shared" si="5"/>
        <v>0</v>
      </c>
      <c r="O38" s="545">
        <v>0</v>
      </c>
      <c r="P38" s="546">
        <v>0</v>
      </c>
      <c r="Q38" s="544">
        <f t="shared" si="6"/>
        <v>0</v>
      </c>
      <c r="R38" s="545">
        <v>0</v>
      </c>
      <c r="S38" s="546">
        <v>0</v>
      </c>
      <c r="T38" s="546">
        <v>0</v>
      </c>
      <c r="U38" s="546">
        <v>0</v>
      </c>
      <c r="V38" s="546">
        <v>0</v>
      </c>
      <c r="W38" s="546">
        <v>0</v>
      </c>
      <c r="X38" s="544">
        <f t="shared" si="7"/>
        <v>0</v>
      </c>
      <c r="Y38" s="545">
        <v>0</v>
      </c>
      <c r="Z38" s="546">
        <v>0</v>
      </c>
      <c r="AA38" s="546">
        <v>233.72013066815273</v>
      </c>
      <c r="AB38" s="544">
        <f t="shared" si="1"/>
        <v>233.72013066815273</v>
      </c>
      <c r="AC38" s="547">
        <f t="shared" si="30"/>
        <v>233.72013066815273</v>
      </c>
      <c r="AD38" s="604" t="s">
        <v>816</v>
      </c>
      <c r="AE38" s="605" t="s">
        <v>816</v>
      </c>
      <c r="AF38" s="606">
        <f t="shared" si="9"/>
        <v>0</v>
      </c>
      <c r="AG38" s="604" t="s">
        <v>816</v>
      </c>
      <c r="AH38" s="605" t="s">
        <v>816</v>
      </c>
      <c r="AI38" s="605" t="s">
        <v>816</v>
      </c>
      <c r="AJ38" s="605" t="s">
        <v>816</v>
      </c>
      <c r="AK38" s="605" t="s">
        <v>816</v>
      </c>
      <c r="AL38" s="605" t="s">
        <v>816</v>
      </c>
      <c r="AM38" s="605" t="s">
        <v>816</v>
      </c>
      <c r="AN38" s="605" t="s">
        <v>816</v>
      </c>
      <c r="AO38" s="605" t="s">
        <v>816</v>
      </c>
      <c r="AP38" s="605" t="s">
        <v>816</v>
      </c>
      <c r="AQ38" s="606">
        <f t="shared" si="10"/>
        <v>0</v>
      </c>
      <c r="AR38" s="604" t="s">
        <v>816</v>
      </c>
      <c r="AS38" s="605" t="s">
        <v>816</v>
      </c>
      <c r="AT38" s="605" t="s">
        <v>816</v>
      </c>
      <c r="AU38" s="606">
        <f t="shared" si="11"/>
        <v>0</v>
      </c>
      <c r="AV38" s="604" t="s">
        <v>816</v>
      </c>
      <c r="AW38" s="605" t="s">
        <v>816</v>
      </c>
      <c r="AX38" s="605" t="s">
        <v>816</v>
      </c>
      <c r="AY38" s="605" t="s">
        <v>816</v>
      </c>
      <c r="AZ38" s="605" t="s">
        <v>816</v>
      </c>
      <c r="BA38" s="606">
        <f t="shared" si="12"/>
        <v>0</v>
      </c>
      <c r="BB38" s="604" t="s">
        <v>816</v>
      </c>
      <c r="BC38" s="605" t="s">
        <v>816</v>
      </c>
      <c r="BD38" s="605" t="s">
        <v>816</v>
      </c>
      <c r="BE38" s="605" t="s">
        <v>816</v>
      </c>
      <c r="BF38" s="605" t="s">
        <v>816</v>
      </c>
      <c r="BG38" s="605" t="s">
        <v>816</v>
      </c>
      <c r="BH38" s="605" t="s">
        <v>816</v>
      </c>
      <c r="BI38" s="606">
        <f t="shared" si="2"/>
        <v>0</v>
      </c>
      <c r="BJ38" s="551">
        <f t="shared" si="31"/>
        <v>0</v>
      </c>
      <c r="BK38" s="607"/>
      <c r="BL38" s="608"/>
      <c r="BM38" s="608"/>
      <c r="BN38" s="608"/>
      <c r="BO38" s="557">
        <f t="shared" si="32"/>
        <v>0</v>
      </c>
      <c r="BP38" s="607"/>
      <c r="BQ38" s="608"/>
      <c r="BR38" s="608"/>
      <c r="BS38" s="557">
        <f t="shared" si="33"/>
        <v>0</v>
      </c>
      <c r="BT38" s="607"/>
      <c r="BU38" s="557">
        <f t="shared" si="16"/>
        <v>0</v>
      </c>
      <c r="BV38" s="607"/>
      <c r="BW38" s="608"/>
      <c r="BX38" s="608"/>
      <c r="BY38" s="608"/>
      <c r="BZ38" s="608"/>
      <c r="CA38" s="608"/>
      <c r="CB38" s="608"/>
      <c r="CC38" s="608"/>
      <c r="CD38" s="608"/>
      <c r="CE38" s="557">
        <f t="shared" si="17"/>
        <v>0</v>
      </c>
      <c r="CF38" s="607"/>
      <c r="CG38" s="608"/>
      <c r="CH38" s="608"/>
      <c r="CI38" s="608"/>
      <c r="CJ38" s="608"/>
      <c r="CK38" s="608"/>
      <c r="CL38" s="608"/>
      <c r="CM38" s="557">
        <f t="shared" si="18"/>
        <v>0</v>
      </c>
      <c r="CN38" s="607"/>
      <c r="CO38" s="609">
        <f t="shared" si="19"/>
        <v>0</v>
      </c>
      <c r="CP38" s="610">
        <f t="shared" si="3"/>
        <v>0</v>
      </c>
      <c r="CQ38" s="545"/>
      <c r="CR38" s="546"/>
      <c r="CS38" s="544">
        <f t="shared" si="34"/>
        <v>0</v>
      </c>
      <c r="CT38" s="545"/>
      <c r="CU38" s="546"/>
      <c r="CV38" s="546"/>
      <c r="CW38" s="544">
        <f t="shared" si="35"/>
        <v>0</v>
      </c>
      <c r="CX38" s="547">
        <f t="shared" si="36"/>
        <v>0</v>
      </c>
      <c r="CY38" s="611">
        <f t="shared" si="37"/>
        <v>233.72013066815273</v>
      </c>
    </row>
    <row r="39" spans="1:103" s="561" customFormat="1" ht="30" hidden="1">
      <c r="A39" s="538">
        <v>35</v>
      </c>
      <c r="B39" s="602" t="s">
        <v>864</v>
      </c>
      <c r="C39" s="603" t="s">
        <v>865</v>
      </c>
      <c r="D39" s="541" t="s">
        <v>11</v>
      </c>
      <c r="E39" s="545">
        <v>0</v>
      </c>
      <c r="F39" s="546">
        <v>0</v>
      </c>
      <c r="G39" s="546">
        <v>0</v>
      </c>
      <c r="H39" s="546">
        <v>0</v>
      </c>
      <c r="I39" s="544">
        <f t="shared" si="4"/>
        <v>0</v>
      </c>
      <c r="J39" s="545">
        <v>0</v>
      </c>
      <c r="K39" s="546">
        <v>0</v>
      </c>
      <c r="L39" s="546">
        <v>0</v>
      </c>
      <c r="M39" s="546">
        <v>0</v>
      </c>
      <c r="N39" s="544">
        <f t="shared" si="5"/>
        <v>0</v>
      </c>
      <c r="O39" s="545">
        <v>0</v>
      </c>
      <c r="P39" s="546">
        <v>0</v>
      </c>
      <c r="Q39" s="544">
        <f t="shared" si="6"/>
        <v>0</v>
      </c>
      <c r="R39" s="545">
        <v>0</v>
      </c>
      <c r="S39" s="546">
        <v>0</v>
      </c>
      <c r="T39" s="546">
        <v>0</v>
      </c>
      <c r="U39" s="546">
        <v>0</v>
      </c>
      <c r="V39" s="546">
        <v>0</v>
      </c>
      <c r="W39" s="546">
        <v>0</v>
      </c>
      <c r="X39" s="544">
        <f t="shared" si="7"/>
        <v>0</v>
      </c>
      <c r="Y39" s="545">
        <v>0</v>
      </c>
      <c r="Z39" s="546">
        <v>0</v>
      </c>
      <c r="AA39" s="546">
        <v>0</v>
      </c>
      <c r="AB39" s="544">
        <f t="shared" si="1"/>
        <v>0</v>
      </c>
      <c r="AC39" s="547">
        <f t="shared" si="30"/>
        <v>0</v>
      </c>
      <c r="AD39" s="604" t="s">
        <v>816</v>
      </c>
      <c r="AE39" s="605" t="s">
        <v>816</v>
      </c>
      <c r="AF39" s="606">
        <f t="shared" si="9"/>
        <v>0</v>
      </c>
      <c r="AG39" s="604" t="s">
        <v>816</v>
      </c>
      <c r="AH39" s="605" t="s">
        <v>816</v>
      </c>
      <c r="AI39" s="605" t="s">
        <v>816</v>
      </c>
      <c r="AJ39" s="605" t="s">
        <v>816</v>
      </c>
      <c r="AK39" s="605" t="s">
        <v>816</v>
      </c>
      <c r="AL39" s="605" t="s">
        <v>816</v>
      </c>
      <c r="AM39" s="605" t="s">
        <v>816</v>
      </c>
      <c r="AN39" s="605" t="s">
        <v>816</v>
      </c>
      <c r="AO39" s="605" t="s">
        <v>816</v>
      </c>
      <c r="AP39" s="605" t="s">
        <v>816</v>
      </c>
      <c r="AQ39" s="606">
        <f t="shared" si="10"/>
        <v>0</v>
      </c>
      <c r="AR39" s="604" t="s">
        <v>816</v>
      </c>
      <c r="AS39" s="605" t="s">
        <v>816</v>
      </c>
      <c r="AT39" s="605" t="s">
        <v>816</v>
      </c>
      <c r="AU39" s="606">
        <f t="shared" si="11"/>
        <v>0</v>
      </c>
      <c r="AV39" s="604" t="s">
        <v>816</v>
      </c>
      <c r="AW39" s="605" t="s">
        <v>816</v>
      </c>
      <c r="AX39" s="605" t="s">
        <v>816</v>
      </c>
      <c r="AY39" s="605" t="s">
        <v>816</v>
      </c>
      <c r="AZ39" s="605" t="s">
        <v>816</v>
      </c>
      <c r="BA39" s="606">
        <f t="shared" si="12"/>
        <v>0</v>
      </c>
      <c r="BB39" s="604" t="s">
        <v>816</v>
      </c>
      <c r="BC39" s="605" t="s">
        <v>816</v>
      </c>
      <c r="BD39" s="605" t="s">
        <v>816</v>
      </c>
      <c r="BE39" s="605" t="s">
        <v>816</v>
      </c>
      <c r="BF39" s="605" t="s">
        <v>816</v>
      </c>
      <c r="BG39" s="605" t="s">
        <v>816</v>
      </c>
      <c r="BH39" s="605" t="s">
        <v>816</v>
      </c>
      <c r="BI39" s="606">
        <f t="shared" si="2"/>
        <v>0</v>
      </c>
      <c r="BJ39" s="551">
        <f t="shared" si="31"/>
        <v>0</v>
      </c>
      <c r="BK39" s="607"/>
      <c r="BL39" s="608"/>
      <c r="BM39" s="608"/>
      <c r="BN39" s="608"/>
      <c r="BO39" s="557">
        <f t="shared" si="32"/>
        <v>0</v>
      </c>
      <c r="BP39" s="607"/>
      <c r="BQ39" s="608"/>
      <c r="BR39" s="608"/>
      <c r="BS39" s="557">
        <f t="shared" si="33"/>
        <v>0</v>
      </c>
      <c r="BT39" s="607"/>
      <c r="BU39" s="557">
        <f t="shared" si="16"/>
        <v>0</v>
      </c>
      <c r="BV39" s="607"/>
      <c r="BW39" s="608"/>
      <c r="BX39" s="608"/>
      <c r="BY39" s="608"/>
      <c r="BZ39" s="608"/>
      <c r="CA39" s="608"/>
      <c r="CB39" s="608"/>
      <c r="CC39" s="608"/>
      <c r="CD39" s="608"/>
      <c r="CE39" s="557">
        <f t="shared" si="17"/>
        <v>0</v>
      </c>
      <c r="CF39" s="607"/>
      <c r="CG39" s="608"/>
      <c r="CH39" s="608"/>
      <c r="CI39" s="608"/>
      <c r="CJ39" s="608"/>
      <c r="CK39" s="608"/>
      <c r="CL39" s="608"/>
      <c r="CM39" s="557">
        <f t="shared" si="18"/>
        <v>0</v>
      </c>
      <c r="CN39" s="607"/>
      <c r="CO39" s="609">
        <f t="shared" si="19"/>
        <v>0</v>
      </c>
      <c r="CP39" s="610">
        <f t="shared" si="3"/>
        <v>0</v>
      </c>
      <c r="CQ39" s="545"/>
      <c r="CR39" s="546"/>
      <c r="CS39" s="544">
        <f t="shared" si="34"/>
        <v>0</v>
      </c>
      <c r="CT39" s="545"/>
      <c r="CU39" s="546"/>
      <c r="CV39" s="546"/>
      <c r="CW39" s="544">
        <f t="shared" si="35"/>
        <v>0</v>
      </c>
      <c r="CX39" s="547">
        <f t="shared" si="36"/>
        <v>0</v>
      </c>
      <c r="CY39" s="611">
        <f t="shared" si="37"/>
        <v>0</v>
      </c>
    </row>
    <row r="40" spans="1:103" s="561" customFormat="1" ht="30">
      <c r="A40" s="538">
        <v>36</v>
      </c>
      <c r="B40" s="602" t="s">
        <v>866</v>
      </c>
      <c r="C40" s="603" t="s">
        <v>867</v>
      </c>
      <c r="D40" s="541" t="s">
        <v>11</v>
      </c>
      <c r="E40" s="545">
        <v>0</v>
      </c>
      <c r="F40" s="546">
        <v>0</v>
      </c>
      <c r="G40" s="546">
        <v>0</v>
      </c>
      <c r="H40" s="546">
        <v>0</v>
      </c>
      <c r="I40" s="544">
        <f t="shared" si="4"/>
        <v>0</v>
      </c>
      <c r="J40" s="545">
        <v>0</v>
      </c>
      <c r="K40" s="546">
        <v>0</v>
      </c>
      <c r="L40" s="546">
        <v>0</v>
      </c>
      <c r="M40" s="546">
        <v>0</v>
      </c>
      <c r="N40" s="544">
        <f t="shared" si="5"/>
        <v>0</v>
      </c>
      <c r="O40" s="545">
        <v>0</v>
      </c>
      <c r="P40" s="546">
        <v>0</v>
      </c>
      <c r="Q40" s="544">
        <f t="shared" si="6"/>
        <v>0</v>
      </c>
      <c r="R40" s="545">
        <v>0</v>
      </c>
      <c r="S40" s="546">
        <v>0</v>
      </c>
      <c r="T40" s="546">
        <v>0</v>
      </c>
      <c r="U40" s="546">
        <v>0</v>
      </c>
      <c r="V40" s="546">
        <v>0</v>
      </c>
      <c r="W40" s="546">
        <v>0</v>
      </c>
      <c r="X40" s="544">
        <f t="shared" si="7"/>
        <v>0</v>
      </c>
      <c r="Y40" s="545">
        <v>0</v>
      </c>
      <c r="Z40" s="546">
        <v>0</v>
      </c>
      <c r="AA40" s="546">
        <v>47</v>
      </c>
      <c r="AB40" s="544">
        <f t="shared" si="1"/>
        <v>47</v>
      </c>
      <c r="AC40" s="547">
        <f t="shared" si="30"/>
        <v>47</v>
      </c>
      <c r="AD40" s="604" t="s">
        <v>816</v>
      </c>
      <c r="AE40" s="605" t="s">
        <v>816</v>
      </c>
      <c r="AF40" s="606">
        <f t="shared" si="9"/>
        <v>0</v>
      </c>
      <c r="AG40" s="604" t="s">
        <v>816</v>
      </c>
      <c r="AH40" s="605" t="s">
        <v>816</v>
      </c>
      <c r="AI40" s="605" t="s">
        <v>816</v>
      </c>
      <c r="AJ40" s="605" t="s">
        <v>816</v>
      </c>
      <c r="AK40" s="605" t="s">
        <v>816</v>
      </c>
      <c r="AL40" s="605" t="s">
        <v>816</v>
      </c>
      <c r="AM40" s="605" t="s">
        <v>816</v>
      </c>
      <c r="AN40" s="605" t="s">
        <v>816</v>
      </c>
      <c r="AO40" s="605" t="s">
        <v>816</v>
      </c>
      <c r="AP40" s="605" t="s">
        <v>816</v>
      </c>
      <c r="AQ40" s="606">
        <f t="shared" si="10"/>
        <v>0</v>
      </c>
      <c r="AR40" s="604" t="s">
        <v>816</v>
      </c>
      <c r="AS40" s="605" t="s">
        <v>816</v>
      </c>
      <c r="AT40" s="605" t="s">
        <v>816</v>
      </c>
      <c r="AU40" s="606">
        <f t="shared" si="11"/>
        <v>0</v>
      </c>
      <c r="AV40" s="604" t="s">
        <v>816</v>
      </c>
      <c r="AW40" s="605" t="s">
        <v>816</v>
      </c>
      <c r="AX40" s="605" t="s">
        <v>816</v>
      </c>
      <c r="AY40" s="605" t="s">
        <v>816</v>
      </c>
      <c r="AZ40" s="605" t="s">
        <v>816</v>
      </c>
      <c r="BA40" s="606">
        <f t="shared" si="12"/>
        <v>0</v>
      </c>
      <c r="BB40" s="604" t="s">
        <v>816</v>
      </c>
      <c r="BC40" s="605" t="s">
        <v>816</v>
      </c>
      <c r="BD40" s="605" t="s">
        <v>816</v>
      </c>
      <c r="BE40" s="605" t="s">
        <v>816</v>
      </c>
      <c r="BF40" s="605" t="s">
        <v>816</v>
      </c>
      <c r="BG40" s="605" t="s">
        <v>816</v>
      </c>
      <c r="BH40" s="605" t="s">
        <v>816</v>
      </c>
      <c r="BI40" s="606">
        <f t="shared" si="2"/>
        <v>0</v>
      </c>
      <c r="BJ40" s="551">
        <f t="shared" si="31"/>
        <v>0</v>
      </c>
      <c r="BK40" s="607"/>
      <c r="BL40" s="608"/>
      <c r="BM40" s="608"/>
      <c r="BN40" s="608"/>
      <c r="BO40" s="557">
        <f t="shared" si="32"/>
        <v>0</v>
      </c>
      <c r="BP40" s="607"/>
      <c r="BQ40" s="608"/>
      <c r="BR40" s="608"/>
      <c r="BS40" s="557">
        <f t="shared" si="33"/>
        <v>0</v>
      </c>
      <c r="BT40" s="607"/>
      <c r="BU40" s="557">
        <f t="shared" si="16"/>
        <v>0</v>
      </c>
      <c r="BV40" s="607"/>
      <c r="BW40" s="608"/>
      <c r="BX40" s="608"/>
      <c r="BY40" s="608"/>
      <c r="BZ40" s="608"/>
      <c r="CA40" s="608"/>
      <c r="CB40" s="608"/>
      <c r="CC40" s="608"/>
      <c r="CD40" s="608"/>
      <c r="CE40" s="557">
        <f t="shared" si="17"/>
        <v>0</v>
      </c>
      <c r="CF40" s="607"/>
      <c r="CG40" s="608"/>
      <c r="CH40" s="608"/>
      <c r="CI40" s="608"/>
      <c r="CJ40" s="608"/>
      <c r="CK40" s="608"/>
      <c r="CL40" s="608"/>
      <c r="CM40" s="557">
        <f t="shared" si="18"/>
        <v>0</v>
      </c>
      <c r="CN40" s="607"/>
      <c r="CO40" s="609">
        <f t="shared" si="19"/>
        <v>0</v>
      </c>
      <c r="CP40" s="610">
        <f t="shared" si="3"/>
        <v>0</v>
      </c>
      <c r="CQ40" s="545"/>
      <c r="CR40" s="546"/>
      <c r="CS40" s="544">
        <f t="shared" si="34"/>
        <v>0</v>
      </c>
      <c r="CT40" s="545"/>
      <c r="CU40" s="546"/>
      <c r="CV40" s="546"/>
      <c r="CW40" s="544">
        <f t="shared" si="35"/>
        <v>0</v>
      </c>
      <c r="CX40" s="547">
        <f t="shared" si="36"/>
        <v>0</v>
      </c>
      <c r="CY40" s="611">
        <f t="shared" si="37"/>
        <v>47</v>
      </c>
    </row>
    <row r="41" spans="1:103" s="561" customFormat="1" ht="30" hidden="1">
      <c r="A41" s="538">
        <v>37</v>
      </c>
      <c r="B41" s="602" t="s">
        <v>868</v>
      </c>
      <c r="C41" s="603" t="s">
        <v>869</v>
      </c>
      <c r="D41" s="541" t="s">
        <v>11</v>
      </c>
      <c r="E41" s="545">
        <v>0</v>
      </c>
      <c r="F41" s="546">
        <v>0</v>
      </c>
      <c r="G41" s="546">
        <v>0</v>
      </c>
      <c r="H41" s="546">
        <v>0</v>
      </c>
      <c r="I41" s="544">
        <f t="shared" si="4"/>
        <v>0</v>
      </c>
      <c r="J41" s="545">
        <v>0</v>
      </c>
      <c r="K41" s="546">
        <v>0</v>
      </c>
      <c r="L41" s="546">
        <v>0</v>
      </c>
      <c r="M41" s="546">
        <v>0</v>
      </c>
      <c r="N41" s="544">
        <f t="shared" si="5"/>
        <v>0</v>
      </c>
      <c r="O41" s="545">
        <v>0</v>
      </c>
      <c r="P41" s="546">
        <v>0</v>
      </c>
      <c r="Q41" s="544">
        <f t="shared" si="6"/>
        <v>0</v>
      </c>
      <c r="R41" s="545">
        <v>0</v>
      </c>
      <c r="S41" s="546">
        <v>0</v>
      </c>
      <c r="T41" s="546">
        <v>0</v>
      </c>
      <c r="U41" s="546">
        <v>0</v>
      </c>
      <c r="V41" s="546">
        <v>0</v>
      </c>
      <c r="W41" s="546">
        <v>0</v>
      </c>
      <c r="X41" s="544">
        <f t="shared" si="7"/>
        <v>0</v>
      </c>
      <c r="Y41" s="545">
        <v>0</v>
      </c>
      <c r="Z41" s="546">
        <v>0</v>
      </c>
      <c r="AA41" s="546">
        <v>0</v>
      </c>
      <c r="AB41" s="544">
        <f t="shared" si="1"/>
        <v>0</v>
      </c>
      <c r="AC41" s="547">
        <f t="shared" si="30"/>
        <v>0</v>
      </c>
      <c r="AD41" s="604" t="s">
        <v>816</v>
      </c>
      <c r="AE41" s="605" t="s">
        <v>816</v>
      </c>
      <c r="AF41" s="606">
        <f t="shared" si="9"/>
        <v>0</v>
      </c>
      <c r="AG41" s="604" t="s">
        <v>816</v>
      </c>
      <c r="AH41" s="605" t="s">
        <v>816</v>
      </c>
      <c r="AI41" s="605" t="s">
        <v>816</v>
      </c>
      <c r="AJ41" s="605" t="s">
        <v>816</v>
      </c>
      <c r="AK41" s="605" t="s">
        <v>816</v>
      </c>
      <c r="AL41" s="605" t="s">
        <v>816</v>
      </c>
      <c r="AM41" s="605" t="s">
        <v>816</v>
      </c>
      <c r="AN41" s="605" t="s">
        <v>816</v>
      </c>
      <c r="AO41" s="605" t="s">
        <v>816</v>
      </c>
      <c r="AP41" s="605" t="s">
        <v>816</v>
      </c>
      <c r="AQ41" s="606">
        <f t="shared" si="10"/>
        <v>0</v>
      </c>
      <c r="AR41" s="604" t="s">
        <v>816</v>
      </c>
      <c r="AS41" s="605" t="s">
        <v>816</v>
      </c>
      <c r="AT41" s="605" t="s">
        <v>816</v>
      </c>
      <c r="AU41" s="606">
        <f t="shared" si="11"/>
        <v>0</v>
      </c>
      <c r="AV41" s="604" t="s">
        <v>816</v>
      </c>
      <c r="AW41" s="605" t="s">
        <v>816</v>
      </c>
      <c r="AX41" s="605" t="s">
        <v>816</v>
      </c>
      <c r="AY41" s="605" t="s">
        <v>816</v>
      </c>
      <c r="AZ41" s="605" t="s">
        <v>816</v>
      </c>
      <c r="BA41" s="606">
        <f t="shared" si="12"/>
        <v>0</v>
      </c>
      <c r="BB41" s="604" t="s">
        <v>816</v>
      </c>
      <c r="BC41" s="605" t="s">
        <v>816</v>
      </c>
      <c r="BD41" s="605" t="s">
        <v>816</v>
      </c>
      <c r="BE41" s="605" t="s">
        <v>816</v>
      </c>
      <c r="BF41" s="605" t="s">
        <v>816</v>
      </c>
      <c r="BG41" s="605" t="s">
        <v>816</v>
      </c>
      <c r="BH41" s="605" t="s">
        <v>816</v>
      </c>
      <c r="BI41" s="606">
        <f t="shared" si="2"/>
        <v>0</v>
      </c>
      <c r="BJ41" s="551">
        <f t="shared" si="31"/>
        <v>0</v>
      </c>
      <c r="BK41" s="607"/>
      <c r="BL41" s="608"/>
      <c r="BM41" s="608"/>
      <c r="BN41" s="608"/>
      <c r="BO41" s="557">
        <f t="shared" si="32"/>
        <v>0</v>
      </c>
      <c r="BP41" s="607"/>
      <c r="BQ41" s="608"/>
      <c r="BR41" s="608"/>
      <c r="BS41" s="557">
        <f t="shared" si="33"/>
        <v>0</v>
      </c>
      <c r="BT41" s="607"/>
      <c r="BU41" s="557">
        <f t="shared" si="16"/>
        <v>0</v>
      </c>
      <c r="BV41" s="607"/>
      <c r="BW41" s="608"/>
      <c r="BX41" s="608"/>
      <c r="BY41" s="608"/>
      <c r="BZ41" s="608"/>
      <c r="CA41" s="608"/>
      <c r="CB41" s="608"/>
      <c r="CC41" s="608"/>
      <c r="CD41" s="608"/>
      <c r="CE41" s="557">
        <f t="shared" si="17"/>
        <v>0</v>
      </c>
      <c r="CF41" s="607"/>
      <c r="CG41" s="608"/>
      <c r="CH41" s="608"/>
      <c r="CI41" s="608"/>
      <c r="CJ41" s="608"/>
      <c r="CK41" s="608"/>
      <c r="CL41" s="608"/>
      <c r="CM41" s="557">
        <f t="shared" si="18"/>
        <v>0</v>
      </c>
      <c r="CN41" s="607"/>
      <c r="CO41" s="609">
        <f t="shared" si="19"/>
        <v>0</v>
      </c>
      <c r="CP41" s="610">
        <f t="shared" si="3"/>
        <v>0</v>
      </c>
      <c r="CQ41" s="545"/>
      <c r="CR41" s="546"/>
      <c r="CS41" s="544">
        <f t="shared" si="34"/>
        <v>0</v>
      </c>
      <c r="CT41" s="545"/>
      <c r="CU41" s="546"/>
      <c r="CV41" s="546"/>
      <c r="CW41" s="544">
        <f t="shared" si="35"/>
        <v>0</v>
      </c>
      <c r="CX41" s="547">
        <f t="shared" si="36"/>
        <v>0</v>
      </c>
      <c r="CY41" s="611">
        <f t="shared" si="37"/>
        <v>0</v>
      </c>
    </row>
    <row r="42" spans="1:103" s="561" customFormat="1" ht="30" hidden="1">
      <c r="A42" s="538">
        <v>38</v>
      </c>
      <c r="B42" s="602" t="s">
        <v>870</v>
      </c>
      <c r="C42" s="603" t="s">
        <v>871</v>
      </c>
      <c r="D42" s="541" t="s">
        <v>11</v>
      </c>
      <c r="E42" s="545">
        <v>0</v>
      </c>
      <c r="F42" s="546">
        <v>0</v>
      </c>
      <c r="G42" s="546">
        <v>0</v>
      </c>
      <c r="H42" s="546">
        <v>0</v>
      </c>
      <c r="I42" s="544">
        <f t="shared" si="4"/>
        <v>0</v>
      </c>
      <c r="J42" s="545">
        <v>0</v>
      </c>
      <c r="K42" s="546">
        <v>0</v>
      </c>
      <c r="L42" s="546">
        <v>0</v>
      </c>
      <c r="M42" s="546">
        <v>0</v>
      </c>
      <c r="N42" s="544">
        <f t="shared" si="5"/>
        <v>0</v>
      </c>
      <c r="O42" s="545">
        <v>0</v>
      </c>
      <c r="P42" s="546">
        <v>0</v>
      </c>
      <c r="Q42" s="544">
        <f t="shared" si="6"/>
        <v>0</v>
      </c>
      <c r="R42" s="545">
        <v>0</v>
      </c>
      <c r="S42" s="546">
        <v>0</v>
      </c>
      <c r="T42" s="546">
        <v>0</v>
      </c>
      <c r="U42" s="546">
        <v>0</v>
      </c>
      <c r="V42" s="546">
        <v>0</v>
      </c>
      <c r="W42" s="546">
        <v>0</v>
      </c>
      <c r="X42" s="544">
        <f t="shared" si="7"/>
        <v>0</v>
      </c>
      <c r="Y42" s="545">
        <v>0</v>
      </c>
      <c r="Z42" s="546">
        <v>0</v>
      </c>
      <c r="AA42" s="546">
        <v>0</v>
      </c>
      <c r="AB42" s="544">
        <f t="shared" si="1"/>
        <v>0</v>
      </c>
      <c r="AC42" s="547">
        <f t="shared" si="30"/>
        <v>0</v>
      </c>
      <c r="AD42" s="604" t="s">
        <v>816</v>
      </c>
      <c r="AE42" s="605" t="s">
        <v>816</v>
      </c>
      <c r="AF42" s="606">
        <f t="shared" si="9"/>
        <v>0</v>
      </c>
      <c r="AG42" s="604" t="s">
        <v>816</v>
      </c>
      <c r="AH42" s="605" t="s">
        <v>816</v>
      </c>
      <c r="AI42" s="605" t="s">
        <v>816</v>
      </c>
      <c r="AJ42" s="605" t="s">
        <v>816</v>
      </c>
      <c r="AK42" s="605" t="s">
        <v>816</v>
      </c>
      <c r="AL42" s="605" t="s">
        <v>816</v>
      </c>
      <c r="AM42" s="605" t="s">
        <v>816</v>
      </c>
      <c r="AN42" s="605" t="s">
        <v>816</v>
      </c>
      <c r="AO42" s="605" t="s">
        <v>816</v>
      </c>
      <c r="AP42" s="605" t="s">
        <v>816</v>
      </c>
      <c r="AQ42" s="606">
        <f t="shared" si="10"/>
        <v>0</v>
      </c>
      <c r="AR42" s="604" t="s">
        <v>816</v>
      </c>
      <c r="AS42" s="605" t="s">
        <v>816</v>
      </c>
      <c r="AT42" s="605" t="s">
        <v>816</v>
      </c>
      <c r="AU42" s="606">
        <f t="shared" si="11"/>
        <v>0</v>
      </c>
      <c r="AV42" s="604" t="s">
        <v>816</v>
      </c>
      <c r="AW42" s="605" t="s">
        <v>816</v>
      </c>
      <c r="AX42" s="605" t="s">
        <v>816</v>
      </c>
      <c r="AY42" s="605" t="s">
        <v>816</v>
      </c>
      <c r="AZ42" s="605" t="s">
        <v>816</v>
      </c>
      <c r="BA42" s="606">
        <f t="shared" si="12"/>
        <v>0</v>
      </c>
      <c r="BB42" s="604" t="s">
        <v>816</v>
      </c>
      <c r="BC42" s="605" t="s">
        <v>816</v>
      </c>
      <c r="BD42" s="605" t="s">
        <v>816</v>
      </c>
      <c r="BE42" s="605" t="s">
        <v>816</v>
      </c>
      <c r="BF42" s="605" t="s">
        <v>816</v>
      </c>
      <c r="BG42" s="605" t="s">
        <v>816</v>
      </c>
      <c r="BH42" s="605" t="s">
        <v>816</v>
      </c>
      <c r="BI42" s="606">
        <f t="shared" si="2"/>
        <v>0</v>
      </c>
      <c r="BJ42" s="551">
        <f t="shared" si="31"/>
        <v>0</v>
      </c>
      <c r="BK42" s="607"/>
      <c r="BL42" s="608"/>
      <c r="BM42" s="608"/>
      <c r="BN42" s="608"/>
      <c r="BO42" s="557">
        <f t="shared" si="32"/>
        <v>0</v>
      </c>
      <c r="BP42" s="607"/>
      <c r="BQ42" s="608"/>
      <c r="BR42" s="608"/>
      <c r="BS42" s="557">
        <f t="shared" si="33"/>
        <v>0</v>
      </c>
      <c r="BT42" s="607"/>
      <c r="BU42" s="557">
        <f t="shared" si="16"/>
        <v>0</v>
      </c>
      <c r="BV42" s="607"/>
      <c r="BW42" s="608"/>
      <c r="BX42" s="608"/>
      <c r="BY42" s="608"/>
      <c r="BZ42" s="608"/>
      <c r="CA42" s="608"/>
      <c r="CB42" s="608"/>
      <c r="CC42" s="608"/>
      <c r="CD42" s="608"/>
      <c r="CE42" s="557">
        <f t="shared" si="17"/>
        <v>0</v>
      </c>
      <c r="CF42" s="607"/>
      <c r="CG42" s="608"/>
      <c r="CH42" s="608"/>
      <c r="CI42" s="608"/>
      <c r="CJ42" s="608"/>
      <c r="CK42" s="608"/>
      <c r="CL42" s="608"/>
      <c r="CM42" s="557">
        <f t="shared" si="18"/>
        <v>0</v>
      </c>
      <c r="CN42" s="607"/>
      <c r="CO42" s="609">
        <f t="shared" si="19"/>
        <v>0</v>
      </c>
      <c r="CP42" s="610">
        <f t="shared" si="3"/>
        <v>0</v>
      </c>
      <c r="CQ42" s="545"/>
      <c r="CR42" s="546"/>
      <c r="CS42" s="544">
        <f t="shared" si="34"/>
        <v>0</v>
      </c>
      <c r="CT42" s="545"/>
      <c r="CU42" s="546"/>
      <c r="CV42" s="546"/>
      <c r="CW42" s="544">
        <f t="shared" si="35"/>
        <v>0</v>
      </c>
      <c r="CX42" s="547">
        <f t="shared" si="36"/>
        <v>0</v>
      </c>
      <c r="CY42" s="611">
        <f t="shared" si="37"/>
        <v>0</v>
      </c>
    </row>
    <row r="43" spans="1:103" s="561" customFormat="1" ht="30" hidden="1">
      <c r="A43" s="538">
        <v>39</v>
      </c>
      <c r="B43" s="602" t="s">
        <v>872</v>
      </c>
      <c r="C43" s="603" t="s">
        <v>873</v>
      </c>
      <c r="D43" s="541" t="s">
        <v>11</v>
      </c>
      <c r="E43" s="545">
        <v>0</v>
      </c>
      <c r="F43" s="546">
        <v>0</v>
      </c>
      <c r="G43" s="546">
        <v>0</v>
      </c>
      <c r="H43" s="546">
        <v>0</v>
      </c>
      <c r="I43" s="544">
        <f t="shared" si="4"/>
        <v>0</v>
      </c>
      <c r="J43" s="545">
        <v>0</v>
      </c>
      <c r="K43" s="546">
        <v>0</v>
      </c>
      <c r="L43" s="546">
        <v>0</v>
      </c>
      <c r="M43" s="546">
        <v>0</v>
      </c>
      <c r="N43" s="544">
        <f t="shared" si="5"/>
        <v>0</v>
      </c>
      <c r="O43" s="545">
        <v>0</v>
      </c>
      <c r="P43" s="546">
        <v>0</v>
      </c>
      <c r="Q43" s="544">
        <f t="shared" si="6"/>
        <v>0</v>
      </c>
      <c r="R43" s="545">
        <v>0</v>
      </c>
      <c r="S43" s="546">
        <v>0</v>
      </c>
      <c r="T43" s="546">
        <v>0</v>
      </c>
      <c r="U43" s="546">
        <v>0</v>
      </c>
      <c r="V43" s="546">
        <v>0</v>
      </c>
      <c r="W43" s="546">
        <v>0</v>
      </c>
      <c r="X43" s="544">
        <f t="shared" si="7"/>
        <v>0</v>
      </c>
      <c r="Y43" s="545">
        <v>0</v>
      </c>
      <c r="Z43" s="546">
        <v>0</v>
      </c>
      <c r="AA43" s="546">
        <v>0</v>
      </c>
      <c r="AB43" s="544">
        <f t="shared" si="1"/>
        <v>0</v>
      </c>
      <c r="AC43" s="547">
        <f t="shared" si="30"/>
        <v>0</v>
      </c>
      <c r="AD43" s="604" t="s">
        <v>816</v>
      </c>
      <c r="AE43" s="605" t="s">
        <v>816</v>
      </c>
      <c r="AF43" s="606">
        <f t="shared" si="9"/>
        <v>0</v>
      </c>
      <c r="AG43" s="604" t="s">
        <v>816</v>
      </c>
      <c r="AH43" s="605" t="s">
        <v>816</v>
      </c>
      <c r="AI43" s="605" t="s">
        <v>816</v>
      </c>
      <c r="AJ43" s="605" t="s">
        <v>816</v>
      </c>
      <c r="AK43" s="605" t="s">
        <v>816</v>
      </c>
      <c r="AL43" s="605" t="s">
        <v>816</v>
      </c>
      <c r="AM43" s="605" t="s">
        <v>816</v>
      </c>
      <c r="AN43" s="605" t="s">
        <v>816</v>
      </c>
      <c r="AO43" s="605" t="s">
        <v>816</v>
      </c>
      <c r="AP43" s="605" t="s">
        <v>816</v>
      </c>
      <c r="AQ43" s="606">
        <f t="shared" si="10"/>
        <v>0</v>
      </c>
      <c r="AR43" s="604" t="s">
        <v>816</v>
      </c>
      <c r="AS43" s="605" t="s">
        <v>816</v>
      </c>
      <c r="AT43" s="605" t="s">
        <v>816</v>
      </c>
      <c r="AU43" s="606">
        <f t="shared" si="11"/>
        <v>0</v>
      </c>
      <c r="AV43" s="604" t="s">
        <v>816</v>
      </c>
      <c r="AW43" s="605" t="s">
        <v>816</v>
      </c>
      <c r="AX43" s="605" t="s">
        <v>816</v>
      </c>
      <c r="AY43" s="605" t="s">
        <v>816</v>
      </c>
      <c r="AZ43" s="605" t="s">
        <v>816</v>
      </c>
      <c r="BA43" s="606">
        <f t="shared" si="12"/>
        <v>0</v>
      </c>
      <c r="BB43" s="604" t="s">
        <v>816</v>
      </c>
      <c r="BC43" s="605" t="s">
        <v>816</v>
      </c>
      <c r="BD43" s="605" t="s">
        <v>816</v>
      </c>
      <c r="BE43" s="605" t="s">
        <v>816</v>
      </c>
      <c r="BF43" s="605" t="s">
        <v>816</v>
      </c>
      <c r="BG43" s="605" t="s">
        <v>816</v>
      </c>
      <c r="BH43" s="605" t="s">
        <v>816</v>
      </c>
      <c r="BI43" s="606">
        <f t="shared" si="2"/>
        <v>0</v>
      </c>
      <c r="BJ43" s="551">
        <f t="shared" si="31"/>
        <v>0</v>
      </c>
      <c r="BK43" s="607"/>
      <c r="BL43" s="608"/>
      <c r="BM43" s="608"/>
      <c r="BN43" s="608"/>
      <c r="BO43" s="557">
        <f t="shared" si="32"/>
        <v>0</v>
      </c>
      <c r="BP43" s="607"/>
      <c r="BQ43" s="608"/>
      <c r="BR43" s="608"/>
      <c r="BS43" s="557">
        <f t="shared" si="33"/>
        <v>0</v>
      </c>
      <c r="BT43" s="607"/>
      <c r="BU43" s="557">
        <f t="shared" si="16"/>
        <v>0</v>
      </c>
      <c r="BV43" s="607"/>
      <c r="BW43" s="608"/>
      <c r="BX43" s="608"/>
      <c r="BY43" s="608"/>
      <c r="BZ43" s="608"/>
      <c r="CA43" s="608"/>
      <c r="CB43" s="608"/>
      <c r="CC43" s="608"/>
      <c r="CD43" s="608"/>
      <c r="CE43" s="557">
        <f t="shared" si="17"/>
        <v>0</v>
      </c>
      <c r="CF43" s="607"/>
      <c r="CG43" s="608"/>
      <c r="CH43" s="608"/>
      <c r="CI43" s="608"/>
      <c r="CJ43" s="608"/>
      <c r="CK43" s="608"/>
      <c r="CL43" s="608"/>
      <c r="CM43" s="557">
        <f t="shared" si="18"/>
        <v>0</v>
      </c>
      <c r="CN43" s="607"/>
      <c r="CO43" s="609">
        <f t="shared" si="19"/>
        <v>0</v>
      </c>
      <c r="CP43" s="610">
        <f t="shared" si="3"/>
        <v>0</v>
      </c>
      <c r="CQ43" s="545"/>
      <c r="CR43" s="546"/>
      <c r="CS43" s="544">
        <f t="shared" si="34"/>
        <v>0</v>
      </c>
      <c r="CT43" s="545"/>
      <c r="CU43" s="546"/>
      <c r="CV43" s="546"/>
      <c r="CW43" s="544">
        <f t="shared" si="35"/>
        <v>0</v>
      </c>
      <c r="CX43" s="547">
        <f t="shared" si="36"/>
        <v>0</v>
      </c>
      <c r="CY43" s="611">
        <f t="shared" si="37"/>
        <v>0</v>
      </c>
    </row>
    <row r="44" spans="1:103" s="561" customFormat="1" ht="30" hidden="1">
      <c r="A44" s="538">
        <v>40</v>
      </c>
      <c r="B44" s="602" t="s">
        <v>874</v>
      </c>
      <c r="C44" s="603" t="s">
        <v>875</v>
      </c>
      <c r="D44" s="541" t="s">
        <v>11</v>
      </c>
      <c r="E44" s="545">
        <v>0</v>
      </c>
      <c r="F44" s="546">
        <v>0</v>
      </c>
      <c r="G44" s="546">
        <v>0</v>
      </c>
      <c r="H44" s="546">
        <v>0</v>
      </c>
      <c r="I44" s="544">
        <f t="shared" si="4"/>
        <v>0</v>
      </c>
      <c r="J44" s="545">
        <v>0</v>
      </c>
      <c r="K44" s="546">
        <v>0</v>
      </c>
      <c r="L44" s="546">
        <v>0</v>
      </c>
      <c r="M44" s="546">
        <v>0</v>
      </c>
      <c r="N44" s="544">
        <f t="shared" si="5"/>
        <v>0</v>
      </c>
      <c r="O44" s="545">
        <v>0</v>
      </c>
      <c r="P44" s="546">
        <v>0</v>
      </c>
      <c r="Q44" s="544">
        <f t="shared" si="6"/>
        <v>0</v>
      </c>
      <c r="R44" s="545">
        <v>0</v>
      </c>
      <c r="S44" s="546">
        <v>0</v>
      </c>
      <c r="T44" s="546">
        <v>0</v>
      </c>
      <c r="U44" s="546">
        <v>0</v>
      </c>
      <c r="V44" s="546">
        <v>0</v>
      </c>
      <c r="W44" s="546">
        <v>0</v>
      </c>
      <c r="X44" s="544">
        <f t="shared" si="7"/>
        <v>0</v>
      </c>
      <c r="Y44" s="545">
        <v>0</v>
      </c>
      <c r="Z44" s="546">
        <v>0</v>
      </c>
      <c r="AA44" s="546">
        <v>0</v>
      </c>
      <c r="AB44" s="544">
        <f t="shared" si="1"/>
        <v>0</v>
      </c>
      <c r="AC44" s="547">
        <f t="shared" si="30"/>
        <v>0</v>
      </c>
      <c r="AD44" s="604" t="s">
        <v>816</v>
      </c>
      <c r="AE44" s="605" t="s">
        <v>816</v>
      </c>
      <c r="AF44" s="606">
        <f t="shared" si="9"/>
        <v>0</v>
      </c>
      <c r="AG44" s="604" t="s">
        <v>816</v>
      </c>
      <c r="AH44" s="605" t="s">
        <v>816</v>
      </c>
      <c r="AI44" s="605" t="s">
        <v>816</v>
      </c>
      <c r="AJ44" s="605" t="s">
        <v>816</v>
      </c>
      <c r="AK44" s="605" t="s">
        <v>816</v>
      </c>
      <c r="AL44" s="605" t="s">
        <v>816</v>
      </c>
      <c r="AM44" s="605" t="s">
        <v>816</v>
      </c>
      <c r="AN44" s="605" t="s">
        <v>816</v>
      </c>
      <c r="AO44" s="605" t="s">
        <v>816</v>
      </c>
      <c r="AP44" s="605" t="s">
        <v>816</v>
      </c>
      <c r="AQ44" s="606">
        <f t="shared" si="10"/>
        <v>0</v>
      </c>
      <c r="AR44" s="604" t="s">
        <v>816</v>
      </c>
      <c r="AS44" s="605" t="s">
        <v>816</v>
      </c>
      <c r="AT44" s="605" t="s">
        <v>816</v>
      </c>
      <c r="AU44" s="606">
        <f t="shared" si="11"/>
        <v>0</v>
      </c>
      <c r="AV44" s="604" t="s">
        <v>816</v>
      </c>
      <c r="AW44" s="605" t="s">
        <v>816</v>
      </c>
      <c r="AX44" s="605" t="s">
        <v>816</v>
      </c>
      <c r="AY44" s="605" t="s">
        <v>816</v>
      </c>
      <c r="AZ44" s="605" t="s">
        <v>816</v>
      </c>
      <c r="BA44" s="606">
        <f t="shared" si="12"/>
        <v>0</v>
      </c>
      <c r="BB44" s="604" t="s">
        <v>816</v>
      </c>
      <c r="BC44" s="605" t="s">
        <v>816</v>
      </c>
      <c r="BD44" s="605" t="s">
        <v>816</v>
      </c>
      <c r="BE44" s="605" t="s">
        <v>816</v>
      </c>
      <c r="BF44" s="605" t="s">
        <v>816</v>
      </c>
      <c r="BG44" s="605" t="s">
        <v>816</v>
      </c>
      <c r="BH44" s="605" t="s">
        <v>816</v>
      </c>
      <c r="BI44" s="606">
        <f t="shared" si="2"/>
        <v>0</v>
      </c>
      <c r="BJ44" s="551">
        <f t="shared" si="31"/>
        <v>0</v>
      </c>
      <c r="BK44" s="607"/>
      <c r="BL44" s="608"/>
      <c r="BM44" s="608"/>
      <c r="BN44" s="608"/>
      <c r="BO44" s="557">
        <f t="shared" si="32"/>
        <v>0</v>
      </c>
      <c r="BP44" s="607"/>
      <c r="BQ44" s="608"/>
      <c r="BR44" s="608"/>
      <c r="BS44" s="557">
        <f t="shared" si="33"/>
        <v>0</v>
      </c>
      <c r="BT44" s="607"/>
      <c r="BU44" s="557">
        <f t="shared" si="16"/>
        <v>0</v>
      </c>
      <c r="BV44" s="607"/>
      <c r="BW44" s="608"/>
      <c r="BX44" s="608"/>
      <c r="BY44" s="608"/>
      <c r="BZ44" s="608"/>
      <c r="CA44" s="608"/>
      <c r="CB44" s="608"/>
      <c r="CC44" s="608"/>
      <c r="CD44" s="608"/>
      <c r="CE44" s="557">
        <f t="shared" si="17"/>
        <v>0</v>
      </c>
      <c r="CF44" s="607"/>
      <c r="CG44" s="608"/>
      <c r="CH44" s="608"/>
      <c r="CI44" s="608"/>
      <c r="CJ44" s="608"/>
      <c r="CK44" s="608"/>
      <c r="CL44" s="608"/>
      <c r="CM44" s="557">
        <f t="shared" si="18"/>
        <v>0</v>
      </c>
      <c r="CN44" s="607"/>
      <c r="CO44" s="609">
        <f t="shared" si="19"/>
        <v>0</v>
      </c>
      <c r="CP44" s="610">
        <f t="shared" si="3"/>
        <v>0</v>
      </c>
      <c r="CQ44" s="545"/>
      <c r="CR44" s="546"/>
      <c r="CS44" s="544">
        <f t="shared" si="34"/>
        <v>0</v>
      </c>
      <c r="CT44" s="545"/>
      <c r="CU44" s="546"/>
      <c r="CV44" s="546"/>
      <c r="CW44" s="544">
        <f t="shared" si="35"/>
        <v>0</v>
      </c>
      <c r="CX44" s="547">
        <f t="shared" si="36"/>
        <v>0</v>
      </c>
      <c r="CY44" s="611">
        <f t="shared" si="37"/>
        <v>0</v>
      </c>
    </row>
    <row r="45" spans="1:103" s="561" customFormat="1" ht="30" hidden="1">
      <c r="A45" s="538">
        <v>41</v>
      </c>
      <c r="B45" s="602" t="s">
        <v>876</v>
      </c>
      <c r="C45" s="603" t="s">
        <v>877</v>
      </c>
      <c r="D45" s="541" t="s">
        <v>11</v>
      </c>
      <c r="E45" s="545">
        <v>0</v>
      </c>
      <c r="F45" s="546">
        <v>0</v>
      </c>
      <c r="G45" s="546">
        <v>0</v>
      </c>
      <c r="H45" s="546">
        <v>0</v>
      </c>
      <c r="I45" s="544">
        <f t="shared" si="4"/>
        <v>0</v>
      </c>
      <c r="J45" s="545">
        <v>0</v>
      </c>
      <c r="K45" s="546">
        <v>0</v>
      </c>
      <c r="L45" s="546">
        <v>0</v>
      </c>
      <c r="M45" s="546">
        <v>0</v>
      </c>
      <c r="N45" s="544">
        <f t="shared" si="5"/>
        <v>0</v>
      </c>
      <c r="O45" s="545">
        <v>0</v>
      </c>
      <c r="P45" s="546">
        <v>0</v>
      </c>
      <c r="Q45" s="544">
        <f t="shared" si="6"/>
        <v>0</v>
      </c>
      <c r="R45" s="545">
        <v>0</v>
      </c>
      <c r="S45" s="546">
        <v>0</v>
      </c>
      <c r="T45" s="546">
        <v>0</v>
      </c>
      <c r="U45" s="546">
        <v>0</v>
      </c>
      <c r="V45" s="546">
        <v>0</v>
      </c>
      <c r="W45" s="546">
        <v>0</v>
      </c>
      <c r="X45" s="544">
        <f t="shared" si="7"/>
        <v>0</v>
      </c>
      <c r="Y45" s="545">
        <v>0</v>
      </c>
      <c r="Z45" s="546">
        <v>0</v>
      </c>
      <c r="AA45" s="546">
        <v>0</v>
      </c>
      <c r="AB45" s="544">
        <f t="shared" si="1"/>
        <v>0</v>
      </c>
      <c r="AC45" s="547">
        <f t="shared" si="30"/>
        <v>0</v>
      </c>
      <c r="AD45" s="604" t="s">
        <v>816</v>
      </c>
      <c r="AE45" s="605" t="s">
        <v>816</v>
      </c>
      <c r="AF45" s="606">
        <f t="shared" si="9"/>
        <v>0</v>
      </c>
      <c r="AG45" s="604" t="s">
        <v>816</v>
      </c>
      <c r="AH45" s="605" t="s">
        <v>816</v>
      </c>
      <c r="AI45" s="605" t="s">
        <v>816</v>
      </c>
      <c r="AJ45" s="605" t="s">
        <v>816</v>
      </c>
      <c r="AK45" s="605" t="s">
        <v>816</v>
      </c>
      <c r="AL45" s="605" t="s">
        <v>816</v>
      </c>
      <c r="AM45" s="605" t="s">
        <v>816</v>
      </c>
      <c r="AN45" s="605" t="s">
        <v>816</v>
      </c>
      <c r="AO45" s="605" t="s">
        <v>816</v>
      </c>
      <c r="AP45" s="605" t="s">
        <v>816</v>
      </c>
      <c r="AQ45" s="606">
        <f t="shared" si="10"/>
        <v>0</v>
      </c>
      <c r="AR45" s="604" t="s">
        <v>816</v>
      </c>
      <c r="AS45" s="605" t="s">
        <v>816</v>
      </c>
      <c r="AT45" s="605" t="s">
        <v>816</v>
      </c>
      <c r="AU45" s="606">
        <f t="shared" si="11"/>
        <v>0</v>
      </c>
      <c r="AV45" s="604" t="s">
        <v>816</v>
      </c>
      <c r="AW45" s="605" t="s">
        <v>816</v>
      </c>
      <c r="AX45" s="605" t="s">
        <v>816</v>
      </c>
      <c r="AY45" s="605" t="s">
        <v>816</v>
      </c>
      <c r="AZ45" s="605" t="s">
        <v>816</v>
      </c>
      <c r="BA45" s="606">
        <f t="shared" si="12"/>
        <v>0</v>
      </c>
      <c r="BB45" s="604" t="s">
        <v>816</v>
      </c>
      <c r="BC45" s="605" t="s">
        <v>816</v>
      </c>
      <c r="BD45" s="605" t="s">
        <v>816</v>
      </c>
      <c r="BE45" s="605" t="s">
        <v>816</v>
      </c>
      <c r="BF45" s="605" t="s">
        <v>816</v>
      </c>
      <c r="BG45" s="605" t="s">
        <v>816</v>
      </c>
      <c r="BH45" s="605" t="s">
        <v>816</v>
      </c>
      <c r="BI45" s="606">
        <f t="shared" si="2"/>
        <v>0</v>
      </c>
      <c r="BJ45" s="551">
        <f t="shared" si="31"/>
        <v>0</v>
      </c>
      <c r="BK45" s="607"/>
      <c r="BL45" s="608"/>
      <c r="BM45" s="608"/>
      <c r="BN45" s="608"/>
      <c r="BO45" s="557">
        <f t="shared" si="32"/>
        <v>0</v>
      </c>
      <c r="BP45" s="607"/>
      <c r="BQ45" s="608"/>
      <c r="BR45" s="608"/>
      <c r="BS45" s="557">
        <f t="shared" si="33"/>
        <v>0</v>
      </c>
      <c r="BT45" s="607"/>
      <c r="BU45" s="557">
        <f t="shared" si="16"/>
        <v>0</v>
      </c>
      <c r="BV45" s="607"/>
      <c r="BW45" s="608"/>
      <c r="BX45" s="608"/>
      <c r="BY45" s="608"/>
      <c r="BZ45" s="608"/>
      <c r="CA45" s="608"/>
      <c r="CB45" s="608"/>
      <c r="CC45" s="608"/>
      <c r="CD45" s="608"/>
      <c r="CE45" s="557">
        <f t="shared" si="17"/>
        <v>0</v>
      </c>
      <c r="CF45" s="607"/>
      <c r="CG45" s="608"/>
      <c r="CH45" s="608"/>
      <c r="CI45" s="608"/>
      <c r="CJ45" s="608"/>
      <c r="CK45" s="608"/>
      <c r="CL45" s="608"/>
      <c r="CM45" s="557">
        <f t="shared" si="18"/>
        <v>0</v>
      </c>
      <c r="CN45" s="607"/>
      <c r="CO45" s="609">
        <f t="shared" si="19"/>
        <v>0</v>
      </c>
      <c r="CP45" s="610">
        <f t="shared" si="3"/>
        <v>0</v>
      </c>
      <c r="CQ45" s="545"/>
      <c r="CR45" s="546"/>
      <c r="CS45" s="544">
        <f t="shared" si="34"/>
        <v>0</v>
      </c>
      <c r="CT45" s="545"/>
      <c r="CU45" s="546"/>
      <c r="CV45" s="546"/>
      <c r="CW45" s="544">
        <f t="shared" si="35"/>
        <v>0</v>
      </c>
      <c r="CX45" s="547">
        <f t="shared" si="36"/>
        <v>0</v>
      </c>
      <c r="CY45" s="611">
        <f t="shared" si="37"/>
        <v>0</v>
      </c>
    </row>
    <row r="46" spans="1:103" s="561" customFormat="1" ht="30" hidden="1">
      <c r="A46" s="538">
        <v>42</v>
      </c>
      <c r="B46" s="602" t="s">
        <v>878</v>
      </c>
      <c r="C46" s="603" t="s">
        <v>879</v>
      </c>
      <c r="D46" s="541" t="s">
        <v>11</v>
      </c>
      <c r="E46" s="545">
        <v>0</v>
      </c>
      <c r="F46" s="546">
        <v>0</v>
      </c>
      <c r="G46" s="546">
        <v>0</v>
      </c>
      <c r="H46" s="546">
        <v>0</v>
      </c>
      <c r="I46" s="544">
        <f t="shared" si="4"/>
        <v>0</v>
      </c>
      <c r="J46" s="545">
        <v>0</v>
      </c>
      <c r="K46" s="546">
        <v>0</v>
      </c>
      <c r="L46" s="546">
        <v>0</v>
      </c>
      <c r="M46" s="546">
        <v>0</v>
      </c>
      <c r="N46" s="544">
        <f t="shared" si="5"/>
        <v>0</v>
      </c>
      <c r="O46" s="545">
        <v>0</v>
      </c>
      <c r="P46" s="546">
        <v>0</v>
      </c>
      <c r="Q46" s="544">
        <f t="shared" si="6"/>
        <v>0</v>
      </c>
      <c r="R46" s="545">
        <v>0</v>
      </c>
      <c r="S46" s="546">
        <v>0</v>
      </c>
      <c r="T46" s="546">
        <v>0</v>
      </c>
      <c r="U46" s="546">
        <v>0</v>
      </c>
      <c r="V46" s="546">
        <v>0</v>
      </c>
      <c r="W46" s="546">
        <v>0</v>
      </c>
      <c r="X46" s="544">
        <f t="shared" si="7"/>
        <v>0</v>
      </c>
      <c r="Y46" s="545">
        <v>0</v>
      </c>
      <c r="Z46" s="546">
        <v>0</v>
      </c>
      <c r="AA46" s="546">
        <v>0</v>
      </c>
      <c r="AB46" s="544">
        <f t="shared" si="1"/>
        <v>0</v>
      </c>
      <c r="AC46" s="547">
        <f t="shared" si="30"/>
        <v>0</v>
      </c>
      <c r="AD46" s="604" t="s">
        <v>816</v>
      </c>
      <c r="AE46" s="605" t="s">
        <v>816</v>
      </c>
      <c r="AF46" s="606">
        <f t="shared" si="9"/>
        <v>0</v>
      </c>
      <c r="AG46" s="604" t="s">
        <v>816</v>
      </c>
      <c r="AH46" s="605" t="s">
        <v>816</v>
      </c>
      <c r="AI46" s="605" t="s">
        <v>816</v>
      </c>
      <c r="AJ46" s="605" t="s">
        <v>816</v>
      </c>
      <c r="AK46" s="605" t="s">
        <v>816</v>
      </c>
      <c r="AL46" s="605" t="s">
        <v>816</v>
      </c>
      <c r="AM46" s="605" t="s">
        <v>816</v>
      </c>
      <c r="AN46" s="605" t="s">
        <v>816</v>
      </c>
      <c r="AO46" s="605" t="s">
        <v>816</v>
      </c>
      <c r="AP46" s="605" t="s">
        <v>816</v>
      </c>
      <c r="AQ46" s="606">
        <f t="shared" si="10"/>
        <v>0</v>
      </c>
      <c r="AR46" s="604" t="s">
        <v>816</v>
      </c>
      <c r="AS46" s="605" t="s">
        <v>816</v>
      </c>
      <c r="AT46" s="605" t="s">
        <v>816</v>
      </c>
      <c r="AU46" s="606">
        <f t="shared" si="11"/>
        <v>0</v>
      </c>
      <c r="AV46" s="604" t="s">
        <v>816</v>
      </c>
      <c r="AW46" s="605" t="s">
        <v>816</v>
      </c>
      <c r="AX46" s="605" t="s">
        <v>816</v>
      </c>
      <c r="AY46" s="605" t="s">
        <v>816</v>
      </c>
      <c r="AZ46" s="605" t="s">
        <v>816</v>
      </c>
      <c r="BA46" s="606">
        <f t="shared" si="12"/>
        <v>0</v>
      </c>
      <c r="BB46" s="604" t="s">
        <v>816</v>
      </c>
      <c r="BC46" s="605" t="s">
        <v>816</v>
      </c>
      <c r="BD46" s="605" t="s">
        <v>816</v>
      </c>
      <c r="BE46" s="605" t="s">
        <v>816</v>
      </c>
      <c r="BF46" s="605" t="s">
        <v>816</v>
      </c>
      <c r="BG46" s="605" t="s">
        <v>816</v>
      </c>
      <c r="BH46" s="605" t="s">
        <v>816</v>
      </c>
      <c r="BI46" s="606">
        <f t="shared" si="2"/>
        <v>0</v>
      </c>
      <c r="BJ46" s="551">
        <f t="shared" si="31"/>
        <v>0</v>
      </c>
      <c r="BK46" s="607"/>
      <c r="BL46" s="608"/>
      <c r="BM46" s="608"/>
      <c r="BN46" s="608"/>
      <c r="BO46" s="557">
        <f t="shared" si="32"/>
        <v>0</v>
      </c>
      <c r="BP46" s="607"/>
      <c r="BQ46" s="608"/>
      <c r="BR46" s="608"/>
      <c r="BS46" s="557">
        <f t="shared" si="33"/>
        <v>0</v>
      </c>
      <c r="BT46" s="607"/>
      <c r="BU46" s="557">
        <f t="shared" si="16"/>
        <v>0</v>
      </c>
      <c r="BV46" s="607"/>
      <c r="BW46" s="608"/>
      <c r="BX46" s="608"/>
      <c r="BY46" s="608"/>
      <c r="BZ46" s="608"/>
      <c r="CA46" s="608"/>
      <c r="CB46" s="608"/>
      <c r="CC46" s="608"/>
      <c r="CD46" s="608"/>
      <c r="CE46" s="557">
        <f t="shared" si="17"/>
        <v>0</v>
      </c>
      <c r="CF46" s="607"/>
      <c r="CG46" s="608"/>
      <c r="CH46" s="608"/>
      <c r="CI46" s="608"/>
      <c r="CJ46" s="608"/>
      <c r="CK46" s="608"/>
      <c r="CL46" s="608"/>
      <c r="CM46" s="557">
        <f t="shared" si="18"/>
        <v>0</v>
      </c>
      <c r="CN46" s="607"/>
      <c r="CO46" s="609">
        <f t="shared" si="19"/>
        <v>0</v>
      </c>
      <c r="CP46" s="610">
        <f t="shared" si="3"/>
        <v>0</v>
      </c>
      <c r="CQ46" s="545"/>
      <c r="CR46" s="546"/>
      <c r="CS46" s="544">
        <f t="shared" si="34"/>
        <v>0</v>
      </c>
      <c r="CT46" s="545"/>
      <c r="CU46" s="546"/>
      <c r="CV46" s="546"/>
      <c r="CW46" s="544">
        <f t="shared" si="35"/>
        <v>0</v>
      </c>
      <c r="CX46" s="547">
        <f t="shared" si="36"/>
        <v>0</v>
      </c>
      <c r="CY46" s="611">
        <f t="shared" si="37"/>
        <v>0</v>
      </c>
    </row>
    <row r="47" spans="1:103" s="561" customFormat="1" ht="30" hidden="1">
      <c r="A47" s="538">
        <v>43</v>
      </c>
      <c r="B47" s="602" t="s">
        <v>880</v>
      </c>
      <c r="C47" s="603" t="s">
        <v>881</v>
      </c>
      <c r="D47" s="541" t="s">
        <v>11</v>
      </c>
      <c r="E47" s="545">
        <v>0</v>
      </c>
      <c r="F47" s="546">
        <v>0</v>
      </c>
      <c r="G47" s="546">
        <v>0</v>
      </c>
      <c r="H47" s="546">
        <v>0</v>
      </c>
      <c r="I47" s="544">
        <f t="shared" si="4"/>
        <v>0</v>
      </c>
      <c r="J47" s="545">
        <v>0</v>
      </c>
      <c r="K47" s="546">
        <v>0</v>
      </c>
      <c r="L47" s="546">
        <v>0</v>
      </c>
      <c r="M47" s="546">
        <v>0</v>
      </c>
      <c r="N47" s="544">
        <f t="shared" si="5"/>
        <v>0</v>
      </c>
      <c r="O47" s="545">
        <v>0</v>
      </c>
      <c r="P47" s="546">
        <v>0</v>
      </c>
      <c r="Q47" s="544">
        <f t="shared" si="6"/>
        <v>0</v>
      </c>
      <c r="R47" s="545">
        <v>0</v>
      </c>
      <c r="S47" s="546">
        <v>0</v>
      </c>
      <c r="T47" s="546">
        <v>0</v>
      </c>
      <c r="U47" s="546">
        <v>0</v>
      </c>
      <c r="V47" s="546">
        <v>0</v>
      </c>
      <c r="W47" s="546">
        <v>0</v>
      </c>
      <c r="X47" s="544">
        <f t="shared" si="7"/>
        <v>0</v>
      </c>
      <c r="Y47" s="545">
        <v>0</v>
      </c>
      <c r="Z47" s="546">
        <v>0</v>
      </c>
      <c r="AA47" s="546">
        <v>0</v>
      </c>
      <c r="AB47" s="544">
        <f t="shared" si="1"/>
        <v>0</v>
      </c>
      <c r="AC47" s="547">
        <f t="shared" si="30"/>
        <v>0</v>
      </c>
      <c r="AD47" s="604" t="s">
        <v>816</v>
      </c>
      <c r="AE47" s="605" t="s">
        <v>816</v>
      </c>
      <c r="AF47" s="606">
        <f t="shared" si="9"/>
        <v>0</v>
      </c>
      <c r="AG47" s="604" t="s">
        <v>816</v>
      </c>
      <c r="AH47" s="605" t="s">
        <v>816</v>
      </c>
      <c r="AI47" s="605" t="s">
        <v>816</v>
      </c>
      <c r="AJ47" s="605" t="s">
        <v>816</v>
      </c>
      <c r="AK47" s="605" t="s">
        <v>816</v>
      </c>
      <c r="AL47" s="605" t="s">
        <v>816</v>
      </c>
      <c r="AM47" s="605" t="s">
        <v>816</v>
      </c>
      <c r="AN47" s="605" t="s">
        <v>816</v>
      </c>
      <c r="AO47" s="605" t="s">
        <v>816</v>
      </c>
      <c r="AP47" s="605" t="s">
        <v>816</v>
      </c>
      <c r="AQ47" s="606">
        <f t="shared" si="10"/>
        <v>0</v>
      </c>
      <c r="AR47" s="604" t="s">
        <v>816</v>
      </c>
      <c r="AS47" s="605" t="s">
        <v>816</v>
      </c>
      <c r="AT47" s="605" t="s">
        <v>816</v>
      </c>
      <c r="AU47" s="606">
        <f t="shared" si="11"/>
        <v>0</v>
      </c>
      <c r="AV47" s="604" t="s">
        <v>816</v>
      </c>
      <c r="AW47" s="605" t="s">
        <v>816</v>
      </c>
      <c r="AX47" s="605" t="s">
        <v>816</v>
      </c>
      <c r="AY47" s="605" t="s">
        <v>816</v>
      </c>
      <c r="AZ47" s="605" t="s">
        <v>816</v>
      </c>
      <c r="BA47" s="606">
        <f t="shared" si="12"/>
        <v>0</v>
      </c>
      <c r="BB47" s="604" t="s">
        <v>816</v>
      </c>
      <c r="BC47" s="605" t="s">
        <v>816</v>
      </c>
      <c r="BD47" s="605" t="s">
        <v>816</v>
      </c>
      <c r="BE47" s="605" t="s">
        <v>816</v>
      </c>
      <c r="BF47" s="605" t="s">
        <v>816</v>
      </c>
      <c r="BG47" s="605" t="s">
        <v>816</v>
      </c>
      <c r="BH47" s="605" t="s">
        <v>816</v>
      </c>
      <c r="BI47" s="606">
        <f t="shared" si="2"/>
        <v>0</v>
      </c>
      <c r="BJ47" s="551">
        <f t="shared" si="31"/>
        <v>0</v>
      </c>
      <c r="BK47" s="607"/>
      <c r="BL47" s="608"/>
      <c r="BM47" s="608"/>
      <c r="BN47" s="608"/>
      <c r="BO47" s="557">
        <f t="shared" si="32"/>
        <v>0</v>
      </c>
      <c r="BP47" s="607"/>
      <c r="BQ47" s="608"/>
      <c r="BR47" s="608"/>
      <c r="BS47" s="557">
        <f t="shared" si="33"/>
        <v>0</v>
      </c>
      <c r="BT47" s="607"/>
      <c r="BU47" s="557">
        <f t="shared" si="16"/>
        <v>0</v>
      </c>
      <c r="BV47" s="607"/>
      <c r="BW47" s="608"/>
      <c r="BX47" s="608"/>
      <c r="BY47" s="608"/>
      <c r="BZ47" s="608"/>
      <c r="CA47" s="608"/>
      <c r="CB47" s="608"/>
      <c r="CC47" s="608"/>
      <c r="CD47" s="608"/>
      <c r="CE47" s="557">
        <f t="shared" si="17"/>
        <v>0</v>
      </c>
      <c r="CF47" s="607"/>
      <c r="CG47" s="608"/>
      <c r="CH47" s="608"/>
      <c r="CI47" s="608"/>
      <c r="CJ47" s="608"/>
      <c r="CK47" s="608"/>
      <c r="CL47" s="608"/>
      <c r="CM47" s="557">
        <f t="shared" si="18"/>
        <v>0</v>
      </c>
      <c r="CN47" s="607"/>
      <c r="CO47" s="609">
        <f t="shared" si="19"/>
        <v>0</v>
      </c>
      <c r="CP47" s="610">
        <f t="shared" si="3"/>
        <v>0</v>
      </c>
      <c r="CQ47" s="545"/>
      <c r="CR47" s="546"/>
      <c r="CS47" s="544">
        <f t="shared" si="34"/>
        <v>0</v>
      </c>
      <c r="CT47" s="545"/>
      <c r="CU47" s="546"/>
      <c r="CV47" s="546"/>
      <c r="CW47" s="544">
        <f t="shared" si="35"/>
        <v>0</v>
      </c>
      <c r="CX47" s="547">
        <f t="shared" si="36"/>
        <v>0</v>
      </c>
      <c r="CY47" s="611">
        <f t="shared" si="37"/>
        <v>0</v>
      </c>
    </row>
    <row r="48" spans="1:103" s="561" customFormat="1" ht="30">
      <c r="A48" s="538">
        <v>44</v>
      </c>
      <c r="B48" s="602" t="s">
        <v>558</v>
      </c>
      <c r="C48" s="603" t="s">
        <v>882</v>
      </c>
      <c r="D48" s="541" t="s">
        <v>11</v>
      </c>
      <c r="E48" s="545">
        <v>0</v>
      </c>
      <c r="F48" s="546">
        <v>0</v>
      </c>
      <c r="G48" s="546">
        <v>0</v>
      </c>
      <c r="H48" s="546">
        <v>0</v>
      </c>
      <c r="I48" s="544">
        <f t="shared" si="4"/>
        <v>0</v>
      </c>
      <c r="J48" s="545">
        <v>0</v>
      </c>
      <c r="K48" s="546">
        <v>0</v>
      </c>
      <c r="L48" s="546">
        <v>0</v>
      </c>
      <c r="M48" s="546">
        <v>0</v>
      </c>
      <c r="N48" s="544">
        <f t="shared" si="5"/>
        <v>0</v>
      </c>
      <c r="O48" s="545">
        <v>0</v>
      </c>
      <c r="P48" s="546">
        <v>40</v>
      </c>
      <c r="Q48" s="544">
        <f t="shared" si="6"/>
        <v>40</v>
      </c>
      <c r="R48" s="545">
        <v>0</v>
      </c>
      <c r="S48" s="546">
        <v>0</v>
      </c>
      <c r="T48" s="546">
        <v>0</v>
      </c>
      <c r="U48" s="546">
        <v>0</v>
      </c>
      <c r="V48" s="546">
        <v>0</v>
      </c>
      <c r="W48" s="546">
        <v>0</v>
      </c>
      <c r="X48" s="544">
        <f t="shared" si="7"/>
        <v>0</v>
      </c>
      <c r="Y48" s="545">
        <v>0</v>
      </c>
      <c r="Z48" s="546">
        <v>0</v>
      </c>
      <c r="AA48" s="546">
        <v>0</v>
      </c>
      <c r="AB48" s="544">
        <f t="shared" si="1"/>
        <v>0</v>
      </c>
      <c r="AC48" s="547">
        <f t="shared" si="30"/>
        <v>40</v>
      </c>
      <c r="AD48" s="604" t="s">
        <v>816</v>
      </c>
      <c r="AE48" s="605" t="s">
        <v>816</v>
      </c>
      <c r="AF48" s="606">
        <f t="shared" si="9"/>
        <v>0</v>
      </c>
      <c r="AG48" s="604" t="s">
        <v>816</v>
      </c>
      <c r="AH48" s="605" t="s">
        <v>816</v>
      </c>
      <c r="AI48" s="605" t="s">
        <v>816</v>
      </c>
      <c r="AJ48" s="605" t="s">
        <v>816</v>
      </c>
      <c r="AK48" s="605" t="s">
        <v>816</v>
      </c>
      <c r="AL48" s="605" t="s">
        <v>816</v>
      </c>
      <c r="AM48" s="605" t="s">
        <v>816</v>
      </c>
      <c r="AN48" s="605" t="s">
        <v>816</v>
      </c>
      <c r="AO48" s="605" t="s">
        <v>816</v>
      </c>
      <c r="AP48" s="605" t="s">
        <v>816</v>
      </c>
      <c r="AQ48" s="606">
        <f t="shared" si="10"/>
        <v>0</v>
      </c>
      <c r="AR48" s="604" t="s">
        <v>816</v>
      </c>
      <c r="AS48" s="605" t="s">
        <v>816</v>
      </c>
      <c r="AT48" s="605" t="s">
        <v>816</v>
      </c>
      <c r="AU48" s="606">
        <f t="shared" si="11"/>
        <v>0</v>
      </c>
      <c r="AV48" s="604" t="s">
        <v>816</v>
      </c>
      <c r="AW48" s="605" t="s">
        <v>816</v>
      </c>
      <c r="AX48" s="605" t="s">
        <v>816</v>
      </c>
      <c r="AY48" s="605" t="s">
        <v>816</v>
      </c>
      <c r="AZ48" s="605" t="s">
        <v>816</v>
      </c>
      <c r="BA48" s="606">
        <f t="shared" si="12"/>
        <v>0</v>
      </c>
      <c r="BB48" s="604" t="s">
        <v>816</v>
      </c>
      <c r="BC48" s="605" t="s">
        <v>816</v>
      </c>
      <c r="BD48" s="605" t="s">
        <v>816</v>
      </c>
      <c r="BE48" s="605" t="s">
        <v>816</v>
      </c>
      <c r="BF48" s="605" t="s">
        <v>816</v>
      </c>
      <c r="BG48" s="605" t="s">
        <v>816</v>
      </c>
      <c r="BH48" s="605" t="s">
        <v>816</v>
      </c>
      <c r="BI48" s="606">
        <f t="shared" si="2"/>
        <v>0</v>
      </c>
      <c r="BJ48" s="551">
        <f t="shared" si="31"/>
        <v>0</v>
      </c>
      <c r="BK48" s="607"/>
      <c r="BL48" s="608"/>
      <c r="BM48" s="608"/>
      <c r="BN48" s="608"/>
      <c r="BO48" s="557">
        <f t="shared" si="32"/>
        <v>0</v>
      </c>
      <c r="BP48" s="607"/>
      <c r="BQ48" s="608"/>
      <c r="BR48" s="608"/>
      <c r="BS48" s="557">
        <f t="shared" si="33"/>
        <v>0</v>
      </c>
      <c r="BT48" s="607"/>
      <c r="BU48" s="557">
        <f t="shared" si="16"/>
        <v>0</v>
      </c>
      <c r="BV48" s="607"/>
      <c r="BW48" s="608"/>
      <c r="BX48" s="608"/>
      <c r="BY48" s="608"/>
      <c r="BZ48" s="608"/>
      <c r="CA48" s="608"/>
      <c r="CB48" s="608"/>
      <c r="CC48" s="608"/>
      <c r="CD48" s="608"/>
      <c r="CE48" s="557">
        <f t="shared" si="17"/>
        <v>0</v>
      </c>
      <c r="CF48" s="607"/>
      <c r="CG48" s="608"/>
      <c r="CH48" s="608"/>
      <c r="CI48" s="608"/>
      <c r="CJ48" s="608"/>
      <c r="CK48" s="608"/>
      <c r="CL48" s="608"/>
      <c r="CM48" s="557">
        <f t="shared" si="18"/>
        <v>0</v>
      </c>
      <c r="CN48" s="607"/>
      <c r="CO48" s="609">
        <f t="shared" si="19"/>
        <v>0</v>
      </c>
      <c r="CP48" s="610">
        <f t="shared" si="3"/>
        <v>0</v>
      </c>
      <c r="CQ48" s="545"/>
      <c r="CR48" s="546"/>
      <c r="CS48" s="544">
        <f t="shared" si="34"/>
        <v>0</v>
      </c>
      <c r="CT48" s="545"/>
      <c r="CU48" s="546"/>
      <c r="CV48" s="546"/>
      <c r="CW48" s="544">
        <f t="shared" si="35"/>
        <v>0</v>
      </c>
      <c r="CX48" s="547">
        <f t="shared" si="36"/>
        <v>0</v>
      </c>
      <c r="CY48" s="611">
        <f t="shared" si="37"/>
        <v>40</v>
      </c>
    </row>
    <row r="49" spans="1:103" s="561" customFormat="1" ht="30" hidden="1">
      <c r="A49" s="538">
        <v>45</v>
      </c>
      <c r="B49" s="602" t="s">
        <v>558</v>
      </c>
      <c r="C49" s="603" t="s">
        <v>882</v>
      </c>
      <c r="D49" s="541" t="s">
        <v>11</v>
      </c>
      <c r="E49" s="545">
        <v>0</v>
      </c>
      <c r="F49" s="546">
        <v>0</v>
      </c>
      <c r="G49" s="546">
        <v>0</v>
      </c>
      <c r="H49" s="546">
        <v>0</v>
      </c>
      <c r="I49" s="544">
        <f t="shared" si="4"/>
        <v>0</v>
      </c>
      <c r="J49" s="545">
        <v>0</v>
      </c>
      <c r="K49" s="546">
        <v>0</v>
      </c>
      <c r="L49" s="546">
        <v>0</v>
      </c>
      <c r="M49" s="546">
        <v>0</v>
      </c>
      <c r="N49" s="544">
        <f t="shared" si="5"/>
        <v>0</v>
      </c>
      <c r="O49" s="545">
        <v>0</v>
      </c>
      <c r="P49" s="546">
        <v>0</v>
      </c>
      <c r="Q49" s="544">
        <f t="shared" si="6"/>
        <v>0</v>
      </c>
      <c r="R49" s="545">
        <v>0</v>
      </c>
      <c r="S49" s="546">
        <v>0</v>
      </c>
      <c r="T49" s="546">
        <v>0</v>
      </c>
      <c r="U49" s="546">
        <v>0</v>
      </c>
      <c r="V49" s="546">
        <v>0</v>
      </c>
      <c r="W49" s="546">
        <v>0</v>
      </c>
      <c r="X49" s="544">
        <f t="shared" si="7"/>
        <v>0</v>
      </c>
      <c r="Y49" s="545">
        <v>0</v>
      </c>
      <c r="Z49" s="546">
        <v>0</v>
      </c>
      <c r="AA49" s="546">
        <v>0</v>
      </c>
      <c r="AB49" s="544">
        <f t="shared" si="1"/>
        <v>0</v>
      </c>
      <c r="AC49" s="547">
        <f t="shared" si="30"/>
        <v>0</v>
      </c>
      <c r="AD49" s="604" t="s">
        <v>816</v>
      </c>
      <c r="AE49" s="605" t="s">
        <v>816</v>
      </c>
      <c r="AF49" s="606">
        <f t="shared" si="9"/>
        <v>0</v>
      </c>
      <c r="AG49" s="604" t="s">
        <v>816</v>
      </c>
      <c r="AH49" s="605" t="s">
        <v>816</v>
      </c>
      <c r="AI49" s="605" t="s">
        <v>816</v>
      </c>
      <c r="AJ49" s="605" t="s">
        <v>816</v>
      </c>
      <c r="AK49" s="605" t="s">
        <v>816</v>
      </c>
      <c r="AL49" s="605" t="s">
        <v>816</v>
      </c>
      <c r="AM49" s="605" t="s">
        <v>816</v>
      </c>
      <c r="AN49" s="605" t="s">
        <v>816</v>
      </c>
      <c r="AO49" s="605" t="s">
        <v>816</v>
      </c>
      <c r="AP49" s="605" t="s">
        <v>816</v>
      </c>
      <c r="AQ49" s="606">
        <f t="shared" si="10"/>
        <v>0</v>
      </c>
      <c r="AR49" s="604" t="s">
        <v>816</v>
      </c>
      <c r="AS49" s="605" t="s">
        <v>816</v>
      </c>
      <c r="AT49" s="605" t="s">
        <v>816</v>
      </c>
      <c r="AU49" s="606">
        <f t="shared" si="11"/>
        <v>0</v>
      </c>
      <c r="AV49" s="604" t="s">
        <v>816</v>
      </c>
      <c r="AW49" s="605" t="s">
        <v>816</v>
      </c>
      <c r="AX49" s="605" t="s">
        <v>816</v>
      </c>
      <c r="AY49" s="605" t="s">
        <v>816</v>
      </c>
      <c r="AZ49" s="605" t="s">
        <v>816</v>
      </c>
      <c r="BA49" s="606">
        <f t="shared" si="12"/>
        <v>0</v>
      </c>
      <c r="BB49" s="604" t="s">
        <v>816</v>
      </c>
      <c r="BC49" s="605" t="s">
        <v>816</v>
      </c>
      <c r="BD49" s="605" t="s">
        <v>816</v>
      </c>
      <c r="BE49" s="605" t="s">
        <v>816</v>
      </c>
      <c r="BF49" s="605" t="s">
        <v>816</v>
      </c>
      <c r="BG49" s="605" t="s">
        <v>816</v>
      </c>
      <c r="BH49" s="605" t="s">
        <v>816</v>
      </c>
      <c r="BI49" s="606">
        <f t="shared" si="2"/>
        <v>0</v>
      </c>
      <c r="BJ49" s="551">
        <f t="shared" si="31"/>
        <v>0</v>
      </c>
      <c r="BK49" s="607"/>
      <c r="BL49" s="608"/>
      <c r="BM49" s="608"/>
      <c r="BN49" s="608"/>
      <c r="BO49" s="557">
        <f t="shared" si="32"/>
        <v>0</v>
      </c>
      <c r="BP49" s="607"/>
      <c r="BQ49" s="608"/>
      <c r="BR49" s="608"/>
      <c r="BS49" s="557">
        <f t="shared" si="33"/>
        <v>0</v>
      </c>
      <c r="BT49" s="607"/>
      <c r="BU49" s="557">
        <f t="shared" si="16"/>
        <v>0</v>
      </c>
      <c r="BV49" s="607"/>
      <c r="BW49" s="608"/>
      <c r="BX49" s="608"/>
      <c r="BY49" s="608"/>
      <c r="BZ49" s="608"/>
      <c r="CA49" s="608"/>
      <c r="CB49" s="608"/>
      <c r="CC49" s="608"/>
      <c r="CD49" s="608"/>
      <c r="CE49" s="557">
        <f t="shared" si="17"/>
        <v>0</v>
      </c>
      <c r="CF49" s="607"/>
      <c r="CG49" s="608"/>
      <c r="CH49" s="608"/>
      <c r="CI49" s="608"/>
      <c r="CJ49" s="608"/>
      <c r="CK49" s="608"/>
      <c r="CL49" s="608"/>
      <c r="CM49" s="557">
        <f t="shared" si="18"/>
        <v>0</v>
      </c>
      <c r="CN49" s="607"/>
      <c r="CO49" s="609">
        <f t="shared" si="19"/>
        <v>0</v>
      </c>
      <c r="CP49" s="610">
        <f t="shared" si="3"/>
        <v>0</v>
      </c>
      <c r="CQ49" s="545"/>
      <c r="CR49" s="546"/>
      <c r="CS49" s="544">
        <f t="shared" si="34"/>
        <v>0</v>
      </c>
      <c r="CT49" s="545"/>
      <c r="CU49" s="546"/>
      <c r="CV49" s="546"/>
      <c r="CW49" s="544">
        <f t="shared" si="35"/>
        <v>0</v>
      </c>
      <c r="CX49" s="547">
        <f t="shared" si="36"/>
        <v>0</v>
      </c>
      <c r="CY49" s="611">
        <f t="shared" si="37"/>
        <v>0</v>
      </c>
    </row>
    <row r="50" spans="1:103" s="561" customFormat="1">
      <c r="A50" s="538">
        <v>46</v>
      </c>
      <c r="B50" s="602" t="s">
        <v>16</v>
      </c>
      <c r="C50" s="603" t="s">
        <v>10</v>
      </c>
      <c r="D50" s="541" t="s">
        <v>829</v>
      </c>
      <c r="E50" s="545">
        <v>0</v>
      </c>
      <c r="F50" s="546">
        <v>0</v>
      </c>
      <c r="G50" s="546">
        <v>0</v>
      </c>
      <c r="H50" s="546">
        <v>0</v>
      </c>
      <c r="I50" s="544">
        <f t="shared" si="4"/>
        <v>0</v>
      </c>
      <c r="J50" s="545">
        <v>0</v>
      </c>
      <c r="K50" s="546">
        <v>0</v>
      </c>
      <c r="L50" s="546">
        <v>0</v>
      </c>
      <c r="M50" s="546">
        <v>0</v>
      </c>
      <c r="N50" s="544">
        <f t="shared" si="5"/>
        <v>0</v>
      </c>
      <c r="O50" s="545">
        <v>0</v>
      </c>
      <c r="P50" s="546">
        <v>12.92</v>
      </c>
      <c r="Q50" s="544">
        <f t="shared" si="6"/>
        <v>12.92</v>
      </c>
      <c r="R50" s="545">
        <v>0</v>
      </c>
      <c r="S50" s="546">
        <v>0</v>
      </c>
      <c r="T50" s="546">
        <v>0</v>
      </c>
      <c r="U50" s="546">
        <v>0</v>
      </c>
      <c r="V50" s="546">
        <v>0</v>
      </c>
      <c r="W50" s="546">
        <v>0</v>
      </c>
      <c r="X50" s="544">
        <f t="shared" si="7"/>
        <v>0</v>
      </c>
      <c r="Y50" s="545">
        <v>0</v>
      </c>
      <c r="Z50" s="546">
        <v>0</v>
      </c>
      <c r="AA50" s="546">
        <v>8.6303841149125873</v>
      </c>
      <c r="AB50" s="544">
        <f t="shared" si="1"/>
        <v>8.6303841149125873</v>
      </c>
      <c r="AC50" s="547">
        <f t="shared" si="30"/>
        <v>21.550384114912589</v>
      </c>
      <c r="AD50" s="604" t="s">
        <v>816</v>
      </c>
      <c r="AE50" s="605" t="s">
        <v>816</v>
      </c>
      <c r="AF50" s="606">
        <f t="shared" si="9"/>
        <v>0</v>
      </c>
      <c r="AG50" s="604" t="s">
        <v>816</v>
      </c>
      <c r="AH50" s="605" t="s">
        <v>816</v>
      </c>
      <c r="AI50" s="605" t="s">
        <v>816</v>
      </c>
      <c r="AJ50" s="605" t="s">
        <v>816</v>
      </c>
      <c r="AK50" s="605" t="s">
        <v>816</v>
      </c>
      <c r="AL50" s="605" t="s">
        <v>816</v>
      </c>
      <c r="AM50" s="605" t="s">
        <v>816</v>
      </c>
      <c r="AN50" s="605" t="s">
        <v>816</v>
      </c>
      <c r="AO50" s="605" t="s">
        <v>816</v>
      </c>
      <c r="AP50" s="605" t="s">
        <v>816</v>
      </c>
      <c r="AQ50" s="606">
        <f t="shared" si="10"/>
        <v>0</v>
      </c>
      <c r="AR50" s="604" t="s">
        <v>816</v>
      </c>
      <c r="AS50" s="605" t="s">
        <v>816</v>
      </c>
      <c r="AT50" s="605" t="s">
        <v>816</v>
      </c>
      <c r="AU50" s="606">
        <f t="shared" si="11"/>
        <v>0</v>
      </c>
      <c r="AV50" s="604" t="s">
        <v>816</v>
      </c>
      <c r="AW50" s="605" t="s">
        <v>816</v>
      </c>
      <c r="AX50" s="605" t="s">
        <v>816</v>
      </c>
      <c r="AY50" s="605" t="s">
        <v>816</v>
      </c>
      <c r="AZ50" s="605" t="s">
        <v>816</v>
      </c>
      <c r="BA50" s="606">
        <f t="shared" si="12"/>
        <v>0</v>
      </c>
      <c r="BB50" s="604" t="s">
        <v>816</v>
      </c>
      <c r="BC50" s="605" t="s">
        <v>816</v>
      </c>
      <c r="BD50" s="605" t="s">
        <v>816</v>
      </c>
      <c r="BE50" s="605" t="s">
        <v>816</v>
      </c>
      <c r="BF50" s="605" t="s">
        <v>816</v>
      </c>
      <c r="BG50" s="605" t="s">
        <v>816</v>
      </c>
      <c r="BH50" s="605" t="s">
        <v>816</v>
      </c>
      <c r="BI50" s="606">
        <f t="shared" si="2"/>
        <v>0</v>
      </c>
      <c r="BJ50" s="551">
        <f t="shared" si="31"/>
        <v>0</v>
      </c>
      <c r="BK50" s="607"/>
      <c r="BL50" s="608"/>
      <c r="BM50" s="608"/>
      <c r="BN50" s="608"/>
      <c r="BO50" s="557">
        <f t="shared" si="32"/>
        <v>0</v>
      </c>
      <c r="BP50" s="607"/>
      <c r="BQ50" s="608"/>
      <c r="BR50" s="608"/>
      <c r="BS50" s="557">
        <f t="shared" si="33"/>
        <v>0</v>
      </c>
      <c r="BT50" s="607">
        <v>132.30000000000001</v>
      </c>
      <c r="BU50" s="557">
        <f t="shared" si="16"/>
        <v>132.30000000000001</v>
      </c>
      <c r="BV50" s="607"/>
      <c r="BW50" s="608"/>
      <c r="BX50" s="608"/>
      <c r="BY50" s="608"/>
      <c r="BZ50" s="608"/>
      <c r="CA50" s="608"/>
      <c r="CB50" s="608"/>
      <c r="CC50" s="608"/>
      <c r="CD50" s="608"/>
      <c r="CE50" s="557">
        <f t="shared" si="17"/>
        <v>0</v>
      </c>
      <c r="CF50" s="607"/>
      <c r="CG50" s="608"/>
      <c r="CH50" s="608"/>
      <c r="CI50" s="608"/>
      <c r="CJ50" s="608"/>
      <c r="CK50" s="608"/>
      <c r="CL50" s="608"/>
      <c r="CM50" s="557">
        <f t="shared" si="18"/>
        <v>0</v>
      </c>
      <c r="CN50" s="607"/>
      <c r="CO50" s="609">
        <f t="shared" si="19"/>
        <v>0</v>
      </c>
      <c r="CP50" s="610">
        <f t="shared" si="3"/>
        <v>132.30000000000001</v>
      </c>
      <c r="CQ50" s="545"/>
      <c r="CR50" s="546"/>
      <c r="CS50" s="544">
        <f t="shared" si="34"/>
        <v>0</v>
      </c>
      <c r="CT50" s="545"/>
      <c r="CU50" s="546"/>
      <c r="CV50" s="546"/>
      <c r="CW50" s="544">
        <f t="shared" si="35"/>
        <v>0</v>
      </c>
      <c r="CX50" s="547">
        <f t="shared" si="36"/>
        <v>0</v>
      </c>
      <c r="CY50" s="611">
        <f t="shared" si="37"/>
        <v>153.8503841149126</v>
      </c>
    </row>
    <row r="51" spans="1:103" s="561" customFormat="1">
      <c r="A51" s="538">
        <v>47</v>
      </c>
      <c r="B51" s="602" t="s">
        <v>883</v>
      </c>
      <c r="C51" s="603" t="s">
        <v>884</v>
      </c>
      <c r="D51" s="541" t="s">
        <v>78</v>
      </c>
      <c r="E51" s="545">
        <v>0</v>
      </c>
      <c r="F51" s="546">
        <v>0</v>
      </c>
      <c r="G51" s="546">
        <v>0</v>
      </c>
      <c r="H51" s="546">
        <v>0</v>
      </c>
      <c r="I51" s="544">
        <f t="shared" si="4"/>
        <v>0</v>
      </c>
      <c r="J51" s="545">
        <v>0</v>
      </c>
      <c r="K51" s="546">
        <v>0</v>
      </c>
      <c r="L51" s="546">
        <v>0</v>
      </c>
      <c r="M51" s="546">
        <v>0</v>
      </c>
      <c r="N51" s="544">
        <f t="shared" si="5"/>
        <v>0</v>
      </c>
      <c r="O51" s="545">
        <v>0</v>
      </c>
      <c r="P51" s="546">
        <v>974.38</v>
      </c>
      <c r="Q51" s="544">
        <f t="shared" si="6"/>
        <v>974.38</v>
      </c>
      <c r="R51" s="545">
        <v>0</v>
      </c>
      <c r="S51" s="546">
        <v>0</v>
      </c>
      <c r="T51" s="546">
        <v>0</v>
      </c>
      <c r="U51" s="546">
        <v>0</v>
      </c>
      <c r="V51" s="546">
        <v>0</v>
      </c>
      <c r="W51" s="546">
        <v>0</v>
      </c>
      <c r="X51" s="544">
        <f t="shared" si="7"/>
        <v>0</v>
      </c>
      <c r="Y51" s="545">
        <v>0</v>
      </c>
      <c r="Z51" s="546">
        <v>0</v>
      </c>
      <c r="AA51" s="546">
        <v>2157.5960287281468</v>
      </c>
      <c r="AB51" s="544">
        <f t="shared" si="1"/>
        <v>2157.5960287281468</v>
      </c>
      <c r="AC51" s="547">
        <f t="shared" si="30"/>
        <v>3131.976028728147</v>
      </c>
      <c r="AD51" s="604" t="s">
        <v>816</v>
      </c>
      <c r="AE51" s="605" t="s">
        <v>816</v>
      </c>
      <c r="AF51" s="606">
        <f t="shared" si="9"/>
        <v>0</v>
      </c>
      <c r="AG51" s="604" t="s">
        <v>816</v>
      </c>
      <c r="AH51" s="605" t="s">
        <v>816</v>
      </c>
      <c r="AI51" s="605" t="s">
        <v>816</v>
      </c>
      <c r="AJ51" s="605" t="s">
        <v>816</v>
      </c>
      <c r="AK51" s="605" t="s">
        <v>816</v>
      </c>
      <c r="AL51" s="605" t="s">
        <v>816</v>
      </c>
      <c r="AM51" s="605" t="s">
        <v>816</v>
      </c>
      <c r="AN51" s="605" t="s">
        <v>816</v>
      </c>
      <c r="AO51" s="605" t="s">
        <v>816</v>
      </c>
      <c r="AP51" s="605" t="s">
        <v>816</v>
      </c>
      <c r="AQ51" s="606">
        <f t="shared" si="10"/>
        <v>0</v>
      </c>
      <c r="AR51" s="604" t="s">
        <v>816</v>
      </c>
      <c r="AS51" s="605" t="s">
        <v>816</v>
      </c>
      <c r="AT51" s="605" t="s">
        <v>816</v>
      </c>
      <c r="AU51" s="606">
        <f t="shared" si="11"/>
        <v>0</v>
      </c>
      <c r="AV51" s="604" t="s">
        <v>816</v>
      </c>
      <c r="AW51" s="605" t="s">
        <v>816</v>
      </c>
      <c r="AX51" s="605" t="s">
        <v>816</v>
      </c>
      <c r="AY51" s="605" t="s">
        <v>816</v>
      </c>
      <c r="AZ51" s="605" t="s">
        <v>816</v>
      </c>
      <c r="BA51" s="606">
        <f t="shared" si="12"/>
        <v>0</v>
      </c>
      <c r="BB51" s="604" t="s">
        <v>816</v>
      </c>
      <c r="BC51" s="605" t="s">
        <v>816</v>
      </c>
      <c r="BD51" s="605" t="s">
        <v>816</v>
      </c>
      <c r="BE51" s="605" t="s">
        <v>816</v>
      </c>
      <c r="BF51" s="605" t="s">
        <v>816</v>
      </c>
      <c r="BG51" s="605" t="s">
        <v>816</v>
      </c>
      <c r="BH51" s="605" t="s">
        <v>816</v>
      </c>
      <c r="BI51" s="606">
        <f t="shared" si="2"/>
        <v>0</v>
      </c>
      <c r="BJ51" s="551">
        <f t="shared" si="31"/>
        <v>0</v>
      </c>
      <c r="BK51" s="607"/>
      <c r="BL51" s="608"/>
      <c r="BM51" s="608"/>
      <c r="BN51" s="608"/>
      <c r="BO51" s="557">
        <f t="shared" si="32"/>
        <v>0</v>
      </c>
      <c r="BP51" s="607"/>
      <c r="BQ51" s="608"/>
      <c r="BR51" s="608"/>
      <c r="BS51" s="557">
        <f t="shared" si="33"/>
        <v>0</v>
      </c>
      <c r="BT51" s="607"/>
      <c r="BU51" s="557">
        <f t="shared" si="16"/>
        <v>0</v>
      </c>
      <c r="BV51" s="607"/>
      <c r="BW51" s="608"/>
      <c r="BX51" s="608"/>
      <c r="BY51" s="608"/>
      <c r="BZ51" s="608"/>
      <c r="CA51" s="608"/>
      <c r="CB51" s="608"/>
      <c r="CC51" s="608"/>
      <c r="CD51" s="608"/>
      <c r="CE51" s="557">
        <f t="shared" si="17"/>
        <v>0</v>
      </c>
      <c r="CF51" s="607"/>
      <c r="CG51" s="608"/>
      <c r="CH51" s="608"/>
      <c r="CI51" s="608"/>
      <c r="CJ51" s="608"/>
      <c r="CK51" s="608"/>
      <c r="CL51" s="608"/>
      <c r="CM51" s="557">
        <f t="shared" si="18"/>
        <v>0</v>
      </c>
      <c r="CN51" s="607"/>
      <c r="CO51" s="609">
        <f t="shared" si="19"/>
        <v>0</v>
      </c>
      <c r="CP51" s="610">
        <f t="shared" si="3"/>
        <v>0</v>
      </c>
      <c r="CQ51" s="545"/>
      <c r="CR51" s="546"/>
      <c r="CS51" s="544">
        <f t="shared" si="34"/>
        <v>0</v>
      </c>
      <c r="CT51" s="545"/>
      <c r="CU51" s="546"/>
      <c r="CV51" s="546"/>
      <c r="CW51" s="544">
        <f t="shared" si="35"/>
        <v>0</v>
      </c>
      <c r="CX51" s="547">
        <f t="shared" si="36"/>
        <v>0</v>
      </c>
      <c r="CY51" s="611">
        <f t="shared" si="37"/>
        <v>3131.976028728147</v>
      </c>
    </row>
    <row r="52" spans="1:103" s="561" customFormat="1" ht="30">
      <c r="A52" s="538">
        <v>48</v>
      </c>
      <c r="B52" s="602" t="s">
        <v>698</v>
      </c>
      <c r="C52" s="603" t="s">
        <v>885</v>
      </c>
      <c r="D52" s="541" t="s">
        <v>829</v>
      </c>
      <c r="E52" s="545">
        <v>0</v>
      </c>
      <c r="F52" s="546">
        <v>0</v>
      </c>
      <c r="G52" s="546">
        <v>0</v>
      </c>
      <c r="H52" s="546">
        <v>0</v>
      </c>
      <c r="I52" s="544">
        <f t="shared" si="4"/>
        <v>0</v>
      </c>
      <c r="J52" s="545">
        <v>0</v>
      </c>
      <c r="K52" s="546">
        <v>0</v>
      </c>
      <c r="L52" s="546">
        <v>0</v>
      </c>
      <c r="M52" s="546">
        <v>0</v>
      </c>
      <c r="N52" s="544">
        <f t="shared" si="5"/>
        <v>0</v>
      </c>
      <c r="O52" s="545">
        <v>0</v>
      </c>
      <c r="P52" s="546">
        <v>0</v>
      </c>
      <c r="Q52" s="544">
        <f t="shared" si="6"/>
        <v>0</v>
      </c>
      <c r="R52" s="545">
        <v>0</v>
      </c>
      <c r="S52" s="546">
        <v>0</v>
      </c>
      <c r="T52" s="546">
        <v>0</v>
      </c>
      <c r="U52" s="546">
        <v>0</v>
      </c>
      <c r="V52" s="546">
        <v>0</v>
      </c>
      <c r="W52" s="546">
        <v>0</v>
      </c>
      <c r="X52" s="544">
        <f t="shared" si="7"/>
        <v>0</v>
      </c>
      <c r="Y52" s="545">
        <v>0</v>
      </c>
      <c r="Z52" s="546">
        <v>0</v>
      </c>
      <c r="AA52" s="546">
        <v>6.3</v>
      </c>
      <c r="AB52" s="544">
        <f t="shared" si="1"/>
        <v>6.3</v>
      </c>
      <c r="AC52" s="547">
        <f t="shared" si="30"/>
        <v>6.3</v>
      </c>
      <c r="AD52" s="604" t="s">
        <v>816</v>
      </c>
      <c r="AE52" s="605" t="s">
        <v>816</v>
      </c>
      <c r="AF52" s="606">
        <f t="shared" si="9"/>
        <v>0</v>
      </c>
      <c r="AG52" s="604" t="s">
        <v>816</v>
      </c>
      <c r="AH52" s="605" t="s">
        <v>816</v>
      </c>
      <c r="AI52" s="605" t="s">
        <v>816</v>
      </c>
      <c r="AJ52" s="605" t="s">
        <v>816</v>
      </c>
      <c r="AK52" s="605" t="s">
        <v>816</v>
      </c>
      <c r="AL52" s="605" t="s">
        <v>816</v>
      </c>
      <c r="AM52" s="605" t="s">
        <v>816</v>
      </c>
      <c r="AN52" s="605" t="s">
        <v>816</v>
      </c>
      <c r="AO52" s="605" t="s">
        <v>816</v>
      </c>
      <c r="AP52" s="605" t="s">
        <v>816</v>
      </c>
      <c r="AQ52" s="606">
        <f t="shared" si="10"/>
        <v>0</v>
      </c>
      <c r="AR52" s="604" t="s">
        <v>816</v>
      </c>
      <c r="AS52" s="605" t="s">
        <v>816</v>
      </c>
      <c r="AT52" s="605" t="s">
        <v>816</v>
      </c>
      <c r="AU52" s="606">
        <f t="shared" si="11"/>
        <v>0</v>
      </c>
      <c r="AV52" s="604" t="s">
        <v>816</v>
      </c>
      <c r="AW52" s="605" t="s">
        <v>816</v>
      </c>
      <c r="AX52" s="605" t="s">
        <v>816</v>
      </c>
      <c r="AY52" s="605" t="s">
        <v>816</v>
      </c>
      <c r="AZ52" s="605" t="s">
        <v>816</v>
      </c>
      <c r="BA52" s="606">
        <f t="shared" si="12"/>
        <v>0</v>
      </c>
      <c r="BB52" s="604" t="s">
        <v>816</v>
      </c>
      <c r="BC52" s="605" t="s">
        <v>816</v>
      </c>
      <c r="BD52" s="605" t="s">
        <v>816</v>
      </c>
      <c r="BE52" s="605" t="s">
        <v>816</v>
      </c>
      <c r="BF52" s="605" t="s">
        <v>816</v>
      </c>
      <c r="BG52" s="605" t="s">
        <v>816</v>
      </c>
      <c r="BH52" s="605" t="s">
        <v>816</v>
      </c>
      <c r="BI52" s="606">
        <f t="shared" si="2"/>
        <v>0</v>
      </c>
      <c r="BJ52" s="551">
        <f t="shared" si="31"/>
        <v>0</v>
      </c>
      <c r="BK52" s="607"/>
      <c r="BL52" s="608"/>
      <c r="BM52" s="608"/>
      <c r="BN52" s="608"/>
      <c r="BO52" s="557">
        <f t="shared" si="32"/>
        <v>0</v>
      </c>
      <c r="BP52" s="607"/>
      <c r="BQ52" s="608"/>
      <c r="BR52" s="608"/>
      <c r="BS52" s="557">
        <f t="shared" si="33"/>
        <v>0</v>
      </c>
      <c r="BT52" s="607"/>
      <c r="BU52" s="557">
        <f t="shared" si="16"/>
        <v>0</v>
      </c>
      <c r="BV52" s="607"/>
      <c r="BW52" s="608"/>
      <c r="BX52" s="608"/>
      <c r="BY52" s="608"/>
      <c r="BZ52" s="608"/>
      <c r="CA52" s="608"/>
      <c r="CB52" s="608"/>
      <c r="CC52" s="608"/>
      <c r="CD52" s="608"/>
      <c r="CE52" s="557">
        <f t="shared" si="17"/>
        <v>0</v>
      </c>
      <c r="CF52" s="607"/>
      <c r="CG52" s="608"/>
      <c r="CH52" s="608"/>
      <c r="CI52" s="608"/>
      <c r="CJ52" s="608"/>
      <c r="CK52" s="608"/>
      <c r="CL52" s="608"/>
      <c r="CM52" s="557">
        <f t="shared" si="18"/>
        <v>0</v>
      </c>
      <c r="CN52" s="607"/>
      <c r="CO52" s="609">
        <f t="shared" si="19"/>
        <v>0</v>
      </c>
      <c r="CP52" s="610">
        <f t="shared" si="3"/>
        <v>0</v>
      </c>
      <c r="CQ52" s="545"/>
      <c r="CR52" s="546"/>
      <c r="CS52" s="544">
        <f t="shared" si="34"/>
        <v>0</v>
      </c>
      <c r="CT52" s="545"/>
      <c r="CU52" s="546"/>
      <c r="CV52" s="546"/>
      <c r="CW52" s="544">
        <f t="shared" si="35"/>
        <v>0</v>
      </c>
      <c r="CX52" s="547">
        <f t="shared" si="36"/>
        <v>0</v>
      </c>
      <c r="CY52" s="611">
        <f t="shared" si="37"/>
        <v>6.3</v>
      </c>
    </row>
    <row r="53" spans="1:103" s="635" customFormat="1">
      <c r="A53" s="617">
        <v>49</v>
      </c>
      <c r="B53" s="618"/>
      <c r="C53" s="619" t="s">
        <v>886</v>
      </c>
      <c r="D53" s="620"/>
      <c r="E53" s="621"/>
      <c r="F53" s="622"/>
      <c r="G53" s="622"/>
      <c r="H53" s="622"/>
      <c r="I53" s="623"/>
      <c r="J53" s="621"/>
      <c r="K53" s="622"/>
      <c r="L53" s="622"/>
      <c r="M53" s="622"/>
      <c r="N53" s="623"/>
      <c r="O53" s="621"/>
      <c r="P53" s="622"/>
      <c r="Q53" s="623"/>
      <c r="R53" s="621"/>
      <c r="S53" s="622"/>
      <c r="T53" s="622"/>
      <c r="U53" s="622"/>
      <c r="V53" s="622"/>
      <c r="W53" s="622"/>
      <c r="X53" s="623"/>
      <c r="Y53" s="621"/>
      <c r="Z53" s="622"/>
      <c r="AA53" s="622"/>
      <c r="AB53" s="623"/>
      <c r="AC53" s="624"/>
      <c r="AD53" s="625"/>
      <c r="AE53" s="626"/>
      <c r="AF53" s="627"/>
      <c r="AG53" s="625"/>
      <c r="AH53" s="626"/>
      <c r="AI53" s="626"/>
      <c r="AJ53" s="626"/>
      <c r="AK53" s="626"/>
      <c r="AL53" s="626"/>
      <c r="AM53" s="626"/>
      <c r="AN53" s="626"/>
      <c r="AO53" s="626"/>
      <c r="AP53" s="626"/>
      <c r="AQ53" s="627"/>
      <c r="AR53" s="625"/>
      <c r="AS53" s="626"/>
      <c r="AT53" s="626"/>
      <c r="AU53" s="627"/>
      <c r="AV53" s="625"/>
      <c r="AW53" s="626"/>
      <c r="AX53" s="626"/>
      <c r="AY53" s="626"/>
      <c r="AZ53" s="626"/>
      <c r="BA53" s="627"/>
      <c r="BB53" s="625"/>
      <c r="BC53" s="626"/>
      <c r="BD53" s="626"/>
      <c r="BE53" s="626"/>
      <c r="BF53" s="626"/>
      <c r="BG53" s="626"/>
      <c r="BH53" s="626"/>
      <c r="BI53" s="627"/>
      <c r="BJ53" s="628"/>
      <c r="BK53" s="629"/>
      <c r="BL53" s="630"/>
      <c r="BM53" s="630"/>
      <c r="BN53" s="630"/>
      <c r="BO53" s="631"/>
      <c r="BP53" s="629"/>
      <c r="BQ53" s="630"/>
      <c r="BR53" s="630"/>
      <c r="BS53" s="631"/>
      <c r="BT53" s="629"/>
      <c r="BU53" s="631"/>
      <c r="BV53" s="629"/>
      <c r="BW53" s="630"/>
      <c r="BX53" s="630"/>
      <c r="BY53" s="630"/>
      <c r="BZ53" s="630"/>
      <c r="CA53" s="630"/>
      <c r="CB53" s="630"/>
      <c r="CC53" s="630"/>
      <c r="CD53" s="630"/>
      <c r="CE53" s="631"/>
      <c r="CF53" s="629"/>
      <c r="CG53" s="630"/>
      <c r="CH53" s="630"/>
      <c r="CI53" s="630"/>
      <c r="CJ53" s="630"/>
      <c r="CK53" s="630"/>
      <c r="CL53" s="630"/>
      <c r="CM53" s="631"/>
      <c r="CN53" s="629"/>
      <c r="CO53" s="632"/>
      <c r="CP53" s="633"/>
      <c r="CQ53" s="621"/>
      <c r="CR53" s="622"/>
      <c r="CS53" s="623"/>
      <c r="CT53" s="621"/>
      <c r="CU53" s="622"/>
      <c r="CV53" s="622"/>
      <c r="CW53" s="623"/>
      <c r="CX53" s="624"/>
      <c r="CY53" s="634"/>
    </row>
    <row r="54" spans="1:103" s="561" customFormat="1" hidden="1">
      <c r="A54" s="538">
        <v>50</v>
      </c>
      <c r="B54" s="602" t="s">
        <v>857</v>
      </c>
      <c r="C54" s="603" t="s">
        <v>858</v>
      </c>
      <c r="D54" s="541" t="s">
        <v>829</v>
      </c>
      <c r="E54" s="545">
        <v>0</v>
      </c>
      <c r="F54" s="546">
        <v>0</v>
      </c>
      <c r="G54" s="546">
        <v>0</v>
      </c>
      <c r="H54" s="546">
        <v>0</v>
      </c>
      <c r="I54" s="544">
        <f t="shared" si="4"/>
        <v>0</v>
      </c>
      <c r="J54" s="545">
        <v>0</v>
      </c>
      <c r="K54" s="546">
        <v>0</v>
      </c>
      <c r="L54" s="546">
        <v>0</v>
      </c>
      <c r="M54" s="546">
        <v>0</v>
      </c>
      <c r="N54" s="544">
        <f t="shared" si="5"/>
        <v>0</v>
      </c>
      <c r="O54" s="545">
        <v>0</v>
      </c>
      <c r="P54" s="546">
        <v>0</v>
      </c>
      <c r="Q54" s="544">
        <f t="shared" si="6"/>
        <v>0</v>
      </c>
      <c r="R54" s="545">
        <v>0</v>
      </c>
      <c r="S54" s="546">
        <v>0</v>
      </c>
      <c r="T54" s="546">
        <v>0</v>
      </c>
      <c r="U54" s="546">
        <v>0</v>
      </c>
      <c r="V54" s="546">
        <v>0</v>
      </c>
      <c r="W54" s="546">
        <v>0</v>
      </c>
      <c r="X54" s="544">
        <f t="shared" si="7"/>
        <v>0</v>
      </c>
      <c r="Y54" s="545">
        <v>0</v>
      </c>
      <c r="Z54" s="546">
        <v>0</v>
      </c>
      <c r="AA54" s="546">
        <v>0</v>
      </c>
      <c r="AB54" s="544">
        <f t="shared" si="1"/>
        <v>0</v>
      </c>
      <c r="AC54" s="547">
        <f t="shared" ref="AC54:AC60" si="38">+IF(D54="",0,I54+N54+Q54+X54+AB54)</f>
        <v>0</v>
      </c>
      <c r="AD54" s="604" t="s">
        <v>816</v>
      </c>
      <c r="AE54" s="605" t="s">
        <v>816</v>
      </c>
      <c r="AF54" s="606">
        <f t="shared" si="9"/>
        <v>0</v>
      </c>
      <c r="AG54" s="604" t="s">
        <v>816</v>
      </c>
      <c r="AH54" s="605" t="s">
        <v>816</v>
      </c>
      <c r="AI54" s="605" t="s">
        <v>816</v>
      </c>
      <c r="AJ54" s="605" t="s">
        <v>816</v>
      </c>
      <c r="AK54" s="605" t="s">
        <v>816</v>
      </c>
      <c r="AL54" s="605" t="s">
        <v>816</v>
      </c>
      <c r="AM54" s="605" t="s">
        <v>816</v>
      </c>
      <c r="AN54" s="605" t="s">
        <v>816</v>
      </c>
      <c r="AO54" s="605" t="s">
        <v>816</v>
      </c>
      <c r="AP54" s="605" t="s">
        <v>816</v>
      </c>
      <c r="AQ54" s="606">
        <f t="shared" si="10"/>
        <v>0</v>
      </c>
      <c r="AR54" s="604" t="s">
        <v>816</v>
      </c>
      <c r="AS54" s="605" t="s">
        <v>816</v>
      </c>
      <c r="AT54" s="605" t="s">
        <v>816</v>
      </c>
      <c r="AU54" s="606">
        <f t="shared" si="11"/>
        <v>0</v>
      </c>
      <c r="AV54" s="604" t="s">
        <v>816</v>
      </c>
      <c r="AW54" s="605" t="s">
        <v>816</v>
      </c>
      <c r="AX54" s="605" t="s">
        <v>816</v>
      </c>
      <c r="AY54" s="605" t="s">
        <v>816</v>
      </c>
      <c r="AZ54" s="605" t="s">
        <v>816</v>
      </c>
      <c r="BA54" s="606">
        <f t="shared" si="12"/>
        <v>0</v>
      </c>
      <c r="BB54" s="604" t="s">
        <v>816</v>
      </c>
      <c r="BC54" s="605" t="s">
        <v>816</v>
      </c>
      <c r="BD54" s="605" t="s">
        <v>816</v>
      </c>
      <c r="BE54" s="605" t="s">
        <v>816</v>
      </c>
      <c r="BF54" s="605" t="s">
        <v>816</v>
      </c>
      <c r="BG54" s="605" t="s">
        <v>816</v>
      </c>
      <c r="BH54" s="605" t="s">
        <v>816</v>
      </c>
      <c r="BI54" s="606">
        <f t="shared" si="2"/>
        <v>0</v>
      </c>
      <c r="BJ54" s="551">
        <f t="shared" si="31"/>
        <v>0</v>
      </c>
      <c r="BK54" s="607"/>
      <c r="BL54" s="608"/>
      <c r="BM54" s="608"/>
      <c r="BN54" s="608"/>
      <c r="BO54" s="557">
        <f t="shared" si="32"/>
        <v>0</v>
      </c>
      <c r="BP54" s="607"/>
      <c r="BQ54" s="608"/>
      <c r="BR54" s="608"/>
      <c r="BS54" s="557">
        <f t="shared" si="33"/>
        <v>0</v>
      </c>
      <c r="BT54" s="607"/>
      <c r="BU54" s="557">
        <f t="shared" si="16"/>
        <v>0</v>
      </c>
      <c r="BV54" s="607"/>
      <c r="BW54" s="608"/>
      <c r="BX54" s="608"/>
      <c r="BY54" s="608"/>
      <c r="BZ54" s="608"/>
      <c r="CA54" s="608"/>
      <c r="CB54" s="608"/>
      <c r="CC54" s="608"/>
      <c r="CD54" s="608"/>
      <c r="CE54" s="557">
        <f t="shared" si="17"/>
        <v>0</v>
      </c>
      <c r="CF54" s="607"/>
      <c r="CG54" s="608"/>
      <c r="CH54" s="608"/>
      <c r="CI54" s="608"/>
      <c r="CJ54" s="608"/>
      <c r="CK54" s="608"/>
      <c r="CL54" s="608"/>
      <c r="CM54" s="557">
        <f t="shared" si="18"/>
        <v>0</v>
      </c>
      <c r="CN54" s="607"/>
      <c r="CO54" s="609">
        <f t="shared" si="19"/>
        <v>0</v>
      </c>
      <c r="CP54" s="610">
        <f t="shared" si="3"/>
        <v>0</v>
      </c>
      <c r="CQ54" s="545"/>
      <c r="CR54" s="546"/>
      <c r="CS54" s="544">
        <f t="shared" ref="CS54:CS60" si="39">+CQ54+CR54</f>
        <v>0</v>
      </c>
      <c r="CT54" s="545"/>
      <c r="CU54" s="546"/>
      <c r="CV54" s="546"/>
      <c r="CW54" s="544">
        <f t="shared" ref="CW54:CW60" si="40">+CT54+CU54+CV54</f>
        <v>0</v>
      </c>
      <c r="CX54" s="547">
        <f t="shared" ref="CX54:CX60" si="41">+CS54+CW54</f>
        <v>0</v>
      </c>
      <c r="CY54" s="611">
        <f t="shared" ref="CY54:CY60" si="42">IF(D54="",0,AC54+BJ54+CP54+CX54)</f>
        <v>0</v>
      </c>
    </row>
    <row r="55" spans="1:103" s="561" customFormat="1" hidden="1">
      <c r="A55" s="538">
        <v>51</v>
      </c>
      <c r="B55" s="602" t="s">
        <v>859</v>
      </c>
      <c r="C55" s="603" t="s">
        <v>860</v>
      </c>
      <c r="D55" s="541" t="s">
        <v>829</v>
      </c>
      <c r="E55" s="545">
        <v>0</v>
      </c>
      <c r="F55" s="546">
        <v>0</v>
      </c>
      <c r="G55" s="546">
        <v>0</v>
      </c>
      <c r="H55" s="546">
        <v>0</v>
      </c>
      <c r="I55" s="544">
        <f t="shared" si="4"/>
        <v>0</v>
      </c>
      <c r="J55" s="545">
        <v>0</v>
      </c>
      <c r="K55" s="546">
        <v>0</v>
      </c>
      <c r="L55" s="546">
        <v>0</v>
      </c>
      <c r="M55" s="546">
        <v>0</v>
      </c>
      <c r="N55" s="544">
        <f t="shared" si="5"/>
        <v>0</v>
      </c>
      <c r="O55" s="545">
        <v>0</v>
      </c>
      <c r="P55" s="546">
        <v>0</v>
      </c>
      <c r="Q55" s="544">
        <f t="shared" si="6"/>
        <v>0</v>
      </c>
      <c r="R55" s="545">
        <v>0</v>
      </c>
      <c r="S55" s="546">
        <v>0</v>
      </c>
      <c r="T55" s="546">
        <v>0</v>
      </c>
      <c r="U55" s="546">
        <v>0</v>
      </c>
      <c r="V55" s="546">
        <v>0</v>
      </c>
      <c r="W55" s="546">
        <v>0</v>
      </c>
      <c r="X55" s="544">
        <f t="shared" si="7"/>
        <v>0</v>
      </c>
      <c r="Y55" s="545">
        <v>0</v>
      </c>
      <c r="Z55" s="546">
        <v>0</v>
      </c>
      <c r="AA55" s="546">
        <v>0</v>
      </c>
      <c r="AB55" s="544">
        <f t="shared" si="1"/>
        <v>0</v>
      </c>
      <c r="AC55" s="547">
        <f t="shared" si="38"/>
        <v>0</v>
      </c>
      <c r="AD55" s="604" t="s">
        <v>816</v>
      </c>
      <c r="AE55" s="605" t="s">
        <v>816</v>
      </c>
      <c r="AF55" s="606">
        <f t="shared" si="9"/>
        <v>0</v>
      </c>
      <c r="AG55" s="604" t="s">
        <v>816</v>
      </c>
      <c r="AH55" s="605" t="s">
        <v>816</v>
      </c>
      <c r="AI55" s="605" t="s">
        <v>816</v>
      </c>
      <c r="AJ55" s="605" t="s">
        <v>816</v>
      </c>
      <c r="AK55" s="605" t="s">
        <v>816</v>
      </c>
      <c r="AL55" s="605" t="s">
        <v>816</v>
      </c>
      <c r="AM55" s="605" t="s">
        <v>816</v>
      </c>
      <c r="AN55" s="605" t="s">
        <v>816</v>
      </c>
      <c r="AO55" s="605" t="s">
        <v>816</v>
      </c>
      <c r="AP55" s="605" t="s">
        <v>816</v>
      </c>
      <c r="AQ55" s="606">
        <f t="shared" si="10"/>
        <v>0</v>
      </c>
      <c r="AR55" s="604" t="s">
        <v>816</v>
      </c>
      <c r="AS55" s="605" t="s">
        <v>816</v>
      </c>
      <c r="AT55" s="605" t="s">
        <v>816</v>
      </c>
      <c r="AU55" s="606">
        <f t="shared" si="11"/>
        <v>0</v>
      </c>
      <c r="AV55" s="604" t="s">
        <v>816</v>
      </c>
      <c r="AW55" s="605" t="s">
        <v>816</v>
      </c>
      <c r="AX55" s="605" t="s">
        <v>816</v>
      </c>
      <c r="AY55" s="605" t="s">
        <v>816</v>
      </c>
      <c r="AZ55" s="605" t="s">
        <v>816</v>
      </c>
      <c r="BA55" s="606">
        <f t="shared" si="12"/>
        <v>0</v>
      </c>
      <c r="BB55" s="604" t="s">
        <v>816</v>
      </c>
      <c r="BC55" s="605" t="s">
        <v>816</v>
      </c>
      <c r="BD55" s="605" t="s">
        <v>816</v>
      </c>
      <c r="BE55" s="605" t="s">
        <v>816</v>
      </c>
      <c r="BF55" s="605" t="s">
        <v>816</v>
      </c>
      <c r="BG55" s="605" t="s">
        <v>816</v>
      </c>
      <c r="BH55" s="605" t="s">
        <v>816</v>
      </c>
      <c r="BI55" s="606">
        <f t="shared" si="2"/>
        <v>0</v>
      </c>
      <c r="BJ55" s="551">
        <f t="shared" si="31"/>
        <v>0</v>
      </c>
      <c r="BK55" s="607"/>
      <c r="BL55" s="608"/>
      <c r="BM55" s="608"/>
      <c r="BN55" s="608"/>
      <c r="BO55" s="557">
        <f t="shared" si="32"/>
        <v>0</v>
      </c>
      <c r="BP55" s="607"/>
      <c r="BQ55" s="608"/>
      <c r="BR55" s="608"/>
      <c r="BS55" s="557">
        <f t="shared" si="33"/>
        <v>0</v>
      </c>
      <c r="BT55" s="607"/>
      <c r="BU55" s="557">
        <f t="shared" si="16"/>
        <v>0</v>
      </c>
      <c r="BV55" s="607"/>
      <c r="BW55" s="608"/>
      <c r="BX55" s="608"/>
      <c r="BY55" s="608"/>
      <c r="BZ55" s="608"/>
      <c r="CA55" s="608"/>
      <c r="CB55" s="608"/>
      <c r="CC55" s="608"/>
      <c r="CD55" s="608"/>
      <c r="CE55" s="557">
        <f t="shared" si="17"/>
        <v>0</v>
      </c>
      <c r="CF55" s="607"/>
      <c r="CG55" s="608"/>
      <c r="CH55" s="608"/>
      <c r="CI55" s="608"/>
      <c r="CJ55" s="608"/>
      <c r="CK55" s="608"/>
      <c r="CL55" s="608"/>
      <c r="CM55" s="557">
        <f t="shared" si="18"/>
        <v>0</v>
      </c>
      <c r="CN55" s="607"/>
      <c r="CO55" s="609">
        <f t="shared" si="19"/>
        <v>0</v>
      </c>
      <c r="CP55" s="610">
        <f t="shared" si="3"/>
        <v>0</v>
      </c>
      <c r="CQ55" s="545"/>
      <c r="CR55" s="546"/>
      <c r="CS55" s="544">
        <f t="shared" si="39"/>
        <v>0</v>
      </c>
      <c r="CT55" s="545"/>
      <c r="CU55" s="546"/>
      <c r="CV55" s="546"/>
      <c r="CW55" s="544">
        <f t="shared" si="40"/>
        <v>0</v>
      </c>
      <c r="CX55" s="547">
        <f t="shared" si="41"/>
        <v>0</v>
      </c>
      <c r="CY55" s="611">
        <f t="shared" si="42"/>
        <v>0</v>
      </c>
    </row>
    <row r="56" spans="1:103" s="561" customFormat="1" hidden="1">
      <c r="A56" s="538">
        <v>52</v>
      </c>
      <c r="B56" s="602" t="s">
        <v>861</v>
      </c>
      <c r="C56" s="603" t="s">
        <v>862</v>
      </c>
      <c r="D56" s="541" t="s">
        <v>829</v>
      </c>
      <c r="E56" s="545">
        <v>0</v>
      </c>
      <c r="F56" s="546">
        <v>0</v>
      </c>
      <c r="G56" s="546">
        <v>0</v>
      </c>
      <c r="H56" s="546">
        <v>0</v>
      </c>
      <c r="I56" s="544">
        <f t="shared" si="4"/>
        <v>0</v>
      </c>
      <c r="J56" s="545">
        <v>0</v>
      </c>
      <c r="K56" s="546">
        <v>0</v>
      </c>
      <c r="L56" s="546">
        <v>0</v>
      </c>
      <c r="M56" s="546">
        <v>0</v>
      </c>
      <c r="N56" s="544">
        <f t="shared" si="5"/>
        <v>0</v>
      </c>
      <c r="O56" s="545">
        <v>0</v>
      </c>
      <c r="P56" s="546">
        <v>0</v>
      </c>
      <c r="Q56" s="544">
        <f t="shared" si="6"/>
        <v>0</v>
      </c>
      <c r="R56" s="545">
        <v>0</v>
      </c>
      <c r="S56" s="546">
        <v>0</v>
      </c>
      <c r="T56" s="546">
        <v>0</v>
      </c>
      <c r="U56" s="546">
        <v>0</v>
      </c>
      <c r="V56" s="546">
        <v>0</v>
      </c>
      <c r="W56" s="546">
        <v>0</v>
      </c>
      <c r="X56" s="544">
        <f t="shared" si="7"/>
        <v>0</v>
      </c>
      <c r="Y56" s="545">
        <v>0</v>
      </c>
      <c r="Z56" s="546">
        <v>0</v>
      </c>
      <c r="AA56" s="546">
        <v>0</v>
      </c>
      <c r="AB56" s="544">
        <f t="shared" si="1"/>
        <v>0</v>
      </c>
      <c r="AC56" s="547">
        <f t="shared" si="38"/>
        <v>0</v>
      </c>
      <c r="AD56" s="604" t="s">
        <v>816</v>
      </c>
      <c r="AE56" s="605" t="s">
        <v>816</v>
      </c>
      <c r="AF56" s="606">
        <f t="shared" si="9"/>
        <v>0</v>
      </c>
      <c r="AG56" s="604" t="s">
        <v>816</v>
      </c>
      <c r="AH56" s="605" t="s">
        <v>816</v>
      </c>
      <c r="AI56" s="605" t="s">
        <v>816</v>
      </c>
      <c r="AJ56" s="605" t="s">
        <v>816</v>
      </c>
      <c r="AK56" s="605" t="s">
        <v>816</v>
      </c>
      <c r="AL56" s="605" t="s">
        <v>816</v>
      </c>
      <c r="AM56" s="605" t="s">
        <v>816</v>
      </c>
      <c r="AN56" s="605" t="s">
        <v>816</v>
      </c>
      <c r="AO56" s="605" t="s">
        <v>816</v>
      </c>
      <c r="AP56" s="605" t="s">
        <v>816</v>
      </c>
      <c r="AQ56" s="606">
        <f t="shared" si="10"/>
        <v>0</v>
      </c>
      <c r="AR56" s="604" t="s">
        <v>816</v>
      </c>
      <c r="AS56" s="605" t="s">
        <v>816</v>
      </c>
      <c r="AT56" s="605" t="s">
        <v>816</v>
      </c>
      <c r="AU56" s="606">
        <f t="shared" si="11"/>
        <v>0</v>
      </c>
      <c r="AV56" s="604" t="s">
        <v>816</v>
      </c>
      <c r="AW56" s="605" t="s">
        <v>816</v>
      </c>
      <c r="AX56" s="605" t="s">
        <v>816</v>
      </c>
      <c r="AY56" s="605" t="s">
        <v>816</v>
      </c>
      <c r="AZ56" s="605" t="s">
        <v>816</v>
      </c>
      <c r="BA56" s="606">
        <f t="shared" si="12"/>
        <v>0</v>
      </c>
      <c r="BB56" s="604" t="s">
        <v>816</v>
      </c>
      <c r="BC56" s="605" t="s">
        <v>816</v>
      </c>
      <c r="BD56" s="605" t="s">
        <v>816</v>
      </c>
      <c r="BE56" s="605" t="s">
        <v>816</v>
      </c>
      <c r="BF56" s="605" t="s">
        <v>816</v>
      </c>
      <c r="BG56" s="605" t="s">
        <v>816</v>
      </c>
      <c r="BH56" s="605" t="s">
        <v>816</v>
      </c>
      <c r="BI56" s="606">
        <f t="shared" si="2"/>
        <v>0</v>
      </c>
      <c r="BJ56" s="551">
        <f t="shared" si="31"/>
        <v>0</v>
      </c>
      <c r="BK56" s="607"/>
      <c r="BL56" s="608"/>
      <c r="BM56" s="608"/>
      <c r="BN56" s="608"/>
      <c r="BO56" s="557">
        <f t="shared" si="32"/>
        <v>0</v>
      </c>
      <c r="BP56" s="607"/>
      <c r="BQ56" s="608"/>
      <c r="BR56" s="608"/>
      <c r="BS56" s="557">
        <f t="shared" si="33"/>
        <v>0</v>
      </c>
      <c r="BT56" s="607"/>
      <c r="BU56" s="557">
        <f t="shared" si="16"/>
        <v>0</v>
      </c>
      <c r="BV56" s="607"/>
      <c r="BW56" s="608"/>
      <c r="BX56" s="608"/>
      <c r="BY56" s="608"/>
      <c r="BZ56" s="608"/>
      <c r="CA56" s="608"/>
      <c r="CB56" s="608"/>
      <c r="CC56" s="608"/>
      <c r="CD56" s="608"/>
      <c r="CE56" s="557">
        <f t="shared" si="17"/>
        <v>0</v>
      </c>
      <c r="CF56" s="607"/>
      <c r="CG56" s="608"/>
      <c r="CH56" s="608"/>
      <c r="CI56" s="608"/>
      <c r="CJ56" s="608"/>
      <c r="CK56" s="608"/>
      <c r="CL56" s="608"/>
      <c r="CM56" s="557">
        <f t="shared" si="18"/>
        <v>0</v>
      </c>
      <c r="CN56" s="607"/>
      <c r="CO56" s="609">
        <f t="shared" si="19"/>
        <v>0</v>
      </c>
      <c r="CP56" s="610">
        <f t="shared" si="3"/>
        <v>0</v>
      </c>
      <c r="CQ56" s="545"/>
      <c r="CR56" s="546"/>
      <c r="CS56" s="544">
        <f t="shared" si="39"/>
        <v>0</v>
      </c>
      <c r="CT56" s="545"/>
      <c r="CU56" s="546"/>
      <c r="CV56" s="546"/>
      <c r="CW56" s="544">
        <f t="shared" si="40"/>
        <v>0</v>
      </c>
      <c r="CX56" s="547">
        <f t="shared" si="41"/>
        <v>0</v>
      </c>
      <c r="CY56" s="611">
        <f t="shared" si="42"/>
        <v>0</v>
      </c>
    </row>
    <row r="57" spans="1:103" s="561" customFormat="1" ht="30" hidden="1">
      <c r="A57" s="538">
        <v>53</v>
      </c>
      <c r="B57" s="602" t="s">
        <v>396</v>
      </c>
      <c r="C57" s="603" t="s">
        <v>863</v>
      </c>
      <c r="D57" s="541" t="s">
        <v>829</v>
      </c>
      <c r="E57" s="545">
        <v>0</v>
      </c>
      <c r="F57" s="546">
        <v>0</v>
      </c>
      <c r="G57" s="546">
        <v>0</v>
      </c>
      <c r="H57" s="546">
        <v>0</v>
      </c>
      <c r="I57" s="544">
        <f t="shared" si="4"/>
        <v>0</v>
      </c>
      <c r="J57" s="545">
        <v>0</v>
      </c>
      <c r="K57" s="546">
        <v>0</v>
      </c>
      <c r="L57" s="546">
        <v>0</v>
      </c>
      <c r="M57" s="546">
        <v>0</v>
      </c>
      <c r="N57" s="544">
        <f t="shared" si="5"/>
        <v>0</v>
      </c>
      <c r="O57" s="545">
        <v>0</v>
      </c>
      <c r="P57" s="546">
        <v>0</v>
      </c>
      <c r="Q57" s="544">
        <f t="shared" si="6"/>
        <v>0</v>
      </c>
      <c r="R57" s="545">
        <v>0</v>
      </c>
      <c r="S57" s="546">
        <v>0</v>
      </c>
      <c r="T57" s="546">
        <v>0</v>
      </c>
      <c r="U57" s="546">
        <v>0</v>
      </c>
      <c r="V57" s="546">
        <v>0</v>
      </c>
      <c r="W57" s="546">
        <v>0</v>
      </c>
      <c r="X57" s="544">
        <f t="shared" si="7"/>
        <v>0</v>
      </c>
      <c r="Y57" s="545">
        <v>0</v>
      </c>
      <c r="Z57" s="546">
        <v>0</v>
      </c>
      <c r="AA57" s="546">
        <v>0</v>
      </c>
      <c r="AB57" s="544">
        <f t="shared" si="1"/>
        <v>0</v>
      </c>
      <c r="AC57" s="547">
        <f t="shared" si="38"/>
        <v>0</v>
      </c>
      <c r="AD57" s="604" t="s">
        <v>816</v>
      </c>
      <c r="AE57" s="605" t="s">
        <v>816</v>
      </c>
      <c r="AF57" s="606">
        <f t="shared" si="9"/>
        <v>0</v>
      </c>
      <c r="AG57" s="604" t="s">
        <v>816</v>
      </c>
      <c r="AH57" s="605" t="s">
        <v>816</v>
      </c>
      <c r="AI57" s="605" t="s">
        <v>816</v>
      </c>
      <c r="AJ57" s="605" t="s">
        <v>816</v>
      </c>
      <c r="AK57" s="605" t="s">
        <v>816</v>
      </c>
      <c r="AL57" s="605" t="s">
        <v>816</v>
      </c>
      <c r="AM57" s="605" t="s">
        <v>816</v>
      </c>
      <c r="AN57" s="605" t="s">
        <v>816</v>
      </c>
      <c r="AO57" s="605" t="s">
        <v>816</v>
      </c>
      <c r="AP57" s="605" t="s">
        <v>816</v>
      </c>
      <c r="AQ57" s="606">
        <f t="shared" si="10"/>
        <v>0</v>
      </c>
      <c r="AR57" s="604" t="s">
        <v>816</v>
      </c>
      <c r="AS57" s="605" t="s">
        <v>816</v>
      </c>
      <c r="AT57" s="605" t="s">
        <v>816</v>
      </c>
      <c r="AU57" s="606">
        <f t="shared" si="11"/>
        <v>0</v>
      </c>
      <c r="AV57" s="604" t="s">
        <v>816</v>
      </c>
      <c r="AW57" s="605" t="s">
        <v>816</v>
      </c>
      <c r="AX57" s="605" t="s">
        <v>816</v>
      </c>
      <c r="AY57" s="605" t="s">
        <v>816</v>
      </c>
      <c r="AZ57" s="605" t="s">
        <v>816</v>
      </c>
      <c r="BA57" s="606">
        <f t="shared" si="12"/>
        <v>0</v>
      </c>
      <c r="BB57" s="604" t="s">
        <v>816</v>
      </c>
      <c r="BC57" s="605" t="s">
        <v>816</v>
      </c>
      <c r="BD57" s="605" t="s">
        <v>816</v>
      </c>
      <c r="BE57" s="605" t="s">
        <v>816</v>
      </c>
      <c r="BF57" s="605" t="s">
        <v>816</v>
      </c>
      <c r="BG57" s="605" t="s">
        <v>816</v>
      </c>
      <c r="BH57" s="605" t="s">
        <v>816</v>
      </c>
      <c r="BI57" s="606">
        <f t="shared" si="2"/>
        <v>0</v>
      </c>
      <c r="BJ57" s="551">
        <f t="shared" si="31"/>
        <v>0</v>
      </c>
      <c r="BK57" s="607"/>
      <c r="BL57" s="608"/>
      <c r="BM57" s="608"/>
      <c r="BN57" s="608"/>
      <c r="BO57" s="557">
        <f t="shared" si="32"/>
        <v>0</v>
      </c>
      <c r="BP57" s="607"/>
      <c r="BQ57" s="608"/>
      <c r="BR57" s="608"/>
      <c r="BS57" s="557">
        <f t="shared" si="33"/>
        <v>0</v>
      </c>
      <c r="BT57" s="607"/>
      <c r="BU57" s="557">
        <f t="shared" si="16"/>
        <v>0</v>
      </c>
      <c r="BV57" s="607"/>
      <c r="BW57" s="608"/>
      <c r="BX57" s="608"/>
      <c r="BY57" s="608"/>
      <c r="BZ57" s="608"/>
      <c r="CA57" s="608"/>
      <c r="CB57" s="608"/>
      <c r="CC57" s="608"/>
      <c r="CD57" s="608"/>
      <c r="CE57" s="557">
        <f t="shared" si="17"/>
        <v>0</v>
      </c>
      <c r="CF57" s="607"/>
      <c r="CG57" s="608"/>
      <c r="CH57" s="608"/>
      <c r="CI57" s="608"/>
      <c r="CJ57" s="608"/>
      <c r="CK57" s="608"/>
      <c r="CL57" s="608"/>
      <c r="CM57" s="557">
        <f t="shared" si="18"/>
        <v>0</v>
      </c>
      <c r="CN57" s="607"/>
      <c r="CO57" s="609">
        <f t="shared" si="19"/>
        <v>0</v>
      </c>
      <c r="CP57" s="610">
        <f t="shared" si="3"/>
        <v>0</v>
      </c>
      <c r="CQ57" s="545"/>
      <c r="CR57" s="546"/>
      <c r="CS57" s="544">
        <f t="shared" si="39"/>
        <v>0</v>
      </c>
      <c r="CT57" s="545"/>
      <c r="CU57" s="546"/>
      <c r="CV57" s="546"/>
      <c r="CW57" s="544">
        <f t="shared" si="40"/>
        <v>0</v>
      </c>
      <c r="CX57" s="547">
        <f t="shared" si="41"/>
        <v>0</v>
      </c>
      <c r="CY57" s="611">
        <f t="shared" si="42"/>
        <v>0</v>
      </c>
    </row>
    <row r="58" spans="1:103" s="561" customFormat="1">
      <c r="A58" s="538">
        <v>54</v>
      </c>
      <c r="B58" s="602" t="s">
        <v>16</v>
      </c>
      <c r="C58" s="603" t="s">
        <v>10</v>
      </c>
      <c r="D58" s="541" t="s">
        <v>829</v>
      </c>
      <c r="E58" s="545">
        <v>0</v>
      </c>
      <c r="F58" s="546">
        <v>0</v>
      </c>
      <c r="G58" s="546">
        <v>0</v>
      </c>
      <c r="H58" s="546">
        <v>0</v>
      </c>
      <c r="I58" s="544">
        <f t="shared" si="4"/>
        <v>0</v>
      </c>
      <c r="J58" s="545">
        <v>0</v>
      </c>
      <c r="K58" s="546">
        <v>0</v>
      </c>
      <c r="L58" s="546">
        <v>0</v>
      </c>
      <c r="M58" s="546">
        <v>0</v>
      </c>
      <c r="N58" s="544">
        <f t="shared" si="5"/>
        <v>0</v>
      </c>
      <c r="O58" s="545">
        <v>101.79244999999999</v>
      </c>
      <c r="P58" s="546">
        <v>0</v>
      </c>
      <c r="Q58" s="544">
        <f t="shared" si="6"/>
        <v>101.79244999999999</v>
      </c>
      <c r="R58" s="545">
        <v>0</v>
      </c>
      <c r="S58" s="546">
        <v>0</v>
      </c>
      <c r="T58" s="546">
        <v>0</v>
      </c>
      <c r="U58" s="546">
        <v>0</v>
      </c>
      <c r="V58" s="546">
        <v>0</v>
      </c>
      <c r="W58" s="546">
        <v>0</v>
      </c>
      <c r="X58" s="544">
        <f t="shared" si="7"/>
        <v>0</v>
      </c>
      <c r="Y58" s="545">
        <v>0</v>
      </c>
      <c r="Z58" s="546">
        <v>0</v>
      </c>
      <c r="AA58" s="546">
        <v>84.221900000000005</v>
      </c>
      <c r="AB58" s="544">
        <f t="shared" si="1"/>
        <v>84.221900000000005</v>
      </c>
      <c r="AC58" s="547">
        <f t="shared" si="38"/>
        <v>186.01434999999998</v>
      </c>
      <c r="AD58" s="604">
        <v>20.573999999999998</v>
      </c>
      <c r="AE58" s="605">
        <v>0</v>
      </c>
      <c r="AF58" s="606">
        <f t="shared" si="9"/>
        <v>20.573999999999998</v>
      </c>
      <c r="AG58" s="604">
        <v>0</v>
      </c>
      <c r="AH58" s="605">
        <v>0</v>
      </c>
      <c r="AI58" s="605">
        <v>0</v>
      </c>
      <c r="AJ58" s="605">
        <v>0</v>
      </c>
      <c r="AK58" s="605">
        <v>0</v>
      </c>
      <c r="AL58" s="605">
        <v>0</v>
      </c>
      <c r="AM58" s="605">
        <v>0</v>
      </c>
      <c r="AN58" s="605">
        <v>0</v>
      </c>
      <c r="AO58" s="605">
        <v>0</v>
      </c>
      <c r="AP58" s="605">
        <v>0</v>
      </c>
      <c r="AQ58" s="606">
        <f t="shared" si="10"/>
        <v>0</v>
      </c>
      <c r="AR58" s="604">
        <v>162.03</v>
      </c>
      <c r="AS58" s="605">
        <v>0</v>
      </c>
      <c r="AT58" s="605">
        <v>0</v>
      </c>
      <c r="AU58" s="606">
        <f t="shared" si="11"/>
        <v>162.03</v>
      </c>
      <c r="AV58" s="604">
        <v>0</v>
      </c>
      <c r="AW58" s="605">
        <v>0</v>
      </c>
      <c r="AX58" s="605">
        <v>0</v>
      </c>
      <c r="AY58" s="605">
        <v>0</v>
      </c>
      <c r="AZ58" s="605">
        <v>0</v>
      </c>
      <c r="BA58" s="606">
        <f t="shared" si="12"/>
        <v>0</v>
      </c>
      <c r="BB58" s="604">
        <v>0</v>
      </c>
      <c r="BC58" s="605">
        <v>0</v>
      </c>
      <c r="BD58" s="605">
        <v>0</v>
      </c>
      <c r="BE58" s="605">
        <v>0</v>
      </c>
      <c r="BF58" s="605">
        <v>0</v>
      </c>
      <c r="BG58" s="605">
        <v>0</v>
      </c>
      <c r="BH58" s="605">
        <v>0</v>
      </c>
      <c r="BI58" s="606">
        <f t="shared" si="2"/>
        <v>0</v>
      </c>
      <c r="BJ58" s="551">
        <f t="shared" si="31"/>
        <v>182.60399999999998</v>
      </c>
      <c r="BK58" s="607"/>
      <c r="BL58" s="608"/>
      <c r="BM58" s="608"/>
      <c r="BN58" s="608"/>
      <c r="BO58" s="557">
        <f t="shared" si="32"/>
        <v>0</v>
      </c>
      <c r="BP58" s="607"/>
      <c r="BQ58" s="608"/>
      <c r="BR58" s="608"/>
      <c r="BS58" s="557">
        <f t="shared" si="33"/>
        <v>0</v>
      </c>
      <c r="BT58" s="607"/>
      <c r="BU58" s="557">
        <f t="shared" si="16"/>
        <v>0</v>
      </c>
      <c r="BV58" s="607"/>
      <c r="BW58" s="608"/>
      <c r="BX58" s="608"/>
      <c r="BY58" s="608"/>
      <c r="BZ58" s="608"/>
      <c r="CA58" s="608"/>
      <c r="CB58" s="608"/>
      <c r="CC58" s="608"/>
      <c r="CD58" s="608"/>
      <c r="CE58" s="557">
        <f t="shared" si="17"/>
        <v>0</v>
      </c>
      <c r="CF58" s="607"/>
      <c r="CG58" s="608"/>
      <c r="CH58" s="608"/>
      <c r="CI58" s="608"/>
      <c r="CJ58" s="608"/>
      <c r="CK58" s="608"/>
      <c r="CL58" s="608"/>
      <c r="CM58" s="557">
        <f t="shared" si="18"/>
        <v>0</v>
      </c>
      <c r="CN58" s="607"/>
      <c r="CO58" s="609">
        <f t="shared" si="19"/>
        <v>0</v>
      </c>
      <c r="CP58" s="610">
        <f t="shared" si="3"/>
        <v>0</v>
      </c>
      <c r="CQ58" s="545"/>
      <c r="CR58" s="546"/>
      <c r="CS58" s="544">
        <f t="shared" si="39"/>
        <v>0</v>
      </c>
      <c r="CT58" s="545"/>
      <c r="CU58" s="546"/>
      <c r="CV58" s="546"/>
      <c r="CW58" s="544">
        <f t="shared" si="40"/>
        <v>0</v>
      </c>
      <c r="CX58" s="547">
        <f t="shared" si="41"/>
        <v>0</v>
      </c>
      <c r="CY58" s="611">
        <f t="shared" si="42"/>
        <v>368.61834999999996</v>
      </c>
    </row>
    <row r="59" spans="1:103" s="561" customFormat="1">
      <c r="A59" s="538">
        <v>55</v>
      </c>
      <c r="B59" s="602" t="s">
        <v>883</v>
      </c>
      <c r="C59" s="603" t="s">
        <v>884</v>
      </c>
      <c r="D59" s="541" t="s">
        <v>78</v>
      </c>
      <c r="E59" s="545">
        <v>0</v>
      </c>
      <c r="F59" s="546">
        <v>0</v>
      </c>
      <c r="G59" s="546">
        <v>0</v>
      </c>
      <c r="H59" s="546">
        <v>0</v>
      </c>
      <c r="I59" s="544">
        <f t="shared" si="4"/>
        <v>0</v>
      </c>
      <c r="J59" s="545">
        <v>0</v>
      </c>
      <c r="K59" s="546">
        <v>0</v>
      </c>
      <c r="L59" s="546">
        <v>0</v>
      </c>
      <c r="M59" s="546">
        <v>0</v>
      </c>
      <c r="N59" s="544">
        <f t="shared" si="5"/>
        <v>0</v>
      </c>
      <c r="O59" s="545">
        <v>711.05466666666678</v>
      </c>
      <c r="P59" s="546">
        <v>0</v>
      </c>
      <c r="Q59" s="544">
        <f t="shared" si="6"/>
        <v>711.05466666666678</v>
      </c>
      <c r="R59" s="545">
        <v>0</v>
      </c>
      <c r="S59" s="546">
        <v>0</v>
      </c>
      <c r="T59" s="546">
        <v>0</v>
      </c>
      <c r="U59" s="546">
        <v>0</v>
      </c>
      <c r="V59" s="546">
        <v>0</v>
      </c>
      <c r="W59" s="546">
        <v>0</v>
      </c>
      <c r="X59" s="544">
        <f t="shared" si="7"/>
        <v>0</v>
      </c>
      <c r="Y59" s="545">
        <v>0</v>
      </c>
      <c r="Z59" s="546">
        <v>0</v>
      </c>
      <c r="AA59" s="546">
        <v>21055.475000000002</v>
      </c>
      <c r="AB59" s="544">
        <f t="shared" si="1"/>
        <v>21055.475000000002</v>
      </c>
      <c r="AC59" s="547">
        <f t="shared" si="38"/>
        <v>21766.529666666669</v>
      </c>
      <c r="AD59" s="604">
        <v>628.68520000000001</v>
      </c>
      <c r="AE59" s="605">
        <v>0</v>
      </c>
      <c r="AF59" s="606">
        <f t="shared" si="9"/>
        <v>628.68520000000001</v>
      </c>
      <c r="AG59" s="604">
        <v>0</v>
      </c>
      <c r="AH59" s="605">
        <v>0</v>
      </c>
      <c r="AI59" s="605">
        <v>0</v>
      </c>
      <c r="AJ59" s="605">
        <v>0</v>
      </c>
      <c r="AK59" s="605">
        <v>0</v>
      </c>
      <c r="AL59" s="605">
        <v>0</v>
      </c>
      <c r="AM59" s="605">
        <v>0</v>
      </c>
      <c r="AN59" s="605">
        <v>0</v>
      </c>
      <c r="AO59" s="605">
        <v>0</v>
      </c>
      <c r="AP59" s="605">
        <v>0</v>
      </c>
      <c r="AQ59" s="606">
        <f t="shared" si="10"/>
        <v>0</v>
      </c>
      <c r="AR59" s="604">
        <v>339764.96649999998</v>
      </c>
      <c r="AS59" s="605">
        <v>0</v>
      </c>
      <c r="AT59" s="605">
        <v>0</v>
      </c>
      <c r="AU59" s="606">
        <f t="shared" si="11"/>
        <v>339764.96649999998</v>
      </c>
      <c r="AV59" s="604">
        <v>0</v>
      </c>
      <c r="AW59" s="605">
        <v>0</v>
      </c>
      <c r="AX59" s="605">
        <v>0</v>
      </c>
      <c r="AY59" s="605">
        <v>0</v>
      </c>
      <c r="AZ59" s="605">
        <v>0</v>
      </c>
      <c r="BA59" s="606">
        <f t="shared" si="12"/>
        <v>0</v>
      </c>
      <c r="BB59" s="604">
        <v>0</v>
      </c>
      <c r="BC59" s="605">
        <v>0</v>
      </c>
      <c r="BD59" s="605">
        <v>0</v>
      </c>
      <c r="BE59" s="605">
        <v>0</v>
      </c>
      <c r="BF59" s="605">
        <v>0</v>
      </c>
      <c r="BG59" s="605">
        <v>0</v>
      </c>
      <c r="BH59" s="605">
        <v>0</v>
      </c>
      <c r="BI59" s="606">
        <f t="shared" si="2"/>
        <v>0</v>
      </c>
      <c r="BJ59" s="551">
        <f t="shared" si="31"/>
        <v>340393.65169999999</v>
      </c>
      <c r="BK59" s="607"/>
      <c r="BL59" s="608"/>
      <c r="BM59" s="608"/>
      <c r="BN59" s="608"/>
      <c r="BO59" s="557">
        <f t="shared" si="32"/>
        <v>0</v>
      </c>
      <c r="BP59" s="607"/>
      <c r="BQ59" s="608"/>
      <c r="BR59" s="608"/>
      <c r="BS59" s="557">
        <f t="shared" si="33"/>
        <v>0</v>
      </c>
      <c r="BT59" s="607"/>
      <c r="BU59" s="557">
        <f t="shared" si="16"/>
        <v>0</v>
      </c>
      <c r="BV59" s="607"/>
      <c r="BW59" s="608"/>
      <c r="BX59" s="608"/>
      <c r="BY59" s="608"/>
      <c r="BZ59" s="608"/>
      <c r="CA59" s="608"/>
      <c r="CB59" s="608"/>
      <c r="CC59" s="608"/>
      <c r="CD59" s="608"/>
      <c r="CE59" s="557">
        <f t="shared" si="17"/>
        <v>0</v>
      </c>
      <c r="CF59" s="607"/>
      <c r="CG59" s="608"/>
      <c r="CH59" s="608"/>
      <c r="CI59" s="608"/>
      <c r="CJ59" s="608"/>
      <c r="CK59" s="608"/>
      <c r="CL59" s="608"/>
      <c r="CM59" s="557">
        <f t="shared" si="18"/>
        <v>0</v>
      </c>
      <c r="CN59" s="607"/>
      <c r="CO59" s="609">
        <f t="shared" si="19"/>
        <v>0</v>
      </c>
      <c r="CP59" s="610">
        <f t="shared" si="3"/>
        <v>0</v>
      </c>
      <c r="CQ59" s="545"/>
      <c r="CR59" s="546"/>
      <c r="CS59" s="544">
        <f t="shared" si="39"/>
        <v>0</v>
      </c>
      <c r="CT59" s="545"/>
      <c r="CU59" s="546"/>
      <c r="CV59" s="546"/>
      <c r="CW59" s="544">
        <f t="shared" si="40"/>
        <v>0</v>
      </c>
      <c r="CX59" s="547">
        <f t="shared" si="41"/>
        <v>0</v>
      </c>
      <c r="CY59" s="611">
        <f t="shared" si="42"/>
        <v>362160.18136666669</v>
      </c>
    </row>
    <row r="60" spans="1:103" s="561" customFormat="1" ht="30">
      <c r="A60" s="538">
        <v>56</v>
      </c>
      <c r="B60" s="602" t="s">
        <v>698</v>
      </c>
      <c r="C60" s="603" t="s">
        <v>885</v>
      </c>
      <c r="D60" s="541" t="s">
        <v>829</v>
      </c>
      <c r="E60" s="545">
        <v>0</v>
      </c>
      <c r="F60" s="546">
        <v>0</v>
      </c>
      <c r="G60" s="546">
        <v>0</v>
      </c>
      <c r="H60" s="546">
        <v>0</v>
      </c>
      <c r="I60" s="544">
        <f t="shared" si="4"/>
        <v>0</v>
      </c>
      <c r="J60" s="545">
        <v>0</v>
      </c>
      <c r="K60" s="546">
        <v>0</v>
      </c>
      <c r="L60" s="546">
        <v>0</v>
      </c>
      <c r="M60" s="546">
        <v>0</v>
      </c>
      <c r="N60" s="544">
        <f t="shared" si="5"/>
        <v>0</v>
      </c>
      <c r="O60" s="545">
        <v>12.007500000000002</v>
      </c>
      <c r="P60" s="546">
        <v>0</v>
      </c>
      <c r="Q60" s="544">
        <f t="shared" si="6"/>
        <v>12.007500000000002</v>
      </c>
      <c r="R60" s="545">
        <v>0</v>
      </c>
      <c r="S60" s="546">
        <v>0</v>
      </c>
      <c r="T60" s="546">
        <v>0</v>
      </c>
      <c r="U60" s="546">
        <v>0</v>
      </c>
      <c r="V60" s="546">
        <v>0</v>
      </c>
      <c r="W60" s="546">
        <v>0</v>
      </c>
      <c r="X60" s="544">
        <f t="shared" si="7"/>
        <v>0</v>
      </c>
      <c r="Y60" s="545">
        <v>0</v>
      </c>
      <c r="Z60" s="546">
        <v>0</v>
      </c>
      <c r="AA60" s="546">
        <v>4.919999999999999</v>
      </c>
      <c r="AB60" s="544">
        <f t="shared" si="1"/>
        <v>4.919999999999999</v>
      </c>
      <c r="AC60" s="547">
        <f t="shared" si="38"/>
        <v>16.927500000000002</v>
      </c>
      <c r="AD60" s="604" t="s">
        <v>816</v>
      </c>
      <c r="AE60" s="605" t="s">
        <v>816</v>
      </c>
      <c r="AF60" s="606">
        <f t="shared" si="9"/>
        <v>0</v>
      </c>
      <c r="AG60" s="604" t="s">
        <v>816</v>
      </c>
      <c r="AH60" s="605" t="s">
        <v>816</v>
      </c>
      <c r="AI60" s="605" t="s">
        <v>816</v>
      </c>
      <c r="AJ60" s="605" t="s">
        <v>816</v>
      </c>
      <c r="AK60" s="605" t="s">
        <v>816</v>
      </c>
      <c r="AL60" s="605" t="s">
        <v>816</v>
      </c>
      <c r="AM60" s="605" t="s">
        <v>816</v>
      </c>
      <c r="AN60" s="605" t="s">
        <v>816</v>
      </c>
      <c r="AO60" s="605" t="s">
        <v>816</v>
      </c>
      <c r="AP60" s="605" t="s">
        <v>816</v>
      </c>
      <c r="AQ60" s="606">
        <f t="shared" si="10"/>
        <v>0</v>
      </c>
      <c r="AR60" s="604" t="s">
        <v>816</v>
      </c>
      <c r="AS60" s="605" t="s">
        <v>816</v>
      </c>
      <c r="AT60" s="605" t="s">
        <v>816</v>
      </c>
      <c r="AU60" s="606">
        <f t="shared" si="11"/>
        <v>0</v>
      </c>
      <c r="AV60" s="604" t="s">
        <v>816</v>
      </c>
      <c r="AW60" s="605" t="s">
        <v>816</v>
      </c>
      <c r="AX60" s="605" t="s">
        <v>816</v>
      </c>
      <c r="AY60" s="605" t="s">
        <v>816</v>
      </c>
      <c r="AZ60" s="605" t="s">
        <v>816</v>
      </c>
      <c r="BA60" s="606">
        <f t="shared" si="12"/>
        <v>0</v>
      </c>
      <c r="BB60" s="604" t="s">
        <v>816</v>
      </c>
      <c r="BC60" s="605" t="s">
        <v>816</v>
      </c>
      <c r="BD60" s="605" t="s">
        <v>816</v>
      </c>
      <c r="BE60" s="605" t="s">
        <v>816</v>
      </c>
      <c r="BF60" s="605" t="s">
        <v>816</v>
      </c>
      <c r="BG60" s="605" t="s">
        <v>816</v>
      </c>
      <c r="BH60" s="605" t="s">
        <v>816</v>
      </c>
      <c r="BI60" s="606">
        <f t="shared" si="2"/>
        <v>0</v>
      </c>
      <c r="BJ60" s="551">
        <f t="shared" si="31"/>
        <v>0</v>
      </c>
      <c r="BK60" s="607"/>
      <c r="BL60" s="608"/>
      <c r="BM60" s="608"/>
      <c r="BN60" s="608"/>
      <c r="BO60" s="557">
        <f t="shared" si="32"/>
        <v>0</v>
      </c>
      <c r="BP60" s="607"/>
      <c r="BQ60" s="608"/>
      <c r="BR60" s="608"/>
      <c r="BS60" s="557">
        <f t="shared" si="33"/>
        <v>0</v>
      </c>
      <c r="BT60" s="607"/>
      <c r="BU60" s="557">
        <f t="shared" si="16"/>
        <v>0</v>
      </c>
      <c r="BV60" s="607"/>
      <c r="BW60" s="608"/>
      <c r="BX60" s="608"/>
      <c r="BY60" s="608"/>
      <c r="BZ60" s="608"/>
      <c r="CA60" s="608"/>
      <c r="CB60" s="608"/>
      <c r="CC60" s="608"/>
      <c r="CD60" s="608"/>
      <c r="CE60" s="557">
        <f t="shared" si="17"/>
        <v>0</v>
      </c>
      <c r="CF60" s="607"/>
      <c r="CG60" s="608"/>
      <c r="CH60" s="608"/>
      <c r="CI60" s="608"/>
      <c r="CJ60" s="608"/>
      <c r="CK60" s="608"/>
      <c r="CL60" s="608"/>
      <c r="CM60" s="557">
        <f t="shared" si="18"/>
        <v>0</v>
      </c>
      <c r="CN60" s="607"/>
      <c r="CO60" s="609">
        <f t="shared" si="19"/>
        <v>0</v>
      </c>
      <c r="CP60" s="610">
        <f t="shared" si="3"/>
        <v>0</v>
      </c>
      <c r="CQ60" s="545"/>
      <c r="CR60" s="546"/>
      <c r="CS60" s="544">
        <f t="shared" si="39"/>
        <v>0</v>
      </c>
      <c r="CT60" s="545"/>
      <c r="CU60" s="546"/>
      <c r="CV60" s="546"/>
      <c r="CW60" s="544">
        <f t="shared" si="40"/>
        <v>0</v>
      </c>
      <c r="CX60" s="547">
        <f t="shared" si="41"/>
        <v>0</v>
      </c>
      <c r="CY60" s="611">
        <f t="shared" si="42"/>
        <v>16.927500000000002</v>
      </c>
    </row>
    <row r="61" spans="1:103" s="635" customFormat="1">
      <c r="A61" s="617">
        <v>57</v>
      </c>
      <c r="B61" s="618"/>
      <c r="C61" s="619" t="s">
        <v>887</v>
      </c>
      <c r="D61" s="620"/>
      <c r="E61" s="621"/>
      <c r="F61" s="622"/>
      <c r="G61" s="622"/>
      <c r="H61" s="622"/>
      <c r="I61" s="623"/>
      <c r="J61" s="621"/>
      <c r="K61" s="622"/>
      <c r="L61" s="622"/>
      <c r="M61" s="622"/>
      <c r="N61" s="623"/>
      <c r="O61" s="621"/>
      <c r="P61" s="622"/>
      <c r="Q61" s="623"/>
      <c r="R61" s="621"/>
      <c r="S61" s="622"/>
      <c r="T61" s="622"/>
      <c r="U61" s="622"/>
      <c r="V61" s="622"/>
      <c r="W61" s="622"/>
      <c r="X61" s="623"/>
      <c r="Y61" s="621"/>
      <c r="Z61" s="622"/>
      <c r="AA61" s="622"/>
      <c r="AB61" s="623"/>
      <c r="AC61" s="624"/>
      <c r="AD61" s="625"/>
      <c r="AE61" s="626"/>
      <c r="AF61" s="627"/>
      <c r="AG61" s="625"/>
      <c r="AH61" s="626"/>
      <c r="AI61" s="626"/>
      <c r="AJ61" s="626"/>
      <c r="AK61" s="626"/>
      <c r="AL61" s="626"/>
      <c r="AM61" s="626"/>
      <c r="AN61" s="626"/>
      <c r="AO61" s="626"/>
      <c r="AP61" s="626"/>
      <c r="AQ61" s="627"/>
      <c r="AR61" s="625"/>
      <c r="AS61" s="626"/>
      <c r="AT61" s="626"/>
      <c r="AU61" s="627"/>
      <c r="AV61" s="625"/>
      <c r="AW61" s="626"/>
      <c r="AX61" s="626"/>
      <c r="AY61" s="626"/>
      <c r="AZ61" s="626"/>
      <c r="BA61" s="627"/>
      <c r="BB61" s="625"/>
      <c r="BC61" s="626"/>
      <c r="BD61" s="626"/>
      <c r="BE61" s="626"/>
      <c r="BF61" s="626"/>
      <c r="BG61" s="626"/>
      <c r="BH61" s="626"/>
      <c r="BI61" s="627"/>
      <c r="BJ61" s="628"/>
      <c r="BK61" s="629"/>
      <c r="BL61" s="630"/>
      <c r="BM61" s="630"/>
      <c r="BN61" s="630"/>
      <c r="BO61" s="631">
        <f t="shared" si="32"/>
        <v>0</v>
      </c>
      <c r="BP61" s="629"/>
      <c r="BQ61" s="630"/>
      <c r="BR61" s="630"/>
      <c r="BS61" s="631"/>
      <c r="BT61" s="629"/>
      <c r="BU61" s="631"/>
      <c r="BV61" s="629"/>
      <c r="BW61" s="630"/>
      <c r="BX61" s="630"/>
      <c r="BY61" s="630"/>
      <c r="BZ61" s="630"/>
      <c r="CA61" s="630"/>
      <c r="CB61" s="630"/>
      <c r="CC61" s="630"/>
      <c r="CD61" s="630"/>
      <c r="CE61" s="631"/>
      <c r="CF61" s="629"/>
      <c r="CG61" s="630"/>
      <c r="CH61" s="630"/>
      <c r="CI61" s="630"/>
      <c r="CJ61" s="630"/>
      <c r="CK61" s="630"/>
      <c r="CL61" s="630"/>
      <c r="CM61" s="631"/>
      <c r="CN61" s="629"/>
      <c r="CO61" s="632"/>
      <c r="CP61" s="633"/>
      <c r="CQ61" s="621"/>
      <c r="CR61" s="622"/>
      <c r="CS61" s="623"/>
      <c r="CT61" s="621"/>
      <c r="CU61" s="622"/>
      <c r="CV61" s="622"/>
      <c r="CW61" s="623"/>
      <c r="CX61" s="624"/>
      <c r="CY61" s="634"/>
    </row>
    <row r="62" spans="1:103" s="561" customFormat="1">
      <c r="A62" s="538">
        <v>58</v>
      </c>
      <c r="B62" s="602" t="s">
        <v>857</v>
      </c>
      <c r="C62" s="603" t="s">
        <v>858</v>
      </c>
      <c r="D62" s="541" t="s">
        <v>829</v>
      </c>
      <c r="E62" s="545">
        <v>430.27199999999999</v>
      </c>
      <c r="F62" s="546">
        <v>303.58800000000002</v>
      </c>
      <c r="G62" s="546">
        <v>116.64</v>
      </c>
      <c r="H62" s="546">
        <v>904.28399999999999</v>
      </c>
      <c r="I62" s="544">
        <f t="shared" si="4"/>
        <v>1754.7840000000001</v>
      </c>
      <c r="J62" s="545">
        <v>1009.5840000000001</v>
      </c>
      <c r="K62" s="546">
        <v>1986.444</v>
      </c>
      <c r="L62" s="546">
        <v>864.43200000000002</v>
      </c>
      <c r="M62" s="546">
        <v>529.74</v>
      </c>
      <c r="N62" s="544">
        <f t="shared" si="5"/>
        <v>4390.2</v>
      </c>
      <c r="O62" s="545">
        <v>0</v>
      </c>
      <c r="P62" s="546">
        <v>0</v>
      </c>
      <c r="Q62" s="544">
        <f t="shared" si="6"/>
        <v>0</v>
      </c>
      <c r="R62" s="545">
        <v>10.368</v>
      </c>
      <c r="S62" s="546">
        <v>13.478400000000001</v>
      </c>
      <c r="T62" s="546">
        <v>20.269440000000003</v>
      </c>
      <c r="U62" s="546">
        <v>31.104000000000006</v>
      </c>
      <c r="V62" s="546">
        <v>23.224320000000002</v>
      </c>
      <c r="W62" s="546">
        <v>3.5251200000000003</v>
      </c>
      <c r="X62" s="544">
        <f t="shared" si="7"/>
        <v>101.96928000000001</v>
      </c>
      <c r="Y62" s="545">
        <v>251.99999999999997</v>
      </c>
      <c r="Z62" s="546">
        <v>62.999999999999993</v>
      </c>
      <c r="AA62" s="546">
        <v>62.999999999999993</v>
      </c>
      <c r="AB62" s="544">
        <f t="shared" si="1"/>
        <v>377.99999999999994</v>
      </c>
      <c r="AC62" s="547">
        <f t="shared" ref="AC62:AC67" si="43">+IF(D62="",0,I62+N62+Q62+X62+AB62)</f>
        <v>6624.9532800000006</v>
      </c>
      <c r="AD62" s="604">
        <v>1317.6704000000002</v>
      </c>
      <c r="AE62" s="605">
        <v>720</v>
      </c>
      <c r="AF62" s="606">
        <f t="shared" si="9"/>
        <v>2037.6704000000002</v>
      </c>
      <c r="AG62" s="604">
        <v>154.46976000000001</v>
      </c>
      <c r="AH62" s="605">
        <v>2639.3739200000005</v>
      </c>
      <c r="AI62" s="605">
        <v>337.20000000000005</v>
      </c>
      <c r="AJ62" s="605">
        <v>14.751999999999999</v>
      </c>
      <c r="AK62" s="605">
        <v>60</v>
      </c>
      <c r="AL62" s="605">
        <v>14.8</v>
      </c>
      <c r="AM62" s="605">
        <v>362.40000000000003</v>
      </c>
      <c r="AN62" s="605">
        <v>697.75599999999997</v>
      </c>
      <c r="AO62" s="605">
        <v>37.828000000000003</v>
      </c>
      <c r="AP62" s="605">
        <v>76</v>
      </c>
      <c r="AQ62" s="606">
        <f t="shared" si="10"/>
        <v>4394.5796800000016</v>
      </c>
      <c r="AR62" s="604">
        <v>1.264856</v>
      </c>
      <c r="AS62" s="605">
        <v>1.006208</v>
      </c>
      <c r="AT62" s="605">
        <v>0.23199999999999998</v>
      </c>
      <c r="AU62" s="606">
        <f t="shared" si="11"/>
        <v>2.5030640000000002</v>
      </c>
      <c r="AV62" s="604">
        <v>8.8000000000000005E-3</v>
      </c>
      <c r="AW62" s="605">
        <v>0.89000000000000012</v>
      </c>
      <c r="AX62" s="605">
        <v>2.0000000000000004E-2</v>
      </c>
      <c r="AY62" s="605">
        <v>0.57999999999999996</v>
      </c>
      <c r="AZ62" s="605">
        <v>2.8000000000000004E-2</v>
      </c>
      <c r="BA62" s="606">
        <f t="shared" si="12"/>
        <v>1.5268000000000002</v>
      </c>
      <c r="BB62" s="604">
        <v>879.53728000000001</v>
      </c>
      <c r="BC62" s="605">
        <v>39.366399999999999</v>
      </c>
      <c r="BD62" s="605">
        <v>208</v>
      </c>
      <c r="BE62" s="605">
        <v>581.77279999999996</v>
      </c>
      <c r="BF62" s="605">
        <v>142.88640000000001</v>
      </c>
      <c r="BG62" s="605">
        <v>22</v>
      </c>
      <c r="BH62" s="605">
        <v>52</v>
      </c>
      <c r="BI62" s="606">
        <f t="shared" si="2"/>
        <v>1925.56288</v>
      </c>
      <c r="BJ62" s="551">
        <f t="shared" si="31"/>
        <v>8361.8428240000012</v>
      </c>
      <c r="BK62" s="607"/>
      <c r="BL62" s="608"/>
      <c r="BM62" s="608"/>
      <c r="BN62" s="608"/>
      <c r="BO62" s="557">
        <f t="shared" si="32"/>
        <v>0</v>
      </c>
      <c r="BP62" s="607"/>
      <c r="BQ62" s="608"/>
      <c r="BR62" s="608"/>
      <c r="BS62" s="557">
        <f t="shared" si="33"/>
        <v>0</v>
      </c>
      <c r="BT62" s="607"/>
      <c r="BU62" s="557">
        <f t="shared" si="16"/>
        <v>0</v>
      </c>
      <c r="BV62" s="607">
        <v>43.75</v>
      </c>
      <c r="BW62" s="608">
        <v>335.84</v>
      </c>
      <c r="BX62" s="608">
        <v>58.75</v>
      </c>
      <c r="BY62" s="608">
        <v>97.67</v>
      </c>
      <c r="BZ62" s="608">
        <v>25</v>
      </c>
      <c r="CA62" s="608">
        <v>828.4</v>
      </c>
      <c r="CB62" s="608">
        <v>90.6</v>
      </c>
      <c r="CC62" s="608">
        <v>25.2</v>
      </c>
      <c r="CD62" s="608">
        <v>80.95</v>
      </c>
      <c r="CE62" s="557">
        <f t="shared" si="17"/>
        <v>1586.1599999999999</v>
      </c>
      <c r="CF62" s="607"/>
      <c r="CG62" s="608">
        <v>321.95</v>
      </c>
      <c r="CH62" s="608">
        <v>20.8</v>
      </c>
      <c r="CI62" s="608">
        <v>23.4</v>
      </c>
      <c r="CJ62" s="608">
        <v>14.3</v>
      </c>
      <c r="CK62" s="608">
        <v>26.95</v>
      </c>
      <c r="CL62" s="608">
        <v>13.5</v>
      </c>
      <c r="CM62" s="557">
        <f t="shared" si="18"/>
        <v>420.9</v>
      </c>
      <c r="CN62" s="607">
        <v>102.68</v>
      </c>
      <c r="CO62" s="609">
        <f t="shared" si="19"/>
        <v>102.68</v>
      </c>
      <c r="CP62" s="610">
        <f t="shared" si="3"/>
        <v>2109.7399999999998</v>
      </c>
      <c r="CQ62" s="545">
        <v>200</v>
      </c>
      <c r="CR62" s="546">
        <v>200</v>
      </c>
      <c r="CS62" s="544">
        <f t="shared" ref="CS62:CS67" si="44">+CQ62+CR62</f>
        <v>400</v>
      </c>
      <c r="CT62" s="545">
        <v>539.9</v>
      </c>
      <c r="CU62" s="546">
        <v>231</v>
      </c>
      <c r="CV62" s="546">
        <v>151.19999999999999</v>
      </c>
      <c r="CW62" s="544">
        <f t="shared" ref="CW62:CW67" si="45">+CT62+CU62+CV62</f>
        <v>922.09999999999991</v>
      </c>
      <c r="CX62" s="547">
        <f t="shared" ref="CX62:CX67" si="46">+CS62+CW62</f>
        <v>1322.1</v>
      </c>
      <c r="CY62" s="611">
        <f t="shared" ref="CY62:CY67" si="47">IF(D62="",0,AC62+BJ62+CP62+CX62)</f>
        <v>18418.636103999997</v>
      </c>
    </row>
    <row r="63" spans="1:103" s="561" customFormat="1" hidden="1">
      <c r="A63" s="538">
        <v>59</v>
      </c>
      <c r="B63" s="602" t="s">
        <v>859</v>
      </c>
      <c r="C63" s="603" t="s">
        <v>860</v>
      </c>
      <c r="D63" s="541" t="s">
        <v>829</v>
      </c>
      <c r="E63" s="545">
        <v>0</v>
      </c>
      <c r="F63" s="546">
        <v>0</v>
      </c>
      <c r="G63" s="546">
        <v>0</v>
      </c>
      <c r="H63" s="546">
        <v>0</v>
      </c>
      <c r="I63" s="544">
        <f t="shared" si="4"/>
        <v>0</v>
      </c>
      <c r="J63" s="545">
        <v>0</v>
      </c>
      <c r="K63" s="546">
        <v>0</v>
      </c>
      <c r="L63" s="546">
        <v>0</v>
      </c>
      <c r="M63" s="546">
        <v>0</v>
      </c>
      <c r="N63" s="544">
        <f t="shared" si="5"/>
        <v>0</v>
      </c>
      <c r="O63" s="545">
        <v>0</v>
      </c>
      <c r="P63" s="546">
        <v>0</v>
      </c>
      <c r="Q63" s="544">
        <f t="shared" si="6"/>
        <v>0</v>
      </c>
      <c r="R63" s="545">
        <v>0</v>
      </c>
      <c r="S63" s="546">
        <v>0</v>
      </c>
      <c r="T63" s="546">
        <v>0</v>
      </c>
      <c r="U63" s="546">
        <v>0</v>
      </c>
      <c r="V63" s="546">
        <v>0</v>
      </c>
      <c r="W63" s="546">
        <v>0</v>
      </c>
      <c r="X63" s="544">
        <f t="shared" si="7"/>
        <v>0</v>
      </c>
      <c r="Y63" s="545">
        <v>0</v>
      </c>
      <c r="Z63" s="546">
        <v>0</v>
      </c>
      <c r="AA63" s="546">
        <v>0</v>
      </c>
      <c r="AB63" s="544">
        <f t="shared" si="1"/>
        <v>0</v>
      </c>
      <c r="AC63" s="547">
        <f t="shared" si="43"/>
        <v>0</v>
      </c>
      <c r="AD63" s="604" t="s">
        <v>816</v>
      </c>
      <c r="AE63" s="605" t="s">
        <v>816</v>
      </c>
      <c r="AF63" s="606">
        <f t="shared" si="9"/>
        <v>0</v>
      </c>
      <c r="AG63" s="604" t="s">
        <v>816</v>
      </c>
      <c r="AH63" s="605" t="s">
        <v>816</v>
      </c>
      <c r="AI63" s="605" t="s">
        <v>816</v>
      </c>
      <c r="AJ63" s="605" t="s">
        <v>816</v>
      </c>
      <c r="AK63" s="605" t="s">
        <v>816</v>
      </c>
      <c r="AL63" s="605" t="s">
        <v>816</v>
      </c>
      <c r="AM63" s="605" t="s">
        <v>816</v>
      </c>
      <c r="AN63" s="605" t="s">
        <v>816</v>
      </c>
      <c r="AO63" s="605" t="s">
        <v>816</v>
      </c>
      <c r="AP63" s="605" t="s">
        <v>816</v>
      </c>
      <c r="AQ63" s="606">
        <f t="shared" si="10"/>
        <v>0</v>
      </c>
      <c r="AR63" s="604" t="s">
        <v>816</v>
      </c>
      <c r="AS63" s="605" t="s">
        <v>816</v>
      </c>
      <c r="AT63" s="605" t="s">
        <v>816</v>
      </c>
      <c r="AU63" s="606">
        <f t="shared" si="11"/>
        <v>0</v>
      </c>
      <c r="AV63" s="604" t="s">
        <v>816</v>
      </c>
      <c r="AW63" s="605" t="s">
        <v>816</v>
      </c>
      <c r="AX63" s="605" t="s">
        <v>816</v>
      </c>
      <c r="AY63" s="605" t="s">
        <v>816</v>
      </c>
      <c r="AZ63" s="605" t="s">
        <v>816</v>
      </c>
      <c r="BA63" s="606">
        <f t="shared" si="12"/>
        <v>0</v>
      </c>
      <c r="BB63" s="604" t="s">
        <v>816</v>
      </c>
      <c r="BC63" s="605" t="s">
        <v>816</v>
      </c>
      <c r="BD63" s="605" t="s">
        <v>816</v>
      </c>
      <c r="BE63" s="605" t="s">
        <v>816</v>
      </c>
      <c r="BF63" s="605" t="s">
        <v>816</v>
      </c>
      <c r="BG63" s="605" t="s">
        <v>816</v>
      </c>
      <c r="BH63" s="605" t="s">
        <v>816</v>
      </c>
      <c r="BI63" s="606">
        <f t="shared" si="2"/>
        <v>0</v>
      </c>
      <c r="BJ63" s="551">
        <f t="shared" si="31"/>
        <v>0</v>
      </c>
      <c r="BK63" s="607"/>
      <c r="BL63" s="608"/>
      <c r="BM63" s="608"/>
      <c r="BN63" s="608"/>
      <c r="BO63" s="557">
        <f t="shared" si="32"/>
        <v>0</v>
      </c>
      <c r="BP63" s="607"/>
      <c r="BQ63" s="608"/>
      <c r="BR63" s="608"/>
      <c r="BS63" s="557">
        <f t="shared" si="33"/>
        <v>0</v>
      </c>
      <c r="BT63" s="607"/>
      <c r="BU63" s="557">
        <f t="shared" si="16"/>
        <v>0</v>
      </c>
      <c r="BV63" s="607"/>
      <c r="BW63" s="608"/>
      <c r="BX63" s="608"/>
      <c r="BY63" s="608"/>
      <c r="BZ63" s="608"/>
      <c r="CA63" s="608"/>
      <c r="CB63" s="608"/>
      <c r="CC63" s="608"/>
      <c r="CD63" s="608"/>
      <c r="CE63" s="557">
        <f t="shared" si="17"/>
        <v>0</v>
      </c>
      <c r="CF63" s="607"/>
      <c r="CG63" s="608"/>
      <c r="CH63" s="608"/>
      <c r="CI63" s="608"/>
      <c r="CJ63" s="608"/>
      <c r="CK63" s="608"/>
      <c r="CL63" s="608"/>
      <c r="CM63" s="557">
        <f t="shared" si="18"/>
        <v>0</v>
      </c>
      <c r="CN63" s="607"/>
      <c r="CO63" s="609">
        <f t="shared" si="19"/>
        <v>0</v>
      </c>
      <c r="CP63" s="610">
        <f t="shared" si="3"/>
        <v>0</v>
      </c>
      <c r="CQ63" s="545"/>
      <c r="CR63" s="546"/>
      <c r="CS63" s="544">
        <f t="shared" si="44"/>
        <v>0</v>
      </c>
      <c r="CT63" s="545"/>
      <c r="CU63" s="546"/>
      <c r="CV63" s="546"/>
      <c r="CW63" s="544">
        <f t="shared" si="45"/>
        <v>0</v>
      </c>
      <c r="CX63" s="547">
        <f t="shared" si="46"/>
        <v>0</v>
      </c>
      <c r="CY63" s="611">
        <f t="shared" si="47"/>
        <v>0</v>
      </c>
    </row>
    <row r="64" spans="1:103" s="561" customFormat="1" hidden="1">
      <c r="A64" s="538">
        <v>60</v>
      </c>
      <c r="B64" s="602" t="s">
        <v>861</v>
      </c>
      <c r="C64" s="603" t="s">
        <v>862</v>
      </c>
      <c r="D64" s="541" t="s">
        <v>829</v>
      </c>
      <c r="E64" s="545">
        <v>0</v>
      </c>
      <c r="F64" s="546">
        <v>0</v>
      </c>
      <c r="G64" s="546">
        <v>0</v>
      </c>
      <c r="H64" s="546">
        <v>0</v>
      </c>
      <c r="I64" s="544">
        <f t="shared" si="4"/>
        <v>0</v>
      </c>
      <c r="J64" s="545">
        <v>0</v>
      </c>
      <c r="K64" s="546">
        <v>0</v>
      </c>
      <c r="L64" s="546">
        <v>0</v>
      </c>
      <c r="M64" s="546">
        <v>0</v>
      </c>
      <c r="N64" s="544">
        <f t="shared" si="5"/>
        <v>0</v>
      </c>
      <c r="O64" s="545">
        <v>0</v>
      </c>
      <c r="P64" s="546">
        <v>0</v>
      </c>
      <c r="Q64" s="544">
        <f t="shared" si="6"/>
        <v>0</v>
      </c>
      <c r="R64" s="545">
        <v>0</v>
      </c>
      <c r="S64" s="546">
        <v>0</v>
      </c>
      <c r="T64" s="546">
        <v>0</v>
      </c>
      <c r="U64" s="546">
        <v>0</v>
      </c>
      <c r="V64" s="546">
        <v>0</v>
      </c>
      <c r="W64" s="546">
        <v>0</v>
      </c>
      <c r="X64" s="544">
        <f t="shared" si="7"/>
        <v>0</v>
      </c>
      <c r="Y64" s="545">
        <v>0</v>
      </c>
      <c r="Z64" s="546">
        <v>0</v>
      </c>
      <c r="AA64" s="546">
        <v>0</v>
      </c>
      <c r="AB64" s="544">
        <f t="shared" si="1"/>
        <v>0</v>
      </c>
      <c r="AC64" s="547">
        <f t="shared" si="43"/>
        <v>0</v>
      </c>
      <c r="AD64" s="604" t="s">
        <v>816</v>
      </c>
      <c r="AE64" s="605" t="s">
        <v>816</v>
      </c>
      <c r="AF64" s="606">
        <f t="shared" si="9"/>
        <v>0</v>
      </c>
      <c r="AG64" s="604" t="s">
        <v>816</v>
      </c>
      <c r="AH64" s="605" t="s">
        <v>816</v>
      </c>
      <c r="AI64" s="605" t="s">
        <v>816</v>
      </c>
      <c r="AJ64" s="605" t="s">
        <v>816</v>
      </c>
      <c r="AK64" s="605" t="s">
        <v>816</v>
      </c>
      <c r="AL64" s="605" t="s">
        <v>816</v>
      </c>
      <c r="AM64" s="605" t="s">
        <v>816</v>
      </c>
      <c r="AN64" s="605" t="s">
        <v>816</v>
      </c>
      <c r="AO64" s="605" t="s">
        <v>816</v>
      </c>
      <c r="AP64" s="605" t="s">
        <v>816</v>
      </c>
      <c r="AQ64" s="606">
        <f t="shared" si="10"/>
        <v>0</v>
      </c>
      <c r="AR64" s="604" t="s">
        <v>816</v>
      </c>
      <c r="AS64" s="605" t="s">
        <v>816</v>
      </c>
      <c r="AT64" s="605" t="s">
        <v>816</v>
      </c>
      <c r="AU64" s="606">
        <f t="shared" si="11"/>
        <v>0</v>
      </c>
      <c r="AV64" s="604" t="s">
        <v>816</v>
      </c>
      <c r="AW64" s="605" t="s">
        <v>816</v>
      </c>
      <c r="AX64" s="605" t="s">
        <v>816</v>
      </c>
      <c r="AY64" s="605" t="s">
        <v>816</v>
      </c>
      <c r="AZ64" s="605" t="s">
        <v>816</v>
      </c>
      <c r="BA64" s="606">
        <f t="shared" si="12"/>
        <v>0</v>
      </c>
      <c r="BB64" s="604" t="s">
        <v>816</v>
      </c>
      <c r="BC64" s="605" t="s">
        <v>816</v>
      </c>
      <c r="BD64" s="605" t="s">
        <v>816</v>
      </c>
      <c r="BE64" s="605" t="s">
        <v>816</v>
      </c>
      <c r="BF64" s="605" t="s">
        <v>816</v>
      </c>
      <c r="BG64" s="605" t="s">
        <v>816</v>
      </c>
      <c r="BH64" s="605" t="s">
        <v>816</v>
      </c>
      <c r="BI64" s="606">
        <f t="shared" si="2"/>
        <v>0</v>
      </c>
      <c r="BJ64" s="551">
        <f t="shared" si="31"/>
        <v>0</v>
      </c>
      <c r="BK64" s="607"/>
      <c r="BL64" s="608"/>
      <c r="BM64" s="608"/>
      <c r="BN64" s="608"/>
      <c r="BO64" s="557">
        <f t="shared" si="32"/>
        <v>0</v>
      </c>
      <c r="BP64" s="607"/>
      <c r="BQ64" s="608"/>
      <c r="BR64" s="608"/>
      <c r="BS64" s="557">
        <f t="shared" si="33"/>
        <v>0</v>
      </c>
      <c r="BT64" s="607"/>
      <c r="BU64" s="557">
        <f t="shared" si="16"/>
        <v>0</v>
      </c>
      <c r="BV64" s="607"/>
      <c r="BW64" s="608"/>
      <c r="BX64" s="608"/>
      <c r="BY64" s="608"/>
      <c r="BZ64" s="608"/>
      <c r="CA64" s="608"/>
      <c r="CB64" s="608"/>
      <c r="CC64" s="608"/>
      <c r="CD64" s="608"/>
      <c r="CE64" s="557">
        <f t="shared" si="17"/>
        <v>0</v>
      </c>
      <c r="CF64" s="607"/>
      <c r="CG64" s="608"/>
      <c r="CH64" s="608"/>
      <c r="CI64" s="608"/>
      <c r="CJ64" s="608"/>
      <c r="CK64" s="608"/>
      <c r="CL64" s="608"/>
      <c r="CM64" s="557">
        <f t="shared" si="18"/>
        <v>0</v>
      </c>
      <c r="CN64" s="607"/>
      <c r="CO64" s="609">
        <f t="shared" si="19"/>
        <v>0</v>
      </c>
      <c r="CP64" s="610">
        <f t="shared" si="3"/>
        <v>0</v>
      </c>
      <c r="CQ64" s="545"/>
      <c r="CR64" s="546"/>
      <c r="CS64" s="544">
        <f t="shared" si="44"/>
        <v>0</v>
      </c>
      <c r="CT64" s="545"/>
      <c r="CU64" s="546"/>
      <c r="CV64" s="546"/>
      <c r="CW64" s="544">
        <f t="shared" si="45"/>
        <v>0</v>
      </c>
      <c r="CX64" s="547">
        <f t="shared" si="46"/>
        <v>0</v>
      </c>
      <c r="CY64" s="611">
        <f t="shared" si="47"/>
        <v>0</v>
      </c>
    </row>
    <row r="65" spans="1:103" s="561" customFormat="1" ht="30">
      <c r="A65" s="538">
        <v>61</v>
      </c>
      <c r="B65" s="602" t="s">
        <v>300</v>
      </c>
      <c r="C65" s="603" t="s">
        <v>888</v>
      </c>
      <c r="D65" s="541" t="s">
        <v>829</v>
      </c>
      <c r="E65" s="545">
        <v>212.48000000000002</v>
      </c>
      <c r="F65" s="546">
        <v>149.92000000000002</v>
      </c>
      <c r="G65" s="546">
        <v>57.6</v>
      </c>
      <c r="H65" s="546">
        <v>446.56</v>
      </c>
      <c r="I65" s="544">
        <f t="shared" si="4"/>
        <v>866.56000000000006</v>
      </c>
      <c r="J65" s="545">
        <v>498.56</v>
      </c>
      <c r="K65" s="546">
        <v>980.96</v>
      </c>
      <c r="L65" s="546">
        <v>426.88</v>
      </c>
      <c r="M65" s="546">
        <v>261.60000000000002</v>
      </c>
      <c r="N65" s="544">
        <f t="shared" si="5"/>
        <v>2168</v>
      </c>
      <c r="O65" s="545">
        <v>0</v>
      </c>
      <c r="P65" s="546">
        <v>0</v>
      </c>
      <c r="Q65" s="544">
        <f t="shared" si="6"/>
        <v>0</v>
      </c>
      <c r="R65" s="545">
        <v>0</v>
      </c>
      <c r="S65" s="546">
        <v>0</v>
      </c>
      <c r="T65" s="546">
        <v>0</v>
      </c>
      <c r="U65" s="546">
        <v>0</v>
      </c>
      <c r="V65" s="546">
        <v>0</v>
      </c>
      <c r="W65" s="546">
        <v>0</v>
      </c>
      <c r="X65" s="544">
        <f t="shared" si="7"/>
        <v>0</v>
      </c>
      <c r="Y65" s="545">
        <v>115.2</v>
      </c>
      <c r="Z65" s="546">
        <v>28.8</v>
      </c>
      <c r="AA65" s="546">
        <v>28.8</v>
      </c>
      <c r="AB65" s="544">
        <f t="shared" si="1"/>
        <v>172.8</v>
      </c>
      <c r="AC65" s="547">
        <f t="shared" si="43"/>
        <v>3207.36</v>
      </c>
      <c r="AD65" s="604">
        <v>49.6</v>
      </c>
      <c r="AE65" s="605">
        <v>0</v>
      </c>
      <c r="AF65" s="606">
        <f t="shared" si="9"/>
        <v>49.6</v>
      </c>
      <c r="AG65" s="604">
        <v>38.24</v>
      </c>
      <c r="AH65" s="605">
        <v>942.08</v>
      </c>
      <c r="AI65" s="605">
        <v>0</v>
      </c>
      <c r="AJ65" s="605">
        <v>0</v>
      </c>
      <c r="AK65" s="605">
        <v>0</v>
      </c>
      <c r="AL65" s="605">
        <v>0</v>
      </c>
      <c r="AM65" s="605">
        <v>0</v>
      </c>
      <c r="AN65" s="605">
        <v>0</v>
      </c>
      <c r="AO65" s="605">
        <v>0</v>
      </c>
      <c r="AP65" s="605">
        <v>0</v>
      </c>
      <c r="AQ65" s="606">
        <f t="shared" si="10"/>
        <v>980.32</v>
      </c>
      <c r="AR65" s="604">
        <v>0</v>
      </c>
      <c r="AS65" s="605">
        <v>0</v>
      </c>
      <c r="AT65" s="605">
        <v>0</v>
      </c>
      <c r="AU65" s="606">
        <f t="shared" si="11"/>
        <v>0</v>
      </c>
      <c r="AV65" s="604">
        <v>0</v>
      </c>
      <c r="AW65" s="605">
        <v>0</v>
      </c>
      <c r="AX65" s="605">
        <v>0</v>
      </c>
      <c r="AY65" s="605">
        <v>0</v>
      </c>
      <c r="AZ65" s="605">
        <v>0</v>
      </c>
      <c r="BA65" s="606">
        <f t="shared" si="12"/>
        <v>0</v>
      </c>
      <c r="BB65" s="604">
        <v>146.72</v>
      </c>
      <c r="BC65" s="605">
        <v>53.6</v>
      </c>
      <c r="BD65" s="605">
        <v>0</v>
      </c>
      <c r="BE65" s="605">
        <v>67.2</v>
      </c>
      <c r="BF65" s="605">
        <v>33.6</v>
      </c>
      <c r="BG65" s="605">
        <v>0</v>
      </c>
      <c r="BH65" s="605">
        <v>0</v>
      </c>
      <c r="BI65" s="606">
        <f t="shared" si="2"/>
        <v>301.12</v>
      </c>
      <c r="BJ65" s="551">
        <f t="shared" si="31"/>
        <v>1331.04</v>
      </c>
      <c r="BK65" s="607">
        <v>155.39999999999998</v>
      </c>
      <c r="BL65" s="608">
        <v>202.58</v>
      </c>
      <c r="BM65" s="608"/>
      <c r="BN65" s="608"/>
      <c r="BO65" s="557">
        <f t="shared" si="32"/>
        <v>357.98</v>
      </c>
      <c r="BP65" s="607">
        <v>44.800000000000004</v>
      </c>
      <c r="BQ65" s="608">
        <v>33.6</v>
      </c>
      <c r="BR65" s="608"/>
      <c r="BS65" s="557">
        <f t="shared" si="33"/>
        <v>78.400000000000006</v>
      </c>
      <c r="BT65" s="607"/>
      <c r="BU65" s="557">
        <f t="shared" si="16"/>
        <v>0</v>
      </c>
      <c r="BV65" s="607">
        <v>43.75</v>
      </c>
      <c r="BW65" s="608">
        <v>335.84</v>
      </c>
      <c r="BX65" s="608">
        <v>58.75</v>
      </c>
      <c r="BY65" s="608">
        <v>24.22</v>
      </c>
      <c r="BZ65" s="608">
        <v>25</v>
      </c>
      <c r="CA65" s="608">
        <v>512.5</v>
      </c>
      <c r="CB65" s="608">
        <v>90.6</v>
      </c>
      <c r="CC65" s="608">
        <v>25.2</v>
      </c>
      <c r="CD65" s="608">
        <v>80.95</v>
      </c>
      <c r="CE65" s="557">
        <f t="shared" si="17"/>
        <v>1196.81</v>
      </c>
      <c r="CF65" s="607"/>
      <c r="CG65" s="608">
        <v>146.80500000000001</v>
      </c>
      <c r="CH65" s="608"/>
      <c r="CI65" s="608"/>
      <c r="CJ65" s="608"/>
      <c r="CK65" s="608">
        <v>12.65</v>
      </c>
      <c r="CL65" s="608">
        <v>7</v>
      </c>
      <c r="CM65" s="557">
        <f t="shared" si="18"/>
        <v>166.45500000000001</v>
      </c>
      <c r="CN65" s="607">
        <v>71.48</v>
      </c>
      <c r="CO65" s="609">
        <f t="shared" si="19"/>
        <v>71.48</v>
      </c>
      <c r="CP65" s="610">
        <f t="shared" si="3"/>
        <v>1871.125</v>
      </c>
      <c r="CQ65" s="545">
        <v>79.079499999999996</v>
      </c>
      <c r="CR65" s="546">
        <v>66.746000000000009</v>
      </c>
      <c r="CS65" s="544">
        <f t="shared" si="44"/>
        <v>145.82550000000001</v>
      </c>
      <c r="CT65" s="545">
        <v>228.09</v>
      </c>
      <c r="CU65" s="546">
        <v>55.44</v>
      </c>
      <c r="CV65" s="546">
        <v>480.94</v>
      </c>
      <c r="CW65" s="544">
        <f t="shared" si="45"/>
        <v>764.47</v>
      </c>
      <c r="CX65" s="547">
        <f t="shared" si="46"/>
        <v>910.29550000000006</v>
      </c>
      <c r="CY65" s="611">
        <f t="shared" si="47"/>
        <v>7319.8204999999998</v>
      </c>
    </row>
    <row r="66" spans="1:103" s="561" customFormat="1">
      <c r="A66" s="538">
        <v>62</v>
      </c>
      <c r="B66" s="602" t="s">
        <v>16</v>
      </c>
      <c r="C66" s="603" t="s">
        <v>10</v>
      </c>
      <c r="D66" s="541" t="s">
        <v>829</v>
      </c>
      <c r="E66" s="545">
        <v>0</v>
      </c>
      <c r="F66" s="546">
        <v>0</v>
      </c>
      <c r="G66" s="546">
        <v>0</v>
      </c>
      <c r="H66" s="546">
        <v>0</v>
      </c>
      <c r="I66" s="544">
        <f t="shared" si="4"/>
        <v>0</v>
      </c>
      <c r="J66" s="545">
        <v>0</v>
      </c>
      <c r="K66" s="546">
        <v>0</v>
      </c>
      <c r="L66" s="546">
        <v>0</v>
      </c>
      <c r="M66" s="546">
        <v>0</v>
      </c>
      <c r="N66" s="544">
        <f t="shared" si="5"/>
        <v>0</v>
      </c>
      <c r="O66" s="545">
        <v>0</v>
      </c>
      <c r="P66" s="546">
        <v>0</v>
      </c>
      <c r="Q66" s="544">
        <f t="shared" si="6"/>
        <v>0</v>
      </c>
      <c r="R66" s="545">
        <v>32</v>
      </c>
      <c r="S66" s="546">
        <v>41.6</v>
      </c>
      <c r="T66" s="546">
        <v>62.56</v>
      </c>
      <c r="U66" s="546">
        <v>96.000000000000014</v>
      </c>
      <c r="V66" s="546">
        <v>71.680000000000007</v>
      </c>
      <c r="W66" s="546">
        <v>10.88</v>
      </c>
      <c r="X66" s="544">
        <f t="shared" si="7"/>
        <v>314.72000000000003</v>
      </c>
      <c r="Y66" s="545">
        <v>0</v>
      </c>
      <c r="Z66" s="546">
        <v>0</v>
      </c>
      <c r="AA66" s="546">
        <v>0</v>
      </c>
      <c r="AB66" s="544">
        <f t="shared" si="1"/>
        <v>0</v>
      </c>
      <c r="AC66" s="547">
        <f t="shared" si="43"/>
        <v>314.72000000000003</v>
      </c>
      <c r="AD66" s="604">
        <v>0</v>
      </c>
      <c r="AE66" s="605">
        <v>0</v>
      </c>
      <c r="AF66" s="606">
        <f t="shared" si="9"/>
        <v>0</v>
      </c>
      <c r="AG66" s="604">
        <v>0</v>
      </c>
      <c r="AH66" s="605">
        <v>0</v>
      </c>
      <c r="AI66" s="605">
        <v>0</v>
      </c>
      <c r="AJ66" s="605">
        <v>0</v>
      </c>
      <c r="AK66" s="605">
        <v>0</v>
      </c>
      <c r="AL66" s="605">
        <v>0</v>
      </c>
      <c r="AM66" s="605">
        <v>0</v>
      </c>
      <c r="AN66" s="605">
        <v>0</v>
      </c>
      <c r="AO66" s="605">
        <v>0</v>
      </c>
      <c r="AP66" s="605">
        <v>0</v>
      </c>
      <c r="AQ66" s="606">
        <f t="shared" si="10"/>
        <v>0</v>
      </c>
      <c r="AR66" s="604">
        <v>0</v>
      </c>
      <c r="AS66" s="605">
        <v>0</v>
      </c>
      <c r="AT66" s="605">
        <v>0</v>
      </c>
      <c r="AU66" s="606">
        <f t="shared" si="11"/>
        <v>0</v>
      </c>
      <c r="AV66" s="604">
        <v>0</v>
      </c>
      <c r="AW66" s="605">
        <v>0</v>
      </c>
      <c r="AX66" s="605">
        <v>0</v>
      </c>
      <c r="AY66" s="605">
        <v>0</v>
      </c>
      <c r="AZ66" s="605">
        <v>0</v>
      </c>
      <c r="BA66" s="606">
        <f t="shared" si="12"/>
        <v>0</v>
      </c>
      <c r="BB66" s="604">
        <v>0</v>
      </c>
      <c r="BC66" s="605">
        <v>0</v>
      </c>
      <c r="BD66" s="605">
        <v>0</v>
      </c>
      <c r="BE66" s="605">
        <v>0</v>
      </c>
      <c r="BF66" s="605">
        <v>0</v>
      </c>
      <c r="BG66" s="605">
        <v>0</v>
      </c>
      <c r="BH66" s="605">
        <v>0</v>
      </c>
      <c r="BI66" s="606">
        <f t="shared" si="2"/>
        <v>0</v>
      </c>
      <c r="BJ66" s="551">
        <f t="shared" si="31"/>
        <v>0</v>
      </c>
      <c r="BK66" s="607">
        <v>86.75</v>
      </c>
      <c r="BL66" s="608">
        <v>367.5</v>
      </c>
      <c r="BM66" s="608">
        <v>164.75</v>
      </c>
      <c r="BN66" s="608">
        <v>65</v>
      </c>
      <c r="BO66" s="557">
        <f t="shared" si="32"/>
        <v>684</v>
      </c>
      <c r="BP66" s="607">
        <v>92.5</v>
      </c>
      <c r="BQ66" s="608">
        <v>294.5</v>
      </c>
      <c r="BR66" s="608"/>
      <c r="BS66" s="557">
        <f t="shared" si="33"/>
        <v>387</v>
      </c>
      <c r="BT66" s="607">
        <v>132.30000000000001</v>
      </c>
      <c r="BU66" s="557">
        <f t="shared" si="16"/>
        <v>132.30000000000001</v>
      </c>
      <c r="BV66" s="607"/>
      <c r="BW66" s="608"/>
      <c r="BX66" s="608"/>
      <c r="BY66" s="608">
        <v>73.45</v>
      </c>
      <c r="BZ66" s="608"/>
      <c r="CA66" s="608">
        <v>315.89999999999998</v>
      </c>
      <c r="CB66" s="608"/>
      <c r="CC66" s="608"/>
      <c r="CD66" s="608"/>
      <c r="CE66" s="557">
        <f t="shared" si="17"/>
        <v>389.34999999999997</v>
      </c>
      <c r="CF66" s="607"/>
      <c r="CG66" s="608">
        <v>175.5</v>
      </c>
      <c r="CH66" s="608">
        <v>20.8</v>
      </c>
      <c r="CI66" s="608">
        <v>23.4</v>
      </c>
      <c r="CJ66" s="608">
        <v>14.3</v>
      </c>
      <c r="CK66" s="608">
        <v>14.3</v>
      </c>
      <c r="CL66" s="608">
        <v>6.5</v>
      </c>
      <c r="CM66" s="557">
        <f t="shared" si="18"/>
        <v>254.80000000000004</v>
      </c>
      <c r="CN66" s="607">
        <v>31.200000000000003</v>
      </c>
      <c r="CO66" s="609">
        <f t="shared" si="19"/>
        <v>31.200000000000003</v>
      </c>
      <c r="CP66" s="610">
        <f t="shared" si="3"/>
        <v>1878.65</v>
      </c>
      <c r="CQ66" s="545"/>
      <c r="CR66" s="546"/>
      <c r="CS66" s="544">
        <f t="shared" si="44"/>
        <v>0</v>
      </c>
      <c r="CT66" s="545"/>
      <c r="CU66" s="546"/>
      <c r="CV66" s="546"/>
      <c r="CW66" s="544">
        <f t="shared" si="45"/>
        <v>0</v>
      </c>
      <c r="CX66" s="547">
        <f t="shared" si="46"/>
        <v>0</v>
      </c>
      <c r="CY66" s="611">
        <f t="shared" si="47"/>
        <v>2193.37</v>
      </c>
    </row>
    <row r="67" spans="1:103" s="561" customFormat="1" hidden="1">
      <c r="A67" s="538">
        <v>63</v>
      </c>
      <c r="B67" s="602" t="s">
        <v>889</v>
      </c>
      <c r="C67" s="603" t="s">
        <v>890</v>
      </c>
      <c r="D67" s="541" t="s">
        <v>829</v>
      </c>
      <c r="E67" s="545">
        <v>0</v>
      </c>
      <c r="F67" s="546">
        <v>0</v>
      </c>
      <c r="G67" s="546">
        <v>0</v>
      </c>
      <c r="H67" s="546">
        <v>0</v>
      </c>
      <c r="I67" s="544">
        <f t="shared" si="4"/>
        <v>0</v>
      </c>
      <c r="J67" s="545">
        <v>0</v>
      </c>
      <c r="K67" s="546">
        <v>0</v>
      </c>
      <c r="L67" s="546">
        <v>0</v>
      </c>
      <c r="M67" s="546">
        <v>0</v>
      </c>
      <c r="N67" s="544">
        <f t="shared" si="5"/>
        <v>0</v>
      </c>
      <c r="O67" s="545">
        <v>0</v>
      </c>
      <c r="P67" s="546">
        <v>0</v>
      </c>
      <c r="Q67" s="544">
        <f t="shared" si="6"/>
        <v>0</v>
      </c>
      <c r="R67" s="545">
        <v>0</v>
      </c>
      <c r="S67" s="546">
        <v>0</v>
      </c>
      <c r="T67" s="546">
        <v>0</v>
      </c>
      <c r="U67" s="546">
        <v>0</v>
      </c>
      <c r="V67" s="546">
        <v>0</v>
      </c>
      <c r="W67" s="546">
        <v>0</v>
      </c>
      <c r="X67" s="544">
        <f t="shared" si="7"/>
        <v>0</v>
      </c>
      <c r="Y67" s="545">
        <v>0</v>
      </c>
      <c r="Z67" s="546">
        <v>0</v>
      </c>
      <c r="AA67" s="546">
        <v>0</v>
      </c>
      <c r="AB67" s="544">
        <f t="shared" si="1"/>
        <v>0</v>
      </c>
      <c r="AC67" s="547">
        <f t="shared" si="43"/>
        <v>0</v>
      </c>
      <c r="AD67" s="604">
        <v>0</v>
      </c>
      <c r="AE67" s="605">
        <v>0</v>
      </c>
      <c r="AF67" s="606">
        <f t="shared" si="9"/>
        <v>0</v>
      </c>
      <c r="AG67" s="604">
        <v>0</v>
      </c>
      <c r="AH67" s="605">
        <v>0</v>
      </c>
      <c r="AI67" s="605">
        <v>0</v>
      </c>
      <c r="AJ67" s="605">
        <v>0</v>
      </c>
      <c r="AK67" s="605">
        <v>0</v>
      </c>
      <c r="AL67" s="605">
        <v>0</v>
      </c>
      <c r="AM67" s="605">
        <v>0</v>
      </c>
      <c r="AN67" s="605">
        <v>0</v>
      </c>
      <c r="AO67" s="605">
        <v>0</v>
      </c>
      <c r="AP67" s="605">
        <v>0</v>
      </c>
      <c r="AQ67" s="606">
        <f t="shared" si="10"/>
        <v>0</v>
      </c>
      <c r="AR67" s="604">
        <v>0</v>
      </c>
      <c r="AS67" s="605">
        <v>0</v>
      </c>
      <c r="AT67" s="605">
        <v>0</v>
      </c>
      <c r="AU67" s="606">
        <f t="shared" si="11"/>
        <v>0</v>
      </c>
      <c r="AV67" s="604">
        <v>0</v>
      </c>
      <c r="AW67" s="605">
        <v>0</v>
      </c>
      <c r="AX67" s="605">
        <v>0</v>
      </c>
      <c r="AY67" s="605">
        <v>0</v>
      </c>
      <c r="AZ67" s="605">
        <v>0</v>
      </c>
      <c r="BA67" s="606">
        <f t="shared" si="12"/>
        <v>0</v>
      </c>
      <c r="BB67" s="604">
        <v>0</v>
      </c>
      <c r="BC67" s="605">
        <v>0</v>
      </c>
      <c r="BD67" s="605">
        <v>0</v>
      </c>
      <c r="BE67" s="605">
        <v>0</v>
      </c>
      <c r="BF67" s="605">
        <v>0</v>
      </c>
      <c r="BG67" s="605">
        <v>0</v>
      </c>
      <c r="BH67" s="605">
        <v>0</v>
      </c>
      <c r="BI67" s="606">
        <f t="shared" si="2"/>
        <v>0</v>
      </c>
      <c r="BJ67" s="551">
        <f t="shared" si="31"/>
        <v>0</v>
      </c>
      <c r="BK67" s="607"/>
      <c r="BL67" s="608"/>
      <c r="BM67" s="608"/>
      <c r="BN67" s="608"/>
      <c r="BO67" s="557">
        <f t="shared" si="32"/>
        <v>0</v>
      </c>
      <c r="BP67" s="607"/>
      <c r="BQ67" s="608"/>
      <c r="BR67" s="608"/>
      <c r="BS67" s="557">
        <f t="shared" si="33"/>
        <v>0</v>
      </c>
      <c r="BT67" s="607"/>
      <c r="BU67" s="557">
        <f t="shared" si="16"/>
        <v>0</v>
      </c>
      <c r="BV67" s="607"/>
      <c r="BW67" s="608"/>
      <c r="BX67" s="608"/>
      <c r="BY67" s="608"/>
      <c r="BZ67" s="608"/>
      <c r="CA67" s="608"/>
      <c r="CB67" s="608"/>
      <c r="CC67" s="608"/>
      <c r="CD67" s="608"/>
      <c r="CE67" s="557">
        <f t="shared" si="17"/>
        <v>0</v>
      </c>
      <c r="CF67" s="607"/>
      <c r="CG67" s="608"/>
      <c r="CH67" s="608"/>
      <c r="CI67" s="608"/>
      <c r="CJ67" s="608"/>
      <c r="CK67" s="608"/>
      <c r="CL67" s="608"/>
      <c r="CM67" s="557">
        <f t="shared" si="18"/>
        <v>0</v>
      </c>
      <c r="CN67" s="607"/>
      <c r="CO67" s="609">
        <f t="shared" si="19"/>
        <v>0</v>
      </c>
      <c r="CP67" s="610">
        <f t="shared" si="3"/>
        <v>0</v>
      </c>
      <c r="CQ67" s="545"/>
      <c r="CR67" s="546"/>
      <c r="CS67" s="544">
        <f t="shared" si="44"/>
        <v>0</v>
      </c>
      <c r="CT67" s="545"/>
      <c r="CU67" s="546"/>
      <c r="CV67" s="546"/>
      <c r="CW67" s="544">
        <f t="shared" si="45"/>
        <v>0</v>
      </c>
      <c r="CX67" s="547">
        <f t="shared" si="46"/>
        <v>0</v>
      </c>
      <c r="CY67" s="611">
        <f t="shared" si="47"/>
        <v>0</v>
      </c>
    </row>
    <row r="68" spans="1:103" s="635" customFormat="1">
      <c r="A68" s="617">
        <v>64</v>
      </c>
      <c r="B68" s="618"/>
      <c r="C68" s="619" t="s">
        <v>891</v>
      </c>
      <c r="D68" s="620"/>
      <c r="E68" s="621"/>
      <c r="F68" s="622"/>
      <c r="G68" s="622"/>
      <c r="H68" s="622"/>
      <c r="I68" s="623"/>
      <c r="J68" s="621"/>
      <c r="K68" s="622"/>
      <c r="L68" s="622"/>
      <c r="M68" s="622"/>
      <c r="N68" s="623"/>
      <c r="O68" s="621"/>
      <c r="P68" s="622"/>
      <c r="Q68" s="623"/>
      <c r="R68" s="621"/>
      <c r="S68" s="622"/>
      <c r="T68" s="622"/>
      <c r="U68" s="622"/>
      <c r="V68" s="622"/>
      <c r="W68" s="622"/>
      <c r="X68" s="623"/>
      <c r="Y68" s="621"/>
      <c r="Z68" s="622"/>
      <c r="AA68" s="622"/>
      <c r="AB68" s="623"/>
      <c r="AC68" s="624"/>
      <c r="AD68" s="625"/>
      <c r="AE68" s="626"/>
      <c r="AF68" s="627"/>
      <c r="AG68" s="625"/>
      <c r="AH68" s="626"/>
      <c r="AI68" s="626"/>
      <c r="AJ68" s="626"/>
      <c r="AK68" s="626"/>
      <c r="AL68" s="626"/>
      <c r="AM68" s="626"/>
      <c r="AN68" s="626"/>
      <c r="AO68" s="626"/>
      <c r="AP68" s="626"/>
      <c r="AQ68" s="627"/>
      <c r="AR68" s="625"/>
      <c r="AS68" s="626"/>
      <c r="AT68" s="626"/>
      <c r="AU68" s="627"/>
      <c r="AV68" s="625"/>
      <c r="AW68" s="626"/>
      <c r="AX68" s="626"/>
      <c r="AY68" s="626"/>
      <c r="AZ68" s="626"/>
      <c r="BA68" s="627"/>
      <c r="BB68" s="625"/>
      <c r="BC68" s="626"/>
      <c r="BD68" s="626"/>
      <c r="BE68" s="626"/>
      <c r="BF68" s="626"/>
      <c r="BG68" s="626"/>
      <c r="BH68" s="626"/>
      <c r="BI68" s="627"/>
      <c r="BJ68" s="628"/>
      <c r="BK68" s="629"/>
      <c r="BL68" s="630"/>
      <c r="BM68" s="630"/>
      <c r="BN68" s="630"/>
      <c r="BO68" s="631"/>
      <c r="BP68" s="629"/>
      <c r="BQ68" s="630"/>
      <c r="BR68" s="630"/>
      <c r="BS68" s="631"/>
      <c r="BT68" s="629"/>
      <c r="BU68" s="631"/>
      <c r="BV68" s="629"/>
      <c r="BW68" s="630"/>
      <c r="BX68" s="630"/>
      <c r="BY68" s="630"/>
      <c r="BZ68" s="630"/>
      <c r="CA68" s="630"/>
      <c r="CB68" s="630"/>
      <c r="CC68" s="630"/>
      <c r="CD68" s="630"/>
      <c r="CE68" s="631"/>
      <c r="CF68" s="629"/>
      <c r="CG68" s="630"/>
      <c r="CH68" s="630"/>
      <c r="CI68" s="630"/>
      <c r="CJ68" s="630"/>
      <c r="CK68" s="630"/>
      <c r="CL68" s="630"/>
      <c r="CM68" s="631"/>
      <c r="CN68" s="629"/>
      <c r="CO68" s="632"/>
      <c r="CP68" s="633"/>
      <c r="CQ68" s="621"/>
      <c r="CR68" s="622"/>
      <c r="CS68" s="623"/>
      <c r="CT68" s="621"/>
      <c r="CU68" s="622"/>
      <c r="CV68" s="622"/>
      <c r="CW68" s="623"/>
      <c r="CX68" s="624"/>
      <c r="CY68" s="634"/>
    </row>
    <row r="69" spans="1:103" s="561" customFormat="1">
      <c r="A69" s="538">
        <v>65</v>
      </c>
      <c r="B69" s="602" t="s">
        <v>857</v>
      </c>
      <c r="C69" s="603" t="s">
        <v>858</v>
      </c>
      <c r="D69" s="541" t="s">
        <v>829</v>
      </c>
      <c r="E69" s="545">
        <v>400.21799999999996</v>
      </c>
      <c r="F69" s="546">
        <v>201.29999999999998</v>
      </c>
      <c r="G69" s="546">
        <v>54</v>
      </c>
      <c r="H69" s="546">
        <v>510.10799999999995</v>
      </c>
      <c r="I69" s="544">
        <f t="shared" si="4"/>
        <v>1165.6259999999997</v>
      </c>
      <c r="J69" s="545">
        <v>1059.44</v>
      </c>
      <c r="K69" s="546">
        <v>2084.54</v>
      </c>
      <c r="L69" s="546">
        <v>907.12000000000012</v>
      </c>
      <c r="M69" s="546">
        <v>555.90000000000009</v>
      </c>
      <c r="N69" s="544">
        <f t="shared" si="5"/>
        <v>4607</v>
      </c>
      <c r="O69" s="545">
        <v>0</v>
      </c>
      <c r="P69" s="546">
        <v>0</v>
      </c>
      <c r="Q69" s="544">
        <f t="shared" si="6"/>
        <v>0</v>
      </c>
      <c r="R69" s="545">
        <v>138</v>
      </c>
      <c r="S69" s="546">
        <v>42</v>
      </c>
      <c r="T69" s="546">
        <v>60</v>
      </c>
      <c r="U69" s="546">
        <v>221.54999999999998</v>
      </c>
      <c r="V69" s="546">
        <v>189</v>
      </c>
      <c r="W69" s="546">
        <v>36</v>
      </c>
      <c r="X69" s="544">
        <f t="shared" si="7"/>
        <v>686.55</v>
      </c>
      <c r="Y69" s="545">
        <v>278.40000000000003</v>
      </c>
      <c r="Z69" s="546">
        <v>60.800000000000004</v>
      </c>
      <c r="AA69" s="546">
        <v>38.4</v>
      </c>
      <c r="AB69" s="544">
        <f t="shared" si="1"/>
        <v>377.6</v>
      </c>
      <c r="AC69" s="547">
        <f t="shared" ref="AC69:AC80" si="48">+IF(D69="",0,I69+N69+Q69+X69+AB69)</f>
        <v>6836.7760000000007</v>
      </c>
      <c r="AD69" s="604">
        <v>71.347499999999997</v>
      </c>
      <c r="AE69" s="605">
        <v>47.25</v>
      </c>
      <c r="AF69" s="606">
        <f t="shared" si="9"/>
        <v>118.5975</v>
      </c>
      <c r="AG69" s="604">
        <v>17.272500000000001</v>
      </c>
      <c r="AH69" s="605">
        <v>0</v>
      </c>
      <c r="AI69" s="605">
        <v>44.2575</v>
      </c>
      <c r="AJ69" s="605">
        <v>0</v>
      </c>
      <c r="AK69" s="605">
        <v>7.875</v>
      </c>
      <c r="AL69" s="605">
        <v>0</v>
      </c>
      <c r="AM69" s="605">
        <v>50.19</v>
      </c>
      <c r="AN69" s="605">
        <v>0</v>
      </c>
      <c r="AO69" s="605">
        <v>4.9874999999999998</v>
      </c>
      <c r="AP69" s="605">
        <v>0</v>
      </c>
      <c r="AQ69" s="606">
        <f t="shared" si="10"/>
        <v>124.5825</v>
      </c>
      <c r="AR69" s="604">
        <v>166.01235</v>
      </c>
      <c r="AS69" s="605">
        <v>132.06479999999999</v>
      </c>
      <c r="AT69" s="605">
        <v>30.45</v>
      </c>
      <c r="AU69" s="606">
        <f t="shared" si="11"/>
        <v>328.52714999999995</v>
      </c>
      <c r="AV69" s="604">
        <v>1.155</v>
      </c>
      <c r="AW69" s="605">
        <v>0</v>
      </c>
      <c r="AX69" s="605">
        <v>2.625</v>
      </c>
      <c r="AY69" s="605">
        <v>0</v>
      </c>
      <c r="AZ69" s="605">
        <v>3.6749999999999998</v>
      </c>
      <c r="BA69" s="606">
        <f t="shared" si="12"/>
        <v>7.4550000000000001</v>
      </c>
      <c r="BB69" s="604">
        <v>0</v>
      </c>
      <c r="BC69" s="605">
        <v>0</v>
      </c>
      <c r="BD69" s="605">
        <v>27.3</v>
      </c>
      <c r="BE69" s="605">
        <v>0</v>
      </c>
      <c r="BF69" s="605">
        <v>20.212499999999999</v>
      </c>
      <c r="BG69" s="605">
        <v>2.8874999999999997</v>
      </c>
      <c r="BH69" s="605">
        <v>0</v>
      </c>
      <c r="BI69" s="606">
        <f t="shared" si="2"/>
        <v>50.400000000000006</v>
      </c>
      <c r="BJ69" s="551">
        <f t="shared" si="31"/>
        <v>629.56214999999997</v>
      </c>
      <c r="BK69" s="607">
        <v>865.79999999999984</v>
      </c>
      <c r="BL69" s="608">
        <v>1128.6600000000001</v>
      </c>
      <c r="BM69" s="608"/>
      <c r="BN69" s="608"/>
      <c r="BO69" s="557">
        <f t="shared" si="32"/>
        <v>1994.46</v>
      </c>
      <c r="BP69" s="607">
        <v>288.60000000000002</v>
      </c>
      <c r="BQ69" s="608">
        <v>918.84</v>
      </c>
      <c r="BR69" s="608"/>
      <c r="BS69" s="557">
        <f t="shared" si="33"/>
        <v>1207.44</v>
      </c>
      <c r="BT69" s="607">
        <v>612.29999999999995</v>
      </c>
      <c r="BU69" s="557">
        <f t="shared" si="16"/>
        <v>612.29999999999995</v>
      </c>
      <c r="BV69" s="607">
        <v>14.175000000000001</v>
      </c>
      <c r="BW69" s="608">
        <v>49.526400000000002</v>
      </c>
      <c r="BX69" s="608"/>
      <c r="BY69" s="608">
        <v>32.549999999999997</v>
      </c>
      <c r="BZ69" s="608">
        <v>17.7</v>
      </c>
      <c r="CA69" s="608">
        <v>68.25</v>
      </c>
      <c r="CB69" s="608">
        <v>21</v>
      </c>
      <c r="CC69" s="608">
        <v>118.8</v>
      </c>
      <c r="CD69" s="608">
        <v>14.44</v>
      </c>
      <c r="CE69" s="557">
        <f t="shared" si="17"/>
        <v>336.44139999999999</v>
      </c>
      <c r="CF69" s="607"/>
      <c r="CG69" s="608">
        <v>165.38</v>
      </c>
      <c r="CH69" s="608">
        <v>19.43</v>
      </c>
      <c r="CI69" s="608">
        <v>9.4499999999999993</v>
      </c>
      <c r="CJ69" s="608">
        <v>5.78</v>
      </c>
      <c r="CK69" s="608">
        <v>5.78</v>
      </c>
      <c r="CL69" s="608">
        <v>2.63</v>
      </c>
      <c r="CM69" s="557">
        <f t="shared" si="18"/>
        <v>208.45</v>
      </c>
      <c r="CN69" s="607">
        <v>12.6</v>
      </c>
      <c r="CO69" s="609">
        <f t="shared" si="19"/>
        <v>12.6</v>
      </c>
      <c r="CP69" s="610">
        <f t="shared" si="3"/>
        <v>4371.6913999999997</v>
      </c>
      <c r="CQ69" s="545"/>
      <c r="CR69" s="546"/>
      <c r="CS69" s="544">
        <f>+CQ69+CR69</f>
        <v>0</v>
      </c>
      <c r="CT69" s="545"/>
      <c r="CU69" s="546"/>
      <c r="CV69" s="546"/>
      <c r="CW69" s="544">
        <f>+CT69+CU69+CV69</f>
        <v>0</v>
      </c>
      <c r="CX69" s="547">
        <f>+CS69+CW69</f>
        <v>0</v>
      </c>
      <c r="CY69" s="611">
        <f t="shared" ref="CY69:CY80" si="49">IF(D69="",0,AC69+BJ69+CP69+CX69)</f>
        <v>11838.029549999999</v>
      </c>
    </row>
    <row r="70" spans="1:103" s="561" customFormat="1" hidden="1">
      <c r="A70" s="538">
        <v>66</v>
      </c>
      <c r="B70" s="602" t="s">
        <v>859</v>
      </c>
      <c r="C70" s="603" t="s">
        <v>860</v>
      </c>
      <c r="D70" s="541" t="s">
        <v>829</v>
      </c>
      <c r="E70" s="545">
        <v>0</v>
      </c>
      <c r="F70" s="546">
        <v>0</v>
      </c>
      <c r="G70" s="546">
        <v>0</v>
      </c>
      <c r="H70" s="546">
        <v>0</v>
      </c>
      <c r="I70" s="544">
        <f t="shared" si="4"/>
        <v>0</v>
      </c>
      <c r="J70" s="545">
        <v>0</v>
      </c>
      <c r="K70" s="546">
        <v>0</v>
      </c>
      <c r="L70" s="546">
        <v>0</v>
      </c>
      <c r="M70" s="546">
        <v>0</v>
      </c>
      <c r="N70" s="544">
        <f t="shared" si="5"/>
        <v>0</v>
      </c>
      <c r="O70" s="545">
        <v>0</v>
      </c>
      <c r="P70" s="546">
        <v>0</v>
      </c>
      <c r="Q70" s="544">
        <f t="shared" si="6"/>
        <v>0</v>
      </c>
      <c r="R70" s="545">
        <v>0</v>
      </c>
      <c r="S70" s="546">
        <v>0</v>
      </c>
      <c r="T70" s="546">
        <v>0</v>
      </c>
      <c r="U70" s="546">
        <v>0</v>
      </c>
      <c r="V70" s="546">
        <v>0</v>
      </c>
      <c r="W70" s="546">
        <v>0</v>
      </c>
      <c r="X70" s="544">
        <f t="shared" si="7"/>
        <v>0</v>
      </c>
      <c r="Y70" s="545">
        <v>0</v>
      </c>
      <c r="Z70" s="546">
        <v>0</v>
      </c>
      <c r="AA70" s="546">
        <v>0</v>
      </c>
      <c r="AB70" s="544">
        <f t="shared" si="1"/>
        <v>0</v>
      </c>
      <c r="AC70" s="547">
        <f t="shared" si="48"/>
        <v>0</v>
      </c>
      <c r="AD70" s="604" t="s">
        <v>816</v>
      </c>
      <c r="AE70" s="605" t="s">
        <v>816</v>
      </c>
      <c r="AF70" s="606">
        <f t="shared" si="9"/>
        <v>0</v>
      </c>
      <c r="AG70" s="604" t="s">
        <v>816</v>
      </c>
      <c r="AH70" s="605" t="s">
        <v>816</v>
      </c>
      <c r="AI70" s="605" t="s">
        <v>816</v>
      </c>
      <c r="AJ70" s="605" t="s">
        <v>816</v>
      </c>
      <c r="AK70" s="605" t="s">
        <v>816</v>
      </c>
      <c r="AL70" s="605" t="s">
        <v>816</v>
      </c>
      <c r="AM70" s="605" t="s">
        <v>816</v>
      </c>
      <c r="AN70" s="605" t="s">
        <v>816</v>
      </c>
      <c r="AO70" s="605" t="s">
        <v>816</v>
      </c>
      <c r="AP70" s="605" t="s">
        <v>816</v>
      </c>
      <c r="AQ70" s="606">
        <f t="shared" si="10"/>
        <v>0</v>
      </c>
      <c r="AR70" s="604" t="s">
        <v>816</v>
      </c>
      <c r="AS70" s="605" t="s">
        <v>816</v>
      </c>
      <c r="AT70" s="605" t="s">
        <v>816</v>
      </c>
      <c r="AU70" s="606">
        <f t="shared" si="11"/>
        <v>0</v>
      </c>
      <c r="AV70" s="604" t="s">
        <v>816</v>
      </c>
      <c r="AW70" s="605" t="s">
        <v>816</v>
      </c>
      <c r="AX70" s="605" t="s">
        <v>816</v>
      </c>
      <c r="AY70" s="605" t="s">
        <v>816</v>
      </c>
      <c r="AZ70" s="605" t="s">
        <v>816</v>
      </c>
      <c r="BA70" s="606">
        <f t="shared" si="12"/>
        <v>0</v>
      </c>
      <c r="BB70" s="604" t="s">
        <v>816</v>
      </c>
      <c r="BC70" s="605" t="s">
        <v>816</v>
      </c>
      <c r="BD70" s="605" t="s">
        <v>816</v>
      </c>
      <c r="BE70" s="605" t="s">
        <v>816</v>
      </c>
      <c r="BF70" s="605" t="s">
        <v>816</v>
      </c>
      <c r="BG70" s="605" t="s">
        <v>816</v>
      </c>
      <c r="BH70" s="605" t="s">
        <v>816</v>
      </c>
      <c r="BI70" s="606">
        <f t="shared" si="2"/>
        <v>0</v>
      </c>
      <c r="BJ70" s="551">
        <f t="shared" si="31"/>
        <v>0</v>
      </c>
      <c r="BK70" s="607"/>
      <c r="BL70" s="608"/>
      <c r="BM70" s="608"/>
      <c r="BN70" s="608"/>
      <c r="BO70" s="557">
        <f t="shared" si="32"/>
        <v>0</v>
      </c>
      <c r="BP70" s="607"/>
      <c r="BQ70" s="608"/>
      <c r="BR70" s="608"/>
      <c r="BS70" s="557">
        <f t="shared" si="33"/>
        <v>0</v>
      </c>
      <c r="BT70" s="607"/>
      <c r="BU70" s="557">
        <f t="shared" si="16"/>
        <v>0</v>
      </c>
      <c r="BV70" s="607"/>
      <c r="BW70" s="608"/>
      <c r="BX70" s="608"/>
      <c r="BY70" s="608"/>
      <c r="BZ70" s="608"/>
      <c r="CA70" s="608"/>
      <c r="CB70" s="608"/>
      <c r="CC70" s="608"/>
      <c r="CD70" s="608"/>
      <c r="CE70" s="557">
        <f t="shared" si="17"/>
        <v>0</v>
      </c>
      <c r="CF70" s="607"/>
      <c r="CG70" s="608"/>
      <c r="CH70" s="608"/>
      <c r="CI70" s="608"/>
      <c r="CJ70" s="608"/>
      <c r="CK70" s="608"/>
      <c r="CL70" s="608"/>
      <c r="CM70" s="557">
        <f t="shared" si="18"/>
        <v>0</v>
      </c>
      <c r="CN70" s="607"/>
      <c r="CO70" s="609">
        <f t="shared" si="19"/>
        <v>0</v>
      </c>
      <c r="CP70" s="610">
        <f t="shared" si="3"/>
        <v>0</v>
      </c>
      <c r="CQ70" s="545"/>
      <c r="CR70" s="546"/>
      <c r="CS70" s="544">
        <f>+CQ70+CR70</f>
        <v>0</v>
      </c>
      <c r="CT70" s="545"/>
      <c r="CU70" s="546"/>
      <c r="CV70" s="546"/>
      <c r="CW70" s="544">
        <f>+CT70+CU70+CV70</f>
        <v>0</v>
      </c>
      <c r="CX70" s="547">
        <f>+CS70+CW70</f>
        <v>0</v>
      </c>
      <c r="CY70" s="611">
        <f t="shared" si="49"/>
        <v>0</v>
      </c>
    </row>
    <row r="71" spans="1:103" s="561" customFormat="1" hidden="1">
      <c r="A71" s="538">
        <v>67</v>
      </c>
      <c r="B71" s="602" t="s">
        <v>861</v>
      </c>
      <c r="C71" s="603" t="s">
        <v>862</v>
      </c>
      <c r="D71" s="541" t="s">
        <v>829</v>
      </c>
      <c r="E71" s="545">
        <v>0</v>
      </c>
      <c r="F71" s="546">
        <v>0</v>
      </c>
      <c r="G71" s="546">
        <v>0</v>
      </c>
      <c r="H71" s="546">
        <v>0</v>
      </c>
      <c r="I71" s="544">
        <f t="shared" si="4"/>
        <v>0</v>
      </c>
      <c r="J71" s="545">
        <v>0</v>
      </c>
      <c r="K71" s="546">
        <v>0</v>
      </c>
      <c r="L71" s="546">
        <v>0</v>
      </c>
      <c r="M71" s="546">
        <v>0</v>
      </c>
      <c r="N71" s="544">
        <f t="shared" si="5"/>
        <v>0</v>
      </c>
      <c r="O71" s="545">
        <v>0</v>
      </c>
      <c r="P71" s="546">
        <v>0</v>
      </c>
      <c r="Q71" s="544">
        <f t="shared" si="6"/>
        <v>0</v>
      </c>
      <c r="R71" s="545">
        <v>0</v>
      </c>
      <c r="S71" s="546">
        <v>0</v>
      </c>
      <c r="T71" s="546">
        <v>0</v>
      </c>
      <c r="U71" s="546">
        <v>0</v>
      </c>
      <c r="V71" s="546">
        <v>0</v>
      </c>
      <c r="W71" s="546">
        <v>0</v>
      </c>
      <c r="X71" s="544">
        <f t="shared" si="7"/>
        <v>0</v>
      </c>
      <c r="Y71" s="545">
        <v>0</v>
      </c>
      <c r="Z71" s="546">
        <v>0</v>
      </c>
      <c r="AA71" s="546">
        <v>0</v>
      </c>
      <c r="AB71" s="544">
        <f t="shared" si="1"/>
        <v>0</v>
      </c>
      <c r="AC71" s="547">
        <f t="shared" si="48"/>
        <v>0</v>
      </c>
      <c r="AD71" s="604" t="s">
        <v>816</v>
      </c>
      <c r="AE71" s="605" t="s">
        <v>816</v>
      </c>
      <c r="AF71" s="606">
        <f t="shared" si="9"/>
        <v>0</v>
      </c>
      <c r="AG71" s="604" t="s">
        <v>816</v>
      </c>
      <c r="AH71" s="605" t="s">
        <v>816</v>
      </c>
      <c r="AI71" s="605" t="s">
        <v>816</v>
      </c>
      <c r="AJ71" s="605" t="s">
        <v>816</v>
      </c>
      <c r="AK71" s="605" t="s">
        <v>816</v>
      </c>
      <c r="AL71" s="605" t="s">
        <v>816</v>
      </c>
      <c r="AM71" s="605" t="s">
        <v>816</v>
      </c>
      <c r="AN71" s="605" t="s">
        <v>816</v>
      </c>
      <c r="AO71" s="605" t="s">
        <v>816</v>
      </c>
      <c r="AP71" s="605" t="s">
        <v>816</v>
      </c>
      <c r="AQ71" s="606">
        <f t="shared" si="10"/>
        <v>0</v>
      </c>
      <c r="AR71" s="604" t="s">
        <v>816</v>
      </c>
      <c r="AS71" s="605" t="s">
        <v>816</v>
      </c>
      <c r="AT71" s="605" t="s">
        <v>816</v>
      </c>
      <c r="AU71" s="606">
        <f t="shared" si="11"/>
        <v>0</v>
      </c>
      <c r="AV71" s="604" t="s">
        <v>816</v>
      </c>
      <c r="AW71" s="605" t="s">
        <v>816</v>
      </c>
      <c r="AX71" s="605" t="s">
        <v>816</v>
      </c>
      <c r="AY71" s="605" t="s">
        <v>816</v>
      </c>
      <c r="AZ71" s="605" t="s">
        <v>816</v>
      </c>
      <c r="BA71" s="606">
        <f t="shared" si="12"/>
        <v>0</v>
      </c>
      <c r="BB71" s="604" t="s">
        <v>816</v>
      </c>
      <c r="BC71" s="605" t="s">
        <v>816</v>
      </c>
      <c r="BD71" s="605" t="s">
        <v>816</v>
      </c>
      <c r="BE71" s="605" t="s">
        <v>816</v>
      </c>
      <c r="BF71" s="605" t="s">
        <v>816</v>
      </c>
      <c r="BG71" s="605" t="s">
        <v>816</v>
      </c>
      <c r="BH71" s="605" t="s">
        <v>816</v>
      </c>
      <c r="BI71" s="606">
        <f t="shared" si="2"/>
        <v>0</v>
      </c>
      <c r="BJ71" s="551">
        <f t="shared" si="31"/>
        <v>0</v>
      </c>
      <c r="BK71" s="607"/>
      <c r="BL71" s="608"/>
      <c r="BM71" s="608"/>
      <c r="BN71" s="608"/>
      <c r="BO71" s="557">
        <f t="shared" si="32"/>
        <v>0</v>
      </c>
      <c r="BP71" s="607"/>
      <c r="BQ71" s="608"/>
      <c r="BR71" s="608"/>
      <c r="BS71" s="557">
        <f t="shared" si="33"/>
        <v>0</v>
      </c>
      <c r="BT71" s="607"/>
      <c r="BU71" s="557">
        <f t="shared" si="16"/>
        <v>0</v>
      </c>
      <c r="BV71" s="607"/>
      <c r="BW71" s="608"/>
      <c r="BX71" s="608"/>
      <c r="BY71" s="608"/>
      <c r="BZ71" s="608"/>
      <c r="CA71" s="608"/>
      <c r="CB71" s="608"/>
      <c r="CC71" s="608"/>
      <c r="CD71" s="608"/>
      <c r="CE71" s="557">
        <f t="shared" si="17"/>
        <v>0</v>
      </c>
      <c r="CF71" s="607"/>
      <c r="CG71" s="608"/>
      <c r="CH71" s="608"/>
      <c r="CI71" s="608"/>
      <c r="CJ71" s="608"/>
      <c r="CK71" s="608"/>
      <c r="CL71" s="608"/>
      <c r="CM71" s="557">
        <f t="shared" si="18"/>
        <v>0</v>
      </c>
      <c r="CN71" s="607"/>
      <c r="CO71" s="609">
        <f t="shared" si="19"/>
        <v>0</v>
      </c>
      <c r="CP71" s="610">
        <f t="shared" si="3"/>
        <v>0</v>
      </c>
      <c r="CQ71" s="545"/>
      <c r="CR71" s="546"/>
      <c r="CS71" s="544">
        <f>+CQ71+CR71</f>
        <v>0</v>
      </c>
      <c r="CT71" s="545"/>
      <c r="CU71" s="546"/>
      <c r="CV71" s="546"/>
      <c r="CW71" s="544">
        <f>+CT71+CU71+CV71</f>
        <v>0</v>
      </c>
      <c r="CX71" s="547">
        <f>+CS71+CW71</f>
        <v>0</v>
      </c>
      <c r="CY71" s="611">
        <f t="shared" si="49"/>
        <v>0</v>
      </c>
    </row>
    <row r="72" spans="1:103" s="561" customFormat="1">
      <c r="A72" s="538">
        <v>68</v>
      </c>
      <c r="B72" s="602" t="s">
        <v>95</v>
      </c>
      <c r="C72" s="603" t="s">
        <v>751</v>
      </c>
      <c r="D72" s="541" t="s">
        <v>829</v>
      </c>
      <c r="E72" s="545">
        <v>389.67892600000005</v>
      </c>
      <c r="F72" s="546">
        <v>195.99910000000003</v>
      </c>
      <c r="G72" s="546">
        <v>52.578000000000003</v>
      </c>
      <c r="H72" s="546">
        <v>496.67515600000002</v>
      </c>
      <c r="I72" s="544">
        <f t="shared" si="4"/>
        <v>1134.931182</v>
      </c>
      <c r="J72" s="545">
        <v>910.32699322853546</v>
      </c>
      <c r="K72" s="546">
        <v>1791.1472386021023</v>
      </c>
      <c r="L72" s="546">
        <v>779.445577000556</v>
      </c>
      <c r="M72" s="546">
        <v>477.65874002845169</v>
      </c>
      <c r="N72" s="544">
        <f t="shared" si="5"/>
        <v>3958.5785488596457</v>
      </c>
      <c r="O72" s="545">
        <v>0</v>
      </c>
      <c r="P72" s="546">
        <v>0</v>
      </c>
      <c r="Q72" s="544">
        <f t="shared" si="6"/>
        <v>0</v>
      </c>
      <c r="R72" s="545">
        <v>40.295999999999999</v>
      </c>
      <c r="S72" s="546">
        <v>12.263999999999999</v>
      </c>
      <c r="T72" s="546">
        <v>17.52</v>
      </c>
      <c r="U72" s="546">
        <v>64.692599999999985</v>
      </c>
      <c r="V72" s="546">
        <v>55.187999999999995</v>
      </c>
      <c r="W72" s="546">
        <v>10.511999999999999</v>
      </c>
      <c r="X72" s="544">
        <f t="shared" si="7"/>
        <v>200.47259999999997</v>
      </c>
      <c r="Y72" s="545">
        <v>216</v>
      </c>
      <c r="Z72" s="546">
        <v>54</v>
      </c>
      <c r="AA72" s="546">
        <v>54</v>
      </c>
      <c r="AB72" s="544">
        <f t="shared" si="1"/>
        <v>324</v>
      </c>
      <c r="AC72" s="547">
        <f t="shared" si="48"/>
        <v>5617.982330859646</v>
      </c>
      <c r="AD72" s="604">
        <v>66.010719479714339</v>
      </c>
      <c r="AE72" s="605">
        <v>43.715708264711481</v>
      </c>
      <c r="AF72" s="606">
        <f t="shared" si="9"/>
        <v>109.72642774442582</v>
      </c>
      <c r="AG72" s="604">
        <v>15.980520021211197</v>
      </c>
      <c r="AH72" s="605">
        <v>0</v>
      </c>
      <c r="AI72" s="605">
        <v>40.947046741279756</v>
      </c>
      <c r="AJ72" s="605">
        <v>0</v>
      </c>
      <c r="AK72" s="605">
        <v>7.285951377451914</v>
      </c>
      <c r="AL72" s="605">
        <v>0</v>
      </c>
      <c r="AM72" s="605">
        <v>46.435796778960196</v>
      </c>
      <c r="AN72" s="605">
        <v>0</v>
      </c>
      <c r="AO72" s="605">
        <v>4.6144358723862124</v>
      </c>
      <c r="AP72" s="605">
        <v>0</v>
      </c>
      <c r="AQ72" s="606">
        <f t="shared" si="10"/>
        <v>115.26375079128927</v>
      </c>
      <c r="AR72" s="604">
        <v>153.59465525797197</v>
      </c>
      <c r="AS72" s="605">
        <v>122.18637606005225</v>
      </c>
      <c r="AT72" s="605">
        <v>28.172345326147401</v>
      </c>
      <c r="AU72" s="606">
        <f t="shared" si="11"/>
        <v>303.95337664417167</v>
      </c>
      <c r="AV72" s="604">
        <v>1.0686062020262808</v>
      </c>
      <c r="AW72" s="605">
        <v>0</v>
      </c>
      <c r="AX72" s="605">
        <v>2.4286504591506377</v>
      </c>
      <c r="AY72" s="605">
        <v>0</v>
      </c>
      <c r="AZ72" s="605">
        <v>3.4001106428108931</v>
      </c>
      <c r="BA72" s="606">
        <f t="shared" si="12"/>
        <v>6.8973673039878118</v>
      </c>
      <c r="BB72" s="604">
        <v>0</v>
      </c>
      <c r="BC72" s="605">
        <v>0</v>
      </c>
      <c r="BD72" s="605">
        <v>25.257964775166634</v>
      </c>
      <c r="BE72" s="605">
        <v>0</v>
      </c>
      <c r="BF72" s="605">
        <v>18.70060853545991</v>
      </c>
      <c r="BG72" s="605">
        <v>2.6715155050657016</v>
      </c>
      <c r="BH72" s="605">
        <v>0</v>
      </c>
      <c r="BI72" s="606">
        <f t="shared" si="2"/>
        <v>46.630088815692247</v>
      </c>
      <c r="BJ72" s="551">
        <f t="shared" si="31"/>
        <v>582.47101129956684</v>
      </c>
      <c r="BK72" s="607">
        <v>845.5519691352639</v>
      </c>
      <c r="BL72" s="608">
        <v>1102.2645939988531</v>
      </c>
      <c r="BM72" s="608"/>
      <c r="BN72" s="608"/>
      <c r="BO72" s="557">
        <f t="shared" si="32"/>
        <v>1947.8165631341171</v>
      </c>
      <c r="BP72" s="607">
        <v>281.85065637842132</v>
      </c>
      <c r="BQ72" s="608">
        <v>897.35154922643335</v>
      </c>
      <c r="BR72" s="608"/>
      <c r="BS72" s="557">
        <f t="shared" si="33"/>
        <v>1179.2022056048547</v>
      </c>
      <c r="BT72" s="607">
        <v>612.29999999999995</v>
      </c>
      <c r="BU72" s="557">
        <f t="shared" si="16"/>
        <v>612.29999999999995</v>
      </c>
      <c r="BV72" s="607">
        <v>12.069000000000001</v>
      </c>
      <c r="BW72" s="608">
        <v>42.168191999999998</v>
      </c>
      <c r="BX72" s="608"/>
      <c r="BY72" s="608">
        <v>27.71</v>
      </c>
      <c r="BZ72" s="608">
        <v>15.07</v>
      </c>
      <c r="CA72" s="608">
        <v>58.11</v>
      </c>
      <c r="CB72" s="608">
        <v>17.88</v>
      </c>
      <c r="CC72" s="608">
        <v>117.4</v>
      </c>
      <c r="CD72" s="608">
        <v>12.29</v>
      </c>
      <c r="CE72" s="557">
        <f t="shared" si="17"/>
        <v>302.69719200000003</v>
      </c>
      <c r="CF72" s="607"/>
      <c r="CG72" s="608">
        <v>140.80500000000001</v>
      </c>
      <c r="CH72" s="608">
        <v>16.539000000000001</v>
      </c>
      <c r="CI72" s="608">
        <v>8.0459999999999994</v>
      </c>
      <c r="CJ72" s="608">
        <v>4.9169999999999998</v>
      </c>
      <c r="CK72" s="608">
        <v>4.9169999999999998</v>
      </c>
      <c r="CL72" s="608">
        <v>2.2349999999999999</v>
      </c>
      <c r="CM72" s="557">
        <f t="shared" si="18"/>
        <v>177.459</v>
      </c>
      <c r="CN72" s="607">
        <v>10.728</v>
      </c>
      <c r="CO72" s="609">
        <f t="shared" si="19"/>
        <v>10.728</v>
      </c>
      <c r="CP72" s="610">
        <f t="shared" si="3"/>
        <v>4230.2029607389723</v>
      </c>
      <c r="CQ72" s="545">
        <f>365*0.1451</f>
        <v>52.961500000000001</v>
      </c>
      <c r="CR72" s="546">
        <f>640*0.1451</f>
        <v>92.864000000000004</v>
      </c>
      <c r="CS72" s="544">
        <f>+CQ72+CR72</f>
        <v>145.82550000000001</v>
      </c>
      <c r="CT72" s="545">
        <f>125*0.16</f>
        <v>20</v>
      </c>
      <c r="CU72" s="546">
        <f>175*0.16</f>
        <v>28</v>
      </c>
      <c r="CV72" s="546">
        <f>50*0.17</f>
        <v>8.5</v>
      </c>
      <c r="CW72" s="544">
        <f>+CT72+CU72+CV72</f>
        <v>56.5</v>
      </c>
      <c r="CX72" s="547">
        <f>+CS72+CW72</f>
        <v>202.32550000000001</v>
      </c>
      <c r="CY72" s="611">
        <f t="shared" si="49"/>
        <v>10632.981802898186</v>
      </c>
    </row>
    <row r="73" spans="1:103" s="561" customFormat="1">
      <c r="A73" s="538"/>
      <c r="B73" s="602" t="s">
        <v>892</v>
      </c>
      <c r="C73" s="603" t="s">
        <v>893</v>
      </c>
      <c r="D73" s="541" t="s">
        <v>854</v>
      </c>
      <c r="E73" s="545"/>
      <c r="F73" s="546"/>
      <c r="G73" s="546"/>
      <c r="H73" s="546"/>
      <c r="I73" s="544">
        <f>+'Acarreos Tramo 2'!Y25</f>
        <v>11864.981989181475</v>
      </c>
      <c r="J73" s="545"/>
      <c r="K73" s="546"/>
      <c r="L73" s="546"/>
      <c r="M73" s="546"/>
      <c r="N73" s="544">
        <f>+'Acarreos Tramo 2'!Y39</f>
        <v>97177.339684137158</v>
      </c>
      <c r="O73" s="545"/>
      <c r="P73" s="546"/>
      <c r="Q73" s="544">
        <f>+'Acarreos Tramo 2'!Y53</f>
        <v>0</v>
      </c>
      <c r="R73" s="545"/>
      <c r="S73" s="546"/>
      <c r="T73" s="546"/>
      <c r="U73" s="546"/>
      <c r="V73" s="546"/>
      <c r="W73" s="546"/>
      <c r="X73" s="544">
        <f>+'Acarreos Tramo 2'!Y66</f>
        <v>5911.7806053719996</v>
      </c>
      <c r="Y73" s="545"/>
      <c r="Z73" s="546"/>
      <c r="AA73" s="546"/>
      <c r="AB73" s="544">
        <f>+'Acarreos Tramo 2'!Y79</f>
        <v>190.02599999999998</v>
      </c>
      <c r="AC73" s="547">
        <f t="shared" si="48"/>
        <v>115144.12827869062</v>
      </c>
      <c r="AD73" s="604"/>
      <c r="AE73" s="605"/>
      <c r="AF73" s="606" t="e">
        <f>+#REF!</f>
        <v>#REF!</v>
      </c>
      <c r="AG73" s="604"/>
      <c r="AH73" s="605"/>
      <c r="AI73" s="605"/>
      <c r="AJ73" s="605"/>
      <c r="AK73" s="605"/>
      <c r="AL73" s="605"/>
      <c r="AM73" s="605"/>
      <c r="AN73" s="605"/>
      <c r="AO73" s="605"/>
      <c r="AP73" s="605"/>
      <c r="AQ73" s="606" t="e">
        <f>+#REF!</f>
        <v>#REF!</v>
      </c>
      <c r="AR73" s="604"/>
      <c r="AS73" s="605"/>
      <c r="AT73" s="605"/>
      <c r="AU73" s="606" t="e">
        <f>+#REF!</f>
        <v>#REF!</v>
      </c>
      <c r="AV73" s="604"/>
      <c r="AW73" s="605"/>
      <c r="AX73" s="605"/>
      <c r="AY73" s="605"/>
      <c r="AZ73" s="605"/>
      <c r="BA73" s="606" t="e">
        <f>+#REF!</f>
        <v>#REF!</v>
      </c>
      <c r="BB73" s="604"/>
      <c r="BC73" s="605"/>
      <c r="BD73" s="605"/>
      <c r="BE73" s="605"/>
      <c r="BF73" s="605"/>
      <c r="BG73" s="605"/>
      <c r="BH73" s="605"/>
      <c r="BI73" s="606" t="e">
        <f>+#REF!</f>
        <v>#REF!</v>
      </c>
      <c r="BJ73" s="551" t="e">
        <f t="shared" si="31"/>
        <v>#REF!</v>
      </c>
      <c r="BK73" s="607"/>
      <c r="BL73" s="608"/>
      <c r="BM73" s="608"/>
      <c r="BN73" s="608"/>
      <c r="BO73" s="557">
        <f>+'Acarreos Tramo 7'!AI25</f>
        <v>38281.636822461129</v>
      </c>
      <c r="BP73" s="607"/>
      <c r="BQ73" s="608"/>
      <c r="BR73" s="608"/>
      <c r="BS73" s="557">
        <f>+'Acarreos Tramo 7'!AI39</f>
        <v>28653.07473731965</v>
      </c>
      <c r="BT73" s="607"/>
      <c r="BU73" s="557">
        <f>+'Acarreos Tramo 7'!AI52</f>
        <v>28233.538748999996</v>
      </c>
      <c r="BV73" s="607"/>
      <c r="BW73" s="608"/>
      <c r="BX73" s="608"/>
      <c r="BY73" s="608"/>
      <c r="BZ73" s="608"/>
      <c r="CA73" s="608"/>
      <c r="CB73" s="608"/>
      <c r="CC73" s="608"/>
      <c r="CD73" s="608"/>
      <c r="CE73" s="557">
        <f>+'Acarreos Tramo 7'!AI65</f>
        <v>13747.18291716798</v>
      </c>
      <c r="CF73" s="607"/>
      <c r="CG73" s="608"/>
      <c r="CH73" s="608"/>
      <c r="CI73" s="608"/>
      <c r="CJ73" s="608"/>
      <c r="CK73" s="608"/>
      <c r="CL73" s="608"/>
      <c r="CM73" s="557">
        <f>+'Acarreos Tramo 7'!AI78</f>
        <v>2261.6519570549999</v>
      </c>
      <c r="CN73" s="607"/>
      <c r="CO73" s="609">
        <f>+'Acarreos Tramo 7'!AI91</f>
        <v>61.409646719999991</v>
      </c>
      <c r="CP73" s="610">
        <f t="shared" si="3"/>
        <v>111238.49482972376</v>
      </c>
      <c r="CQ73" s="545"/>
      <c r="CR73" s="546"/>
      <c r="CS73" s="544">
        <f>+CS72*32*1.3</f>
        <v>6066.3408000000009</v>
      </c>
      <c r="CT73" s="545"/>
      <c r="CU73" s="546"/>
      <c r="CV73" s="546"/>
      <c r="CW73" s="544">
        <f>+CW72*23*1.3</f>
        <v>1689.3500000000001</v>
      </c>
      <c r="CX73" s="547">
        <f>+CW73+CS73</f>
        <v>7755.6908000000012</v>
      </c>
      <c r="CY73" s="611" t="e">
        <f t="shared" si="49"/>
        <v>#REF!</v>
      </c>
    </row>
    <row r="74" spans="1:103" s="561" customFormat="1">
      <c r="A74" s="538">
        <v>69</v>
      </c>
      <c r="B74" s="602" t="s">
        <v>894</v>
      </c>
      <c r="C74" s="603" t="s">
        <v>895</v>
      </c>
      <c r="D74" s="541" t="s">
        <v>11</v>
      </c>
      <c r="E74" s="545">
        <v>1334.06</v>
      </c>
      <c r="F74" s="546">
        <v>671</v>
      </c>
      <c r="G74" s="546">
        <v>180</v>
      </c>
      <c r="H74" s="546">
        <v>1700.36</v>
      </c>
      <c r="I74" s="544">
        <f t="shared" si="4"/>
        <v>3885.42</v>
      </c>
      <c r="J74" s="545">
        <v>3116</v>
      </c>
      <c r="K74" s="546">
        <v>6131</v>
      </c>
      <c r="L74" s="546">
        <v>2668</v>
      </c>
      <c r="M74" s="546">
        <v>1635</v>
      </c>
      <c r="N74" s="544">
        <f t="shared" si="5"/>
        <v>13550</v>
      </c>
      <c r="O74" s="545">
        <v>0</v>
      </c>
      <c r="P74" s="546">
        <v>0</v>
      </c>
      <c r="Q74" s="544">
        <f t="shared" si="6"/>
        <v>0</v>
      </c>
      <c r="R74" s="545">
        <v>460</v>
      </c>
      <c r="S74" s="546">
        <v>140</v>
      </c>
      <c r="T74" s="546">
        <v>200</v>
      </c>
      <c r="U74" s="546">
        <v>738.5</v>
      </c>
      <c r="V74" s="546">
        <v>630</v>
      </c>
      <c r="W74" s="546">
        <v>120</v>
      </c>
      <c r="X74" s="544">
        <f t="shared" si="7"/>
        <v>2288.5</v>
      </c>
      <c r="Y74" s="545">
        <v>720</v>
      </c>
      <c r="Z74" s="546">
        <v>180</v>
      </c>
      <c r="AA74" s="546">
        <v>180</v>
      </c>
      <c r="AB74" s="544">
        <f t="shared" si="1"/>
        <v>1080</v>
      </c>
      <c r="AC74" s="547">
        <f t="shared" si="48"/>
        <v>20803.919999999998</v>
      </c>
      <c r="AD74" s="604">
        <v>1359</v>
      </c>
      <c r="AE74" s="605">
        <v>900</v>
      </c>
      <c r="AF74" s="606">
        <f t="shared" si="9"/>
        <v>2259</v>
      </c>
      <c r="AG74" s="604">
        <v>329</v>
      </c>
      <c r="AH74" s="605">
        <v>0</v>
      </c>
      <c r="AI74" s="605">
        <v>843</v>
      </c>
      <c r="AJ74" s="605">
        <v>0</v>
      </c>
      <c r="AK74" s="605">
        <v>150</v>
      </c>
      <c r="AL74" s="605">
        <v>0</v>
      </c>
      <c r="AM74" s="605">
        <v>956</v>
      </c>
      <c r="AN74" s="605">
        <v>0</v>
      </c>
      <c r="AO74" s="605">
        <v>95</v>
      </c>
      <c r="AP74" s="605">
        <v>0</v>
      </c>
      <c r="AQ74" s="606">
        <f t="shared" si="10"/>
        <v>2373</v>
      </c>
      <c r="AR74" s="604">
        <v>3162.14</v>
      </c>
      <c r="AS74" s="605">
        <v>2515.52</v>
      </c>
      <c r="AT74" s="605">
        <v>580</v>
      </c>
      <c r="AU74" s="606">
        <f t="shared" si="11"/>
        <v>6257.66</v>
      </c>
      <c r="AV74" s="604">
        <v>22</v>
      </c>
      <c r="AW74" s="605">
        <v>0</v>
      </c>
      <c r="AX74" s="605">
        <v>50</v>
      </c>
      <c r="AY74" s="605">
        <v>0</v>
      </c>
      <c r="AZ74" s="605">
        <v>70</v>
      </c>
      <c r="BA74" s="606">
        <f t="shared" si="12"/>
        <v>142</v>
      </c>
      <c r="BB74" s="604">
        <v>0</v>
      </c>
      <c r="BC74" s="605">
        <v>0</v>
      </c>
      <c r="BD74" s="605">
        <v>520</v>
      </c>
      <c r="BE74" s="605">
        <v>0</v>
      </c>
      <c r="BF74" s="605">
        <v>385</v>
      </c>
      <c r="BG74" s="605">
        <v>55</v>
      </c>
      <c r="BH74" s="605">
        <v>0</v>
      </c>
      <c r="BI74" s="606">
        <f t="shared" si="2"/>
        <v>960</v>
      </c>
      <c r="BJ74" s="551">
        <f t="shared" si="31"/>
        <v>11991.66</v>
      </c>
      <c r="BK74" s="607">
        <v>1109.9999999999998</v>
      </c>
      <c r="BL74" s="608">
        <v>1447</v>
      </c>
      <c r="BM74" s="608"/>
      <c r="BN74" s="608"/>
      <c r="BO74" s="557">
        <f t="shared" si="32"/>
        <v>2557</v>
      </c>
      <c r="BP74" s="607"/>
      <c r="BQ74" s="608"/>
      <c r="BR74" s="608"/>
      <c r="BS74" s="557">
        <f t="shared" si="33"/>
        <v>0</v>
      </c>
      <c r="BT74" s="607"/>
      <c r="BU74" s="557">
        <f t="shared" si="16"/>
        <v>0</v>
      </c>
      <c r="BV74" s="607">
        <v>270</v>
      </c>
      <c r="BW74" s="608">
        <v>943.36</v>
      </c>
      <c r="BX74" s="608"/>
      <c r="BY74" s="608">
        <v>620</v>
      </c>
      <c r="BZ74" s="608">
        <v>337.17</v>
      </c>
      <c r="CA74" s="608">
        <v>1300</v>
      </c>
      <c r="CB74" s="608">
        <v>400</v>
      </c>
      <c r="CC74" s="608">
        <v>180</v>
      </c>
      <c r="CD74" s="608">
        <v>275</v>
      </c>
      <c r="CE74" s="557">
        <f t="shared" si="17"/>
        <v>4325.5300000000007</v>
      </c>
      <c r="CF74" s="607"/>
      <c r="CG74" s="608">
        <v>3150</v>
      </c>
      <c r="CH74" s="608">
        <v>370</v>
      </c>
      <c r="CI74" s="608">
        <v>180</v>
      </c>
      <c r="CJ74" s="608">
        <v>110</v>
      </c>
      <c r="CK74" s="608">
        <v>110</v>
      </c>
      <c r="CL74" s="608">
        <v>50</v>
      </c>
      <c r="CM74" s="557">
        <f t="shared" si="18"/>
        <v>3970</v>
      </c>
      <c r="CN74" s="607">
        <v>240</v>
      </c>
      <c r="CO74" s="609">
        <f t="shared" si="19"/>
        <v>240</v>
      </c>
      <c r="CP74" s="610">
        <f t="shared" si="3"/>
        <v>11092.53</v>
      </c>
      <c r="CQ74" s="545"/>
      <c r="CR74" s="546"/>
      <c r="CS74" s="544">
        <f>+CQ74+CR74</f>
        <v>0</v>
      </c>
      <c r="CT74" s="545"/>
      <c r="CU74" s="546"/>
      <c r="CV74" s="546"/>
      <c r="CW74" s="544">
        <f t="shared" ref="CW74:CW80" si="50">+CT74+CU74+CV74</f>
        <v>0</v>
      </c>
      <c r="CX74" s="547">
        <f t="shared" ref="CX74:CX80" si="51">+CS74+CW74</f>
        <v>0</v>
      </c>
      <c r="CY74" s="611">
        <f t="shared" si="49"/>
        <v>43888.11</v>
      </c>
    </row>
    <row r="75" spans="1:103" s="654" customFormat="1" ht="30">
      <c r="A75" s="636">
        <v>70</v>
      </c>
      <c r="B75" s="637">
        <v>674.2</v>
      </c>
      <c r="C75" s="638" t="s">
        <v>896</v>
      </c>
      <c r="D75" s="639" t="s">
        <v>81</v>
      </c>
      <c r="E75" s="640"/>
      <c r="F75" s="641"/>
      <c r="G75" s="641"/>
      <c r="H75" s="641"/>
      <c r="I75" s="642">
        <f t="shared" ref="I75" si="52">+IF(D75="", "",SUM(E75:H75))</f>
        <v>0</v>
      </c>
      <c r="J75" s="640"/>
      <c r="K75" s="641"/>
      <c r="L75" s="641"/>
      <c r="M75" s="641"/>
      <c r="N75" s="642">
        <f t="shared" si="5"/>
        <v>0</v>
      </c>
      <c r="O75" s="640"/>
      <c r="P75" s="641"/>
      <c r="Q75" s="642">
        <f t="shared" si="6"/>
        <v>0</v>
      </c>
      <c r="R75" s="640"/>
      <c r="S75" s="641"/>
      <c r="T75" s="641"/>
      <c r="U75" s="641"/>
      <c r="V75" s="641"/>
      <c r="W75" s="641"/>
      <c r="X75" s="642">
        <f t="shared" si="7"/>
        <v>0</v>
      </c>
      <c r="Y75" s="640"/>
      <c r="Z75" s="641"/>
      <c r="AA75" s="641"/>
      <c r="AB75" s="642">
        <f t="shared" si="1"/>
        <v>0</v>
      </c>
      <c r="AC75" s="643">
        <f t="shared" si="48"/>
        <v>0</v>
      </c>
      <c r="AD75" s="644" t="s">
        <v>816</v>
      </c>
      <c r="AE75" s="645" t="s">
        <v>816</v>
      </c>
      <c r="AF75" s="646">
        <f t="shared" si="9"/>
        <v>0</v>
      </c>
      <c r="AG75" s="644" t="s">
        <v>816</v>
      </c>
      <c r="AH75" s="645" t="s">
        <v>816</v>
      </c>
      <c r="AI75" s="645" t="s">
        <v>816</v>
      </c>
      <c r="AJ75" s="645" t="s">
        <v>816</v>
      </c>
      <c r="AK75" s="645" t="s">
        <v>816</v>
      </c>
      <c r="AL75" s="645" t="s">
        <v>816</v>
      </c>
      <c r="AM75" s="645" t="s">
        <v>816</v>
      </c>
      <c r="AN75" s="645" t="s">
        <v>816</v>
      </c>
      <c r="AO75" s="645" t="s">
        <v>816</v>
      </c>
      <c r="AP75" s="645" t="s">
        <v>816</v>
      </c>
      <c r="AQ75" s="646">
        <f t="shared" si="10"/>
        <v>0</v>
      </c>
      <c r="AR75" s="644" t="s">
        <v>816</v>
      </c>
      <c r="AS75" s="645" t="s">
        <v>816</v>
      </c>
      <c r="AT75" s="645" t="s">
        <v>816</v>
      </c>
      <c r="AU75" s="646">
        <f t="shared" si="11"/>
        <v>0</v>
      </c>
      <c r="AV75" s="644" t="s">
        <v>816</v>
      </c>
      <c r="AW75" s="645" t="s">
        <v>816</v>
      </c>
      <c r="AX75" s="645" t="s">
        <v>816</v>
      </c>
      <c r="AY75" s="645" t="s">
        <v>816</v>
      </c>
      <c r="AZ75" s="645" t="s">
        <v>816</v>
      </c>
      <c r="BA75" s="646">
        <f t="shared" si="12"/>
        <v>0</v>
      </c>
      <c r="BB75" s="644" t="s">
        <v>816</v>
      </c>
      <c r="BC75" s="645" t="s">
        <v>816</v>
      </c>
      <c r="BD75" s="645" t="s">
        <v>816</v>
      </c>
      <c r="BE75" s="645" t="s">
        <v>816</v>
      </c>
      <c r="BF75" s="645" t="s">
        <v>816</v>
      </c>
      <c r="BG75" s="645" t="s">
        <v>816</v>
      </c>
      <c r="BH75" s="645" t="s">
        <v>816</v>
      </c>
      <c r="BI75" s="646">
        <f t="shared" si="2"/>
        <v>0</v>
      </c>
      <c r="BJ75" s="647">
        <f t="shared" si="31"/>
        <v>0</v>
      </c>
      <c r="BK75" s="648"/>
      <c r="BL75" s="649"/>
      <c r="BM75" s="649"/>
      <c r="BN75" s="649"/>
      <c r="BO75" s="650">
        <f t="shared" si="32"/>
        <v>0</v>
      </c>
      <c r="BP75" s="648"/>
      <c r="BQ75" s="649"/>
      <c r="BR75" s="649"/>
      <c r="BS75" s="650">
        <f t="shared" si="33"/>
        <v>0</v>
      </c>
      <c r="BT75" s="648"/>
      <c r="BU75" s="650">
        <f t="shared" si="16"/>
        <v>0</v>
      </c>
      <c r="BV75" s="648"/>
      <c r="BW75" s="649"/>
      <c r="BX75" s="649"/>
      <c r="BY75" s="649"/>
      <c r="BZ75" s="649"/>
      <c r="CA75" s="649"/>
      <c r="CB75" s="649"/>
      <c r="CC75" s="649"/>
      <c r="CD75" s="649"/>
      <c r="CE75" s="650">
        <f t="shared" si="17"/>
        <v>0</v>
      </c>
      <c r="CF75" s="648"/>
      <c r="CG75" s="649"/>
      <c r="CH75" s="649"/>
      <c r="CI75" s="649"/>
      <c r="CJ75" s="649"/>
      <c r="CK75" s="649"/>
      <c r="CL75" s="649"/>
      <c r="CM75" s="650">
        <f t="shared" si="18"/>
        <v>0</v>
      </c>
      <c r="CN75" s="648"/>
      <c r="CO75" s="651">
        <f t="shared" si="19"/>
        <v>0</v>
      </c>
      <c r="CP75" s="652">
        <f t="shared" si="3"/>
        <v>0</v>
      </c>
      <c r="CQ75" s="640"/>
      <c r="CR75" s="641"/>
      <c r="CS75" s="642"/>
      <c r="CT75" s="640">
        <v>3960</v>
      </c>
      <c r="CU75" s="641"/>
      <c r="CV75" s="641"/>
      <c r="CW75" s="642">
        <f t="shared" si="50"/>
        <v>3960</v>
      </c>
      <c r="CX75" s="643">
        <f t="shared" si="51"/>
        <v>3960</v>
      </c>
      <c r="CY75" s="653">
        <f t="shared" si="49"/>
        <v>3960</v>
      </c>
    </row>
    <row r="76" spans="1:103" s="561" customFormat="1" hidden="1">
      <c r="A76" s="538">
        <v>70</v>
      </c>
      <c r="B76" s="602" t="s">
        <v>897</v>
      </c>
      <c r="C76" s="603" t="s">
        <v>898</v>
      </c>
      <c r="D76" s="541" t="s">
        <v>843</v>
      </c>
      <c r="E76" s="545">
        <v>0</v>
      </c>
      <c r="F76" s="546">
        <v>0</v>
      </c>
      <c r="G76" s="546">
        <v>0</v>
      </c>
      <c r="H76" s="546">
        <v>0</v>
      </c>
      <c r="I76" s="544">
        <f t="shared" si="4"/>
        <v>0</v>
      </c>
      <c r="J76" s="545">
        <v>0</v>
      </c>
      <c r="K76" s="546">
        <v>0</v>
      </c>
      <c r="L76" s="546">
        <v>0</v>
      </c>
      <c r="M76" s="546">
        <v>0</v>
      </c>
      <c r="N76" s="544">
        <f t="shared" si="5"/>
        <v>0</v>
      </c>
      <c r="O76" s="545">
        <v>0</v>
      </c>
      <c r="P76" s="546">
        <v>0</v>
      </c>
      <c r="Q76" s="544">
        <f t="shared" si="6"/>
        <v>0</v>
      </c>
      <c r="R76" s="545">
        <v>0</v>
      </c>
      <c r="S76" s="546">
        <v>0</v>
      </c>
      <c r="T76" s="546">
        <v>0</v>
      </c>
      <c r="U76" s="546">
        <v>0</v>
      </c>
      <c r="V76" s="546">
        <v>0</v>
      </c>
      <c r="W76" s="546">
        <v>0</v>
      </c>
      <c r="X76" s="544">
        <f t="shared" si="7"/>
        <v>0</v>
      </c>
      <c r="Y76" s="545">
        <v>0</v>
      </c>
      <c r="Z76" s="546">
        <v>0</v>
      </c>
      <c r="AA76" s="546">
        <v>0</v>
      </c>
      <c r="AB76" s="544">
        <f t="shared" si="1"/>
        <v>0</v>
      </c>
      <c r="AC76" s="547">
        <f t="shared" si="48"/>
        <v>0</v>
      </c>
      <c r="AD76" s="604" t="s">
        <v>816</v>
      </c>
      <c r="AE76" s="605" t="s">
        <v>816</v>
      </c>
      <c r="AF76" s="606">
        <f t="shared" si="9"/>
        <v>0</v>
      </c>
      <c r="AG76" s="604" t="s">
        <v>816</v>
      </c>
      <c r="AH76" s="605" t="s">
        <v>816</v>
      </c>
      <c r="AI76" s="605" t="s">
        <v>816</v>
      </c>
      <c r="AJ76" s="605" t="s">
        <v>816</v>
      </c>
      <c r="AK76" s="605" t="s">
        <v>816</v>
      </c>
      <c r="AL76" s="605" t="s">
        <v>816</v>
      </c>
      <c r="AM76" s="605" t="s">
        <v>816</v>
      </c>
      <c r="AN76" s="605" t="s">
        <v>816</v>
      </c>
      <c r="AO76" s="605" t="s">
        <v>816</v>
      </c>
      <c r="AP76" s="605" t="s">
        <v>816</v>
      </c>
      <c r="AQ76" s="606">
        <f t="shared" si="10"/>
        <v>0</v>
      </c>
      <c r="AR76" s="604" t="s">
        <v>816</v>
      </c>
      <c r="AS76" s="605" t="s">
        <v>816</v>
      </c>
      <c r="AT76" s="605" t="s">
        <v>816</v>
      </c>
      <c r="AU76" s="606">
        <f t="shared" si="11"/>
        <v>0</v>
      </c>
      <c r="AV76" s="604" t="s">
        <v>816</v>
      </c>
      <c r="AW76" s="605" t="s">
        <v>816</v>
      </c>
      <c r="AX76" s="605" t="s">
        <v>816</v>
      </c>
      <c r="AY76" s="605" t="s">
        <v>816</v>
      </c>
      <c r="AZ76" s="605" t="s">
        <v>816</v>
      </c>
      <c r="BA76" s="606">
        <f t="shared" si="12"/>
        <v>0</v>
      </c>
      <c r="BB76" s="604" t="s">
        <v>816</v>
      </c>
      <c r="BC76" s="605" t="s">
        <v>816</v>
      </c>
      <c r="BD76" s="605" t="s">
        <v>816</v>
      </c>
      <c r="BE76" s="605" t="s">
        <v>816</v>
      </c>
      <c r="BF76" s="605" t="s">
        <v>816</v>
      </c>
      <c r="BG76" s="605" t="s">
        <v>816</v>
      </c>
      <c r="BH76" s="605" t="s">
        <v>816</v>
      </c>
      <c r="BI76" s="606">
        <f t="shared" si="2"/>
        <v>0</v>
      </c>
      <c r="BJ76" s="551">
        <f t="shared" si="31"/>
        <v>0</v>
      </c>
      <c r="BK76" s="607"/>
      <c r="BL76" s="608"/>
      <c r="BM76" s="608"/>
      <c r="BN76" s="608"/>
      <c r="BO76" s="557">
        <f t="shared" si="32"/>
        <v>0</v>
      </c>
      <c r="BP76" s="607"/>
      <c r="BQ76" s="608"/>
      <c r="BR76" s="608"/>
      <c r="BS76" s="557">
        <f t="shared" si="33"/>
        <v>0</v>
      </c>
      <c r="BT76" s="607"/>
      <c r="BU76" s="557">
        <f t="shared" si="16"/>
        <v>0</v>
      </c>
      <c r="BV76" s="607"/>
      <c r="BW76" s="608"/>
      <c r="BX76" s="608"/>
      <c r="BY76" s="608"/>
      <c r="BZ76" s="608"/>
      <c r="CA76" s="608"/>
      <c r="CB76" s="608"/>
      <c r="CC76" s="608"/>
      <c r="CD76" s="608"/>
      <c r="CE76" s="557">
        <f t="shared" si="17"/>
        <v>0</v>
      </c>
      <c r="CF76" s="607"/>
      <c r="CG76" s="608"/>
      <c r="CH76" s="608"/>
      <c r="CI76" s="608"/>
      <c r="CJ76" s="608"/>
      <c r="CK76" s="608"/>
      <c r="CL76" s="608"/>
      <c r="CM76" s="557">
        <f t="shared" si="18"/>
        <v>0</v>
      </c>
      <c r="CN76" s="607"/>
      <c r="CO76" s="609">
        <f t="shared" si="19"/>
        <v>0</v>
      </c>
      <c r="CP76" s="610">
        <f t="shared" si="3"/>
        <v>0</v>
      </c>
      <c r="CQ76" s="545"/>
      <c r="CR76" s="546"/>
      <c r="CS76" s="544">
        <f>+CQ76+CR76</f>
        <v>0</v>
      </c>
      <c r="CT76" s="545"/>
      <c r="CU76" s="546"/>
      <c r="CV76" s="546"/>
      <c r="CW76" s="544">
        <f t="shared" si="50"/>
        <v>0</v>
      </c>
      <c r="CX76" s="547">
        <f t="shared" si="51"/>
        <v>0</v>
      </c>
      <c r="CY76" s="611">
        <f t="shared" si="49"/>
        <v>0</v>
      </c>
    </row>
    <row r="77" spans="1:103" s="561" customFormat="1" hidden="1">
      <c r="A77" s="538">
        <v>71</v>
      </c>
      <c r="B77" s="602" t="s">
        <v>899</v>
      </c>
      <c r="C77" s="603" t="s">
        <v>900</v>
      </c>
      <c r="D77" s="541" t="s">
        <v>843</v>
      </c>
      <c r="E77" s="545">
        <v>0</v>
      </c>
      <c r="F77" s="546">
        <v>0</v>
      </c>
      <c r="G77" s="546">
        <v>0</v>
      </c>
      <c r="H77" s="546">
        <v>0</v>
      </c>
      <c r="I77" s="544">
        <f t="shared" si="4"/>
        <v>0</v>
      </c>
      <c r="J77" s="545">
        <v>0</v>
      </c>
      <c r="K77" s="546">
        <v>0</v>
      </c>
      <c r="L77" s="546">
        <v>0</v>
      </c>
      <c r="M77" s="546">
        <v>0</v>
      </c>
      <c r="N77" s="544">
        <f t="shared" si="5"/>
        <v>0</v>
      </c>
      <c r="O77" s="545">
        <v>0</v>
      </c>
      <c r="P77" s="546">
        <v>0</v>
      </c>
      <c r="Q77" s="544">
        <f t="shared" si="6"/>
        <v>0</v>
      </c>
      <c r="R77" s="545">
        <v>0</v>
      </c>
      <c r="S77" s="546">
        <v>0</v>
      </c>
      <c r="T77" s="546">
        <v>0</v>
      </c>
      <c r="U77" s="546">
        <v>0</v>
      </c>
      <c r="V77" s="546">
        <v>0</v>
      </c>
      <c r="W77" s="546">
        <v>0</v>
      </c>
      <c r="X77" s="544">
        <f t="shared" si="7"/>
        <v>0</v>
      </c>
      <c r="Y77" s="545">
        <v>0</v>
      </c>
      <c r="Z77" s="546">
        <v>0</v>
      </c>
      <c r="AA77" s="546">
        <v>0</v>
      </c>
      <c r="AB77" s="544">
        <f t="shared" si="1"/>
        <v>0</v>
      </c>
      <c r="AC77" s="547">
        <f t="shared" si="48"/>
        <v>0</v>
      </c>
      <c r="AD77" s="604" t="s">
        <v>816</v>
      </c>
      <c r="AE77" s="605" t="s">
        <v>816</v>
      </c>
      <c r="AF77" s="606">
        <f t="shared" si="9"/>
        <v>0</v>
      </c>
      <c r="AG77" s="604" t="s">
        <v>816</v>
      </c>
      <c r="AH77" s="605" t="s">
        <v>816</v>
      </c>
      <c r="AI77" s="605" t="s">
        <v>816</v>
      </c>
      <c r="AJ77" s="605" t="s">
        <v>816</v>
      </c>
      <c r="AK77" s="605" t="s">
        <v>816</v>
      </c>
      <c r="AL77" s="605" t="s">
        <v>816</v>
      </c>
      <c r="AM77" s="605" t="s">
        <v>816</v>
      </c>
      <c r="AN77" s="605" t="s">
        <v>816</v>
      </c>
      <c r="AO77" s="605" t="s">
        <v>816</v>
      </c>
      <c r="AP77" s="605" t="s">
        <v>816</v>
      </c>
      <c r="AQ77" s="606">
        <f t="shared" si="10"/>
        <v>0</v>
      </c>
      <c r="AR77" s="604" t="s">
        <v>816</v>
      </c>
      <c r="AS77" s="605" t="s">
        <v>816</v>
      </c>
      <c r="AT77" s="605" t="s">
        <v>816</v>
      </c>
      <c r="AU77" s="606">
        <f t="shared" si="11"/>
        <v>0</v>
      </c>
      <c r="AV77" s="604" t="s">
        <v>816</v>
      </c>
      <c r="AW77" s="605" t="s">
        <v>816</v>
      </c>
      <c r="AX77" s="605" t="s">
        <v>816</v>
      </c>
      <c r="AY77" s="605" t="s">
        <v>816</v>
      </c>
      <c r="AZ77" s="605" t="s">
        <v>816</v>
      </c>
      <c r="BA77" s="606">
        <f t="shared" si="12"/>
        <v>0</v>
      </c>
      <c r="BB77" s="604" t="s">
        <v>816</v>
      </c>
      <c r="BC77" s="605" t="s">
        <v>816</v>
      </c>
      <c r="BD77" s="605" t="s">
        <v>816</v>
      </c>
      <c r="BE77" s="605" t="s">
        <v>816</v>
      </c>
      <c r="BF77" s="605" t="s">
        <v>816</v>
      </c>
      <c r="BG77" s="605" t="s">
        <v>816</v>
      </c>
      <c r="BH77" s="605" t="s">
        <v>816</v>
      </c>
      <c r="BI77" s="606">
        <f t="shared" si="2"/>
        <v>0</v>
      </c>
      <c r="BJ77" s="551">
        <f t="shared" si="31"/>
        <v>0</v>
      </c>
      <c r="BK77" s="607"/>
      <c r="BL77" s="608"/>
      <c r="BM77" s="608"/>
      <c r="BN77" s="608"/>
      <c r="BO77" s="557">
        <f t="shared" si="32"/>
        <v>0</v>
      </c>
      <c r="BP77" s="607"/>
      <c r="BQ77" s="608"/>
      <c r="BR77" s="608"/>
      <c r="BS77" s="557">
        <f t="shared" si="33"/>
        <v>0</v>
      </c>
      <c r="BT77" s="607"/>
      <c r="BU77" s="557">
        <f t="shared" si="16"/>
        <v>0</v>
      </c>
      <c r="BV77" s="607"/>
      <c r="BW77" s="608"/>
      <c r="BX77" s="608"/>
      <c r="BY77" s="608"/>
      <c r="BZ77" s="608"/>
      <c r="CA77" s="608"/>
      <c r="CB77" s="608"/>
      <c r="CC77" s="608"/>
      <c r="CD77" s="608"/>
      <c r="CE77" s="557">
        <f t="shared" si="17"/>
        <v>0</v>
      </c>
      <c r="CF77" s="607"/>
      <c r="CG77" s="608"/>
      <c r="CH77" s="608"/>
      <c r="CI77" s="608"/>
      <c r="CJ77" s="608"/>
      <c r="CK77" s="608"/>
      <c r="CL77" s="608"/>
      <c r="CM77" s="557">
        <f t="shared" si="18"/>
        <v>0</v>
      </c>
      <c r="CN77" s="607"/>
      <c r="CO77" s="609">
        <f t="shared" si="19"/>
        <v>0</v>
      </c>
      <c r="CP77" s="610">
        <f t="shared" si="3"/>
        <v>0</v>
      </c>
      <c r="CQ77" s="545"/>
      <c r="CR77" s="546"/>
      <c r="CS77" s="544">
        <f>+CQ77+CR77</f>
        <v>0</v>
      </c>
      <c r="CT77" s="545"/>
      <c r="CU77" s="546"/>
      <c r="CV77" s="546"/>
      <c r="CW77" s="544">
        <f t="shared" si="50"/>
        <v>0</v>
      </c>
      <c r="CX77" s="547">
        <f t="shared" si="51"/>
        <v>0</v>
      </c>
      <c r="CY77" s="611">
        <f t="shared" si="49"/>
        <v>0</v>
      </c>
    </row>
    <row r="78" spans="1:103" s="561" customFormat="1" hidden="1">
      <c r="A78" s="538">
        <v>72</v>
      </c>
      <c r="B78" s="602" t="s">
        <v>901</v>
      </c>
      <c r="C78" s="603" t="s">
        <v>902</v>
      </c>
      <c r="D78" s="541" t="s">
        <v>843</v>
      </c>
      <c r="E78" s="545">
        <v>0</v>
      </c>
      <c r="F78" s="546">
        <v>0</v>
      </c>
      <c r="G78" s="546">
        <v>0</v>
      </c>
      <c r="H78" s="546">
        <v>0</v>
      </c>
      <c r="I78" s="544">
        <f t="shared" si="4"/>
        <v>0</v>
      </c>
      <c r="J78" s="545">
        <v>0</v>
      </c>
      <c r="K78" s="546">
        <v>0</v>
      </c>
      <c r="L78" s="546">
        <v>0</v>
      </c>
      <c r="M78" s="546">
        <v>0</v>
      </c>
      <c r="N78" s="544">
        <f t="shared" si="5"/>
        <v>0</v>
      </c>
      <c r="O78" s="545">
        <v>0</v>
      </c>
      <c r="P78" s="546">
        <v>0</v>
      </c>
      <c r="Q78" s="544">
        <f t="shared" si="6"/>
        <v>0</v>
      </c>
      <c r="R78" s="545">
        <v>0</v>
      </c>
      <c r="S78" s="546">
        <v>0</v>
      </c>
      <c r="T78" s="546">
        <v>0</v>
      </c>
      <c r="U78" s="546">
        <v>0</v>
      </c>
      <c r="V78" s="546">
        <v>0</v>
      </c>
      <c r="W78" s="546">
        <v>0</v>
      </c>
      <c r="X78" s="544">
        <f t="shared" si="7"/>
        <v>0</v>
      </c>
      <c r="Y78" s="545">
        <v>0</v>
      </c>
      <c r="Z78" s="546">
        <v>0</v>
      </c>
      <c r="AA78" s="546">
        <v>0</v>
      </c>
      <c r="AB78" s="544">
        <f t="shared" si="1"/>
        <v>0</v>
      </c>
      <c r="AC78" s="547">
        <f t="shared" si="48"/>
        <v>0</v>
      </c>
      <c r="AD78" s="604" t="s">
        <v>816</v>
      </c>
      <c r="AE78" s="605" t="s">
        <v>816</v>
      </c>
      <c r="AF78" s="606">
        <f t="shared" si="9"/>
        <v>0</v>
      </c>
      <c r="AG78" s="604" t="s">
        <v>816</v>
      </c>
      <c r="AH78" s="605" t="s">
        <v>816</v>
      </c>
      <c r="AI78" s="605" t="s">
        <v>816</v>
      </c>
      <c r="AJ78" s="605" t="s">
        <v>816</v>
      </c>
      <c r="AK78" s="605" t="s">
        <v>816</v>
      </c>
      <c r="AL78" s="605" t="s">
        <v>816</v>
      </c>
      <c r="AM78" s="605" t="s">
        <v>816</v>
      </c>
      <c r="AN78" s="605" t="s">
        <v>816</v>
      </c>
      <c r="AO78" s="605" t="s">
        <v>816</v>
      </c>
      <c r="AP78" s="605" t="s">
        <v>816</v>
      </c>
      <c r="AQ78" s="606">
        <f t="shared" si="10"/>
        <v>0</v>
      </c>
      <c r="AR78" s="604" t="s">
        <v>816</v>
      </c>
      <c r="AS78" s="605" t="s">
        <v>816</v>
      </c>
      <c r="AT78" s="605" t="s">
        <v>816</v>
      </c>
      <c r="AU78" s="606">
        <f t="shared" si="11"/>
        <v>0</v>
      </c>
      <c r="AV78" s="604" t="s">
        <v>816</v>
      </c>
      <c r="AW78" s="605" t="s">
        <v>816</v>
      </c>
      <c r="AX78" s="605" t="s">
        <v>816</v>
      </c>
      <c r="AY78" s="605" t="s">
        <v>816</v>
      </c>
      <c r="AZ78" s="605" t="s">
        <v>816</v>
      </c>
      <c r="BA78" s="606">
        <f t="shared" si="12"/>
        <v>0</v>
      </c>
      <c r="BB78" s="604" t="s">
        <v>816</v>
      </c>
      <c r="BC78" s="605" t="s">
        <v>816</v>
      </c>
      <c r="BD78" s="605" t="s">
        <v>816</v>
      </c>
      <c r="BE78" s="605" t="s">
        <v>816</v>
      </c>
      <c r="BF78" s="605" t="s">
        <v>816</v>
      </c>
      <c r="BG78" s="605" t="s">
        <v>816</v>
      </c>
      <c r="BH78" s="605" t="s">
        <v>816</v>
      </c>
      <c r="BI78" s="606">
        <f t="shared" si="2"/>
        <v>0</v>
      </c>
      <c r="BJ78" s="551">
        <f t="shared" si="31"/>
        <v>0</v>
      </c>
      <c r="BK78" s="607"/>
      <c r="BL78" s="608"/>
      <c r="BM78" s="608"/>
      <c r="BN78" s="608"/>
      <c r="BO78" s="557">
        <f t="shared" si="32"/>
        <v>0</v>
      </c>
      <c r="BP78" s="607"/>
      <c r="BQ78" s="608"/>
      <c r="BR78" s="608"/>
      <c r="BS78" s="557">
        <f t="shared" si="33"/>
        <v>0</v>
      </c>
      <c r="BT78" s="607"/>
      <c r="BU78" s="557">
        <f t="shared" si="16"/>
        <v>0</v>
      </c>
      <c r="BV78" s="607"/>
      <c r="BW78" s="608"/>
      <c r="BX78" s="608"/>
      <c r="BY78" s="608"/>
      <c r="BZ78" s="608"/>
      <c r="CA78" s="608"/>
      <c r="CB78" s="608"/>
      <c r="CC78" s="608"/>
      <c r="CD78" s="608"/>
      <c r="CE78" s="557">
        <f t="shared" si="17"/>
        <v>0</v>
      </c>
      <c r="CF78" s="607"/>
      <c r="CG78" s="608"/>
      <c r="CH78" s="608"/>
      <c r="CI78" s="608"/>
      <c r="CJ78" s="608"/>
      <c r="CK78" s="608"/>
      <c r="CL78" s="608"/>
      <c r="CM78" s="557">
        <f t="shared" si="18"/>
        <v>0</v>
      </c>
      <c r="CN78" s="607"/>
      <c r="CO78" s="609">
        <f t="shared" si="19"/>
        <v>0</v>
      </c>
      <c r="CP78" s="610">
        <f t="shared" si="3"/>
        <v>0</v>
      </c>
      <c r="CQ78" s="545"/>
      <c r="CR78" s="546"/>
      <c r="CS78" s="544">
        <f>+CQ78+CR78</f>
        <v>0</v>
      </c>
      <c r="CT78" s="545"/>
      <c r="CU78" s="546"/>
      <c r="CV78" s="546"/>
      <c r="CW78" s="544">
        <f t="shared" si="50"/>
        <v>0</v>
      </c>
      <c r="CX78" s="547">
        <f t="shared" si="51"/>
        <v>0</v>
      </c>
      <c r="CY78" s="611">
        <f t="shared" si="49"/>
        <v>0</v>
      </c>
    </row>
    <row r="79" spans="1:103" s="561" customFormat="1" hidden="1">
      <c r="A79" s="538">
        <v>73</v>
      </c>
      <c r="B79" s="602" t="s">
        <v>903</v>
      </c>
      <c r="C79" s="603" t="s">
        <v>904</v>
      </c>
      <c r="D79" s="541" t="s">
        <v>843</v>
      </c>
      <c r="E79" s="545">
        <v>0</v>
      </c>
      <c r="F79" s="546">
        <v>0</v>
      </c>
      <c r="G79" s="546">
        <v>0</v>
      </c>
      <c r="H79" s="546">
        <v>0</v>
      </c>
      <c r="I79" s="544">
        <f t="shared" si="4"/>
        <v>0</v>
      </c>
      <c r="J79" s="545">
        <v>0</v>
      </c>
      <c r="K79" s="546">
        <v>0</v>
      </c>
      <c r="L79" s="546">
        <v>0</v>
      </c>
      <c r="M79" s="546">
        <v>0</v>
      </c>
      <c r="N79" s="544">
        <f t="shared" si="5"/>
        <v>0</v>
      </c>
      <c r="O79" s="545">
        <v>0</v>
      </c>
      <c r="P79" s="546">
        <v>0</v>
      </c>
      <c r="Q79" s="544">
        <f t="shared" si="6"/>
        <v>0</v>
      </c>
      <c r="R79" s="545">
        <v>0</v>
      </c>
      <c r="S79" s="546">
        <v>0</v>
      </c>
      <c r="T79" s="546">
        <v>0</v>
      </c>
      <c r="U79" s="546">
        <v>0</v>
      </c>
      <c r="V79" s="546">
        <v>0</v>
      </c>
      <c r="W79" s="546">
        <v>0</v>
      </c>
      <c r="X79" s="544">
        <f t="shared" si="7"/>
        <v>0</v>
      </c>
      <c r="Y79" s="545">
        <v>0</v>
      </c>
      <c r="Z79" s="546">
        <v>0</v>
      </c>
      <c r="AA79" s="546">
        <v>0</v>
      </c>
      <c r="AB79" s="544">
        <f t="shared" si="1"/>
        <v>0</v>
      </c>
      <c r="AC79" s="547">
        <f t="shared" si="48"/>
        <v>0</v>
      </c>
      <c r="AD79" s="604" t="s">
        <v>816</v>
      </c>
      <c r="AE79" s="605" t="s">
        <v>816</v>
      </c>
      <c r="AF79" s="606">
        <f t="shared" si="9"/>
        <v>0</v>
      </c>
      <c r="AG79" s="604" t="s">
        <v>816</v>
      </c>
      <c r="AH79" s="605" t="s">
        <v>816</v>
      </c>
      <c r="AI79" s="605" t="s">
        <v>816</v>
      </c>
      <c r="AJ79" s="605" t="s">
        <v>816</v>
      </c>
      <c r="AK79" s="605" t="s">
        <v>816</v>
      </c>
      <c r="AL79" s="605" t="s">
        <v>816</v>
      </c>
      <c r="AM79" s="605" t="s">
        <v>816</v>
      </c>
      <c r="AN79" s="605" t="s">
        <v>816</v>
      </c>
      <c r="AO79" s="605" t="s">
        <v>816</v>
      </c>
      <c r="AP79" s="605" t="s">
        <v>816</v>
      </c>
      <c r="AQ79" s="606">
        <f t="shared" si="10"/>
        <v>0</v>
      </c>
      <c r="AR79" s="604" t="s">
        <v>816</v>
      </c>
      <c r="AS79" s="605" t="s">
        <v>816</v>
      </c>
      <c r="AT79" s="605" t="s">
        <v>816</v>
      </c>
      <c r="AU79" s="606">
        <f t="shared" si="11"/>
        <v>0</v>
      </c>
      <c r="AV79" s="604" t="s">
        <v>816</v>
      </c>
      <c r="AW79" s="605" t="s">
        <v>816</v>
      </c>
      <c r="AX79" s="605" t="s">
        <v>816</v>
      </c>
      <c r="AY79" s="605" t="s">
        <v>816</v>
      </c>
      <c r="AZ79" s="605" t="s">
        <v>816</v>
      </c>
      <c r="BA79" s="606">
        <f t="shared" si="12"/>
        <v>0</v>
      </c>
      <c r="BB79" s="604" t="s">
        <v>816</v>
      </c>
      <c r="BC79" s="605" t="s">
        <v>816</v>
      </c>
      <c r="BD79" s="605" t="s">
        <v>816</v>
      </c>
      <c r="BE79" s="605" t="s">
        <v>816</v>
      </c>
      <c r="BF79" s="605" t="s">
        <v>816</v>
      </c>
      <c r="BG79" s="605" t="s">
        <v>816</v>
      </c>
      <c r="BH79" s="605" t="s">
        <v>816</v>
      </c>
      <c r="BI79" s="606">
        <f t="shared" si="2"/>
        <v>0</v>
      </c>
      <c r="BJ79" s="551">
        <f t="shared" si="31"/>
        <v>0</v>
      </c>
      <c r="BK79" s="607"/>
      <c r="BL79" s="608"/>
      <c r="BM79" s="608"/>
      <c r="BN79" s="608"/>
      <c r="BO79" s="557">
        <f t="shared" si="32"/>
        <v>0</v>
      </c>
      <c r="BP79" s="607"/>
      <c r="BQ79" s="608"/>
      <c r="BR79" s="608"/>
      <c r="BS79" s="557">
        <f t="shared" si="33"/>
        <v>0</v>
      </c>
      <c r="BT79" s="607"/>
      <c r="BU79" s="557">
        <f t="shared" si="16"/>
        <v>0</v>
      </c>
      <c r="BV79" s="607"/>
      <c r="BW79" s="608"/>
      <c r="BX79" s="608"/>
      <c r="BY79" s="608"/>
      <c r="BZ79" s="608"/>
      <c r="CA79" s="608"/>
      <c r="CB79" s="608"/>
      <c r="CC79" s="608"/>
      <c r="CD79" s="608"/>
      <c r="CE79" s="557">
        <f t="shared" si="17"/>
        <v>0</v>
      </c>
      <c r="CF79" s="607"/>
      <c r="CG79" s="608"/>
      <c r="CH79" s="608"/>
      <c r="CI79" s="608"/>
      <c r="CJ79" s="608"/>
      <c r="CK79" s="608"/>
      <c r="CL79" s="608"/>
      <c r="CM79" s="557">
        <f t="shared" si="18"/>
        <v>0</v>
      </c>
      <c r="CN79" s="607"/>
      <c r="CO79" s="609">
        <f t="shared" si="19"/>
        <v>0</v>
      </c>
      <c r="CP79" s="610">
        <f t="shared" si="3"/>
        <v>0</v>
      </c>
      <c r="CQ79" s="545"/>
      <c r="CR79" s="546"/>
      <c r="CS79" s="544">
        <f>+CQ79+CR79</f>
        <v>0</v>
      </c>
      <c r="CT79" s="545"/>
      <c r="CU79" s="546"/>
      <c r="CV79" s="546"/>
      <c r="CW79" s="544">
        <f t="shared" si="50"/>
        <v>0</v>
      </c>
      <c r="CX79" s="547">
        <f t="shared" si="51"/>
        <v>0</v>
      </c>
      <c r="CY79" s="611">
        <f t="shared" si="49"/>
        <v>0</v>
      </c>
    </row>
    <row r="80" spans="1:103" s="561" customFormat="1" hidden="1">
      <c r="A80" s="538">
        <v>74</v>
      </c>
      <c r="B80" s="602" t="s">
        <v>97</v>
      </c>
      <c r="C80" s="603" t="s">
        <v>36</v>
      </c>
      <c r="D80" s="541" t="s">
        <v>829</v>
      </c>
      <c r="E80" s="545">
        <v>0</v>
      </c>
      <c r="F80" s="546">
        <v>0</v>
      </c>
      <c r="G80" s="546">
        <v>0</v>
      </c>
      <c r="H80" s="546">
        <v>0</v>
      </c>
      <c r="I80" s="544">
        <f t="shared" si="4"/>
        <v>0</v>
      </c>
      <c r="J80" s="545">
        <v>0</v>
      </c>
      <c r="K80" s="546">
        <v>0</v>
      </c>
      <c r="L80" s="546">
        <v>0</v>
      </c>
      <c r="M80" s="546">
        <v>0</v>
      </c>
      <c r="N80" s="544">
        <f t="shared" si="5"/>
        <v>0</v>
      </c>
      <c r="O80" s="545">
        <v>0</v>
      </c>
      <c r="P80" s="546">
        <v>0</v>
      </c>
      <c r="Q80" s="544">
        <f t="shared" si="6"/>
        <v>0</v>
      </c>
      <c r="R80" s="545">
        <v>0</v>
      </c>
      <c r="S80" s="546">
        <v>0</v>
      </c>
      <c r="T80" s="546">
        <v>0</v>
      </c>
      <c r="U80" s="546">
        <v>0</v>
      </c>
      <c r="V80" s="546">
        <v>0</v>
      </c>
      <c r="W80" s="546">
        <v>0</v>
      </c>
      <c r="X80" s="544">
        <f t="shared" si="7"/>
        <v>0</v>
      </c>
      <c r="Y80" s="545">
        <v>0</v>
      </c>
      <c r="Z80" s="546">
        <v>0</v>
      </c>
      <c r="AA80" s="546">
        <v>0</v>
      </c>
      <c r="AB80" s="544">
        <f t="shared" si="1"/>
        <v>0</v>
      </c>
      <c r="AC80" s="547">
        <f t="shared" si="48"/>
        <v>0</v>
      </c>
      <c r="AD80" s="604" t="s">
        <v>816</v>
      </c>
      <c r="AE80" s="605" t="s">
        <v>816</v>
      </c>
      <c r="AF80" s="606">
        <f t="shared" si="9"/>
        <v>0</v>
      </c>
      <c r="AG80" s="604" t="s">
        <v>816</v>
      </c>
      <c r="AH80" s="605" t="s">
        <v>816</v>
      </c>
      <c r="AI80" s="605" t="s">
        <v>816</v>
      </c>
      <c r="AJ80" s="605" t="s">
        <v>816</v>
      </c>
      <c r="AK80" s="605" t="s">
        <v>816</v>
      </c>
      <c r="AL80" s="605" t="s">
        <v>816</v>
      </c>
      <c r="AM80" s="605" t="s">
        <v>816</v>
      </c>
      <c r="AN80" s="605" t="s">
        <v>816</v>
      </c>
      <c r="AO80" s="605" t="s">
        <v>816</v>
      </c>
      <c r="AP80" s="605" t="s">
        <v>816</v>
      </c>
      <c r="AQ80" s="606">
        <f t="shared" si="10"/>
        <v>0</v>
      </c>
      <c r="AR80" s="604" t="s">
        <v>816</v>
      </c>
      <c r="AS80" s="605" t="s">
        <v>816</v>
      </c>
      <c r="AT80" s="605" t="s">
        <v>816</v>
      </c>
      <c r="AU80" s="606">
        <f t="shared" si="11"/>
        <v>0</v>
      </c>
      <c r="AV80" s="604" t="s">
        <v>816</v>
      </c>
      <c r="AW80" s="605" t="s">
        <v>816</v>
      </c>
      <c r="AX80" s="605" t="s">
        <v>816</v>
      </c>
      <c r="AY80" s="605" t="s">
        <v>816</v>
      </c>
      <c r="AZ80" s="605" t="s">
        <v>816</v>
      </c>
      <c r="BA80" s="606">
        <f t="shared" si="12"/>
        <v>0</v>
      </c>
      <c r="BB80" s="604" t="s">
        <v>816</v>
      </c>
      <c r="BC80" s="605" t="s">
        <v>816</v>
      </c>
      <c r="BD80" s="605" t="s">
        <v>816</v>
      </c>
      <c r="BE80" s="605" t="s">
        <v>816</v>
      </c>
      <c r="BF80" s="605" t="s">
        <v>816</v>
      </c>
      <c r="BG80" s="605" t="s">
        <v>816</v>
      </c>
      <c r="BH80" s="605" t="s">
        <v>816</v>
      </c>
      <c r="BI80" s="606">
        <f t="shared" si="2"/>
        <v>0</v>
      </c>
      <c r="BJ80" s="551">
        <f t="shared" si="31"/>
        <v>0</v>
      </c>
      <c r="BK80" s="607"/>
      <c r="BL80" s="608"/>
      <c r="BM80" s="608"/>
      <c r="BN80" s="608"/>
      <c r="BO80" s="557">
        <f t="shared" si="32"/>
        <v>0</v>
      </c>
      <c r="BP80" s="607"/>
      <c r="BQ80" s="608"/>
      <c r="BR80" s="608"/>
      <c r="BS80" s="557">
        <f t="shared" si="33"/>
        <v>0</v>
      </c>
      <c r="BT80" s="607"/>
      <c r="BU80" s="557">
        <f t="shared" si="16"/>
        <v>0</v>
      </c>
      <c r="BV80" s="607"/>
      <c r="BW80" s="608"/>
      <c r="BX80" s="608"/>
      <c r="BY80" s="608"/>
      <c r="BZ80" s="608"/>
      <c r="CA80" s="608"/>
      <c r="CB80" s="608"/>
      <c r="CC80" s="608"/>
      <c r="CD80" s="608"/>
      <c r="CE80" s="557">
        <f t="shared" si="17"/>
        <v>0</v>
      </c>
      <c r="CF80" s="607"/>
      <c r="CG80" s="608"/>
      <c r="CH80" s="608"/>
      <c r="CI80" s="608"/>
      <c r="CJ80" s="608"/>
      <c r="CK80" s="608"/>
      <c r="CL80" s="608"/>
      <c r="CM80" s="557">
        <f t="shared" si="18"/>
        <v>0</v>
      </c>
      <c r="CN80" s="607"/>
      <c r="CO80" s="609">
        <f t="shared" si="19"/>
        <v>0</v>
      </c>
      <c r="CP80" s="610">
        <f t="shared" si="3"/>
        <v>0</v>
      </c>
      <c r="CQ80" s="545"/>
      <c r="CR80" s="546"/>
      <c r="CS80" s="544">
        <f>+CQ80+CR80</f>
        <v>0</v>
      </c>
      <c r="CT80" s="545"/>
      <c r="CU80" s="546"/>
      <c r="CV80" s="546"/>
      <c r="CW80" s="544">
        <f t="shared" si="50"/>
        <v>0</v>
      </c>
      <c r="CX80" s="547">
        <f t="shared" si="51"/>
        <v>0</v>
      </c>
      <c r="CY80" s="611">
        <f t="shared" si="49"/>
        <v>0</v>
      </c>
    </row>
    <row r="81" spans="1:103" s="601" customFormat="1">
      <c r="A81" s="584">
        <v>75</v>
      </c>
      <c r="B81" s="585"/>
      <c r="C81" s="586" t="s">
        <v>905</v>
      </c>
      <c r="D81" s="587"/>
      <c r="E81" s="588"/>
      <c r="F81" s="589"/>
      <c r="G81" s="589"/>
      <c r="H81" s="589"/>
      <c r="I81" s="590"/>
      <c r="J81" s="588"/>
      <c r="K81" s="589"/>
      <c r="L81" s="589"/>
      <c r="M81" s="589"/>
      <c r="N81" s="590"/>
      <c r="O81" s="588"/>
      <c r="P81" s="589"/>
      <c r="Q81" s="590"/>
      <c r="R81" s="588"/>
      <c r="S81" s="589"/>
      <c r="T81" s="589"/>
      <c r="U81" s="589"/>
      <c r="V81" s="589"/>
      <c r="W81" s="589"/>
      <c r="X81" s="590"/>
      <c r="Y81" s="588"/>
      <c r="Z81" s="589"/>
      <c r="AA81" s="589"/>
      <c r="AB81" s="590"/>
      <c r="AC81" s="591"/>
      <c r="AD81" s="612"/>
      <c r="AE81" s="613"/>
      <c r="AF81" s="614"/>
      <c r="AG81" s="612"/>
      <c r="AH81" s="613"/>
      <c r="AI81" s="613"/>
      <c r="AJ81" s="613"/>
      <c r="AK81" s="613"/>
      <c r="AL81" s="613"/>
      <c r="AM81" s="613"/>
      <c r="AN81" s="613"/>
      <c r="AO81" s="613"/>
      <c r="AP81" s="613"/>
      <c r="AQ81" s="614"/>
      <c r="AR81" s="612"/>
      <c r="AS81" s="613"/>
      <c r="AT81" s="613"/>
      <c r="AU81" s="614"/>
      <c r="AV81" s="612"/>
      <c r="AW81" s="613"/>
      <c r="AX81" s="613"/>
      <c r="AY81" s="613"/>
      <c r="AZ81" s="613"/>
      <c r="BA81" s="614"/>
      <c r="BB81" s="612"/>
      <c r="BC81" s="613"/>
      <c r="BD81" s="613"/>
      <c r="BE81" s="613"/>
      <c r="BF81" s="613"/>
      <c r="BG81" s="613"/>
      <c r="BH81" s="613"/>
      <c r="BI81" s="614"/>
      <c r="BJ81" s="595"/>
      <c r="BK81" s="596"/>
      <c r="BL81" s="597"/>
      <c r="BM81" s="597"/>
      <c r="BN81" s="597"/>
      <c r="BO81" s="598"/>
      <c r="BP81" s="596"/>
      <c r="BQ81" s="597"/>
      <c r="BR81" s="597"/>
      <c r="BS81" s="598"/>
      <c r="BT81" s="596"/>
      <c r="BU81" s="598"/>
      <c r="BV81" s="596"/>
      <c r="BW81" s="597"/>
      <c r="BX81" s="597"/>
      <c r="BY81" s="597"/>
      <c r="BZ81" s="597"/>
      <c r="CA81" s="597"/>
      <c r="CB81" s="597"/>
      <c r="CC81" s="597"/>
      <c r="CD81" s="597"/>
      <c r="CE81" s="598"/>
      <c r="CF81" s="596"/>
      <c r="CG81" s="597"/>
      <c r="CH81" s="597"/>
      <c r="CI81" s="597"/>
      <c r="CJ81" s="597"/>
      <c r="CK81" s="597"/>
      <c r="CL81" s="597"/>
      <c r="CM81" s="598"/>
      <c r="CN81" s="596"/>
      <c r="CO81" s="599"/>
      <c r="CP81" s="600"/>
      <c r="CQ81" s="588"/>
      <c r="CR81" s="589"/>
      <c r="CS81" s="590"/>
      <c r="CT81" s="588"/>
      <c r="CU81" s="589"/>
      <c r="CV81" s="589"/>
      <c r="CW81" s="590"/>
      <c r="CX81" s="591"/>
      <c r="CY81" s="615"/>
    </row>
    <row r="82" spans="1:103" s="635" customFormat="1">
      <c r="A82" s="617">
        <v>76</v>
      </c>
      <c r="B82" s="618"/>
      <c r="C82" s="619" t="s">
        <v>906</v>
      </c>
      <c r="D82" s="620"/>
      <c r="E82" s="621"/>
      <c r="F82" s="622"/>
      <c r="G82" s="622"/>
      <c r="H82" s="622"/>
      <c r="I82" s="623"/>
      <c r="J82" s="621"/>
      <c r="K82" s="622"/>
      <c r="L82" s="622"/>
      <c r="M82" s="622"/>
      <c r="N82" s="623"/>
      <c r="O82" s="621"/>
      <c r="P82" s="622"/>
      <c r="Q82" s="623"/>
      <c r="R82" s="621"/>
      <c r="S82" s="622"/>
      <c r="T82" s="622"/>
      <c r="U82" s="622"/>
      <c r="V82" s="622"/>
      <c r="W82" s="622"/>
      <c r="X82" s="623"/>
      <c r="Y82" s="621"/>
      <c r="Z82" s="622"/>
      <c r="AA82" s="622"/>
      <c r="AB82" s="623"/>
      <c r="AC82" s="624"/>
      <c r="AD82" s="625"/>
      <c r="AE82" s="626"/>
      <c r="AF82" s="627"/>
      <c r="AG82" s="625"/>
      <c r="AH82" s="626"/>
      <c r="AI82" s="626"/>
      <c r="AJ82" s="626"/>
      <c r="AK82" s="626"/>
      <c r="AL82" s="626"/>
      <c r="AM82" s="626"/>
      <c r="AN82" s="626"/>
      <c r="AO82" s="626"/>
      <c r="AP82" s="626"/>
      <c r="AQ82" s="627"/>
      <c r="AR82" s="625"/>
      <c r="AS82" s="626"/>
      <c r="AT82" s="626"/>
      <c r="AU82" s="627"/>
      <c r="AV82" s="625"/>
      <c r="AW82" s="626"/>
      <c r="AX82" s="626"/>
      <c r="AY82" s="626"/>
      <c r="AZ82" s="626"/>
      <c r="BA82" s="627"/>
      <c r="BB82" s="625"/>
      <c r="BC82" s="626"/>
      <c r="BD82" s="626"/>
      <c r="BE82" s="626"/>
      <c r="BF82" s="626"/>
      <c r="BG82" s="626"/>
      <c r="BH82" s="626"/>
      <c r="BI82" s="627"/>
      <c r="BJ82" s="628"/>
      <c r="BK82" s="629"/>
      <c r="BL82" s="630"/>
      <c r="BM82" s="630"/>
      <c r="BN82" s="630"/>
      <c r="BO82" s="631"/>
      <c r="BP82" s="629"/>
      <c r="BQ82" s="630"/>
      <c r="BR82" s="630"/>
      <c r="BS82" s="631"/>
      <c r="BT82" s="629"/>
      <c r="BU82" s="631"/>
      <c r="BV82" s="629"/>
      <c r="BW82" s="630"/>
      <c r="BX82" s="630"/>
      <c r="BY82" s="630"/>
      <c r="BZ82" s="630"/>
      <c r="CA82" s="630"/>
      <c r="CB82" s="630"/>
      <c r="CC82" s="630"/>
      <c r="CD82" s="630"/>
      <c r="CE82" s="631"/>
      <c r="CF82" s="629"/>
      <c r="CG82" s="630"/>
      <c r="CH82" s="630"/>
      <c r="CI82" s="630"/>
      <c r="CJ82" s="630"/>
      <c r="CK82" s="630"/>
      <c r="CL82" s="630"/>
      <c r="CM82" s="631"/>
      <c r="CN82" s="629"/>
      <c r="CO82" s="632"/>
      <c r="CP82" s="633"/>
      <c r="CQ82" s="621"/>
      <c r="CR82" s="622"/>
      <c r="CS82" s="623"/>
      <c r="CT82" s="621"/>
      <c r="CU82" s="622"/>
      <c r="CV82" s="622"/>
      <c r="CW82" s="623"/>
      <c r="CX82" s="624"/>
      <c r="CY82" s="634"/>
    </row>
    <row r="83" spans="1:103" s="561" customFormat="1">
      <c r="A83" s="538">
        <v>77</v>
      </c>
      <c r="B83" s="602" t="s">
        <v>296</v>
      </c>
      <c r="C83" s="603" t="s">
        <v>907</v>
      </c>
      <c r="D83" s="541" t="s">
        <v>829</v>
      </c>
      <c r="E83" s="545">
        <v>0</v>
      </c>
      <c r="F83" s="546">
        <v>0</v>
      </c>
      <c r="G83" s="546">
        <v>0</v>
      </c>
      <c r="H83" s="546">
        <v>0</v>
      </c>
      <c r="I83" s="544">
        <f t="shared" si="4"/>
        <v>0</v>
      </c>
      <c r="J83" s="545">
        <v>0</v>
      </c>
      <c r="K83" s="546">
        <v>0</v>
      </c>
      <c r="L83" s="546">
        <v>0</v>
      </c>
      <c r="M83" s="546">
        <v>0</v>
      </c>
      <c r="N83" s="544">
        <f t="shared" si="5"/>
        <v>0</v>
      </c>
      <c r="O83" s="545">
        <v>0</v>
      </c>
      <c r="P83" s="546">
        <v>0</v>
      </c>
      <c r="Q83" s="544">
        <f t="shared" si="6"/>
        <v>0</v>
      </c>
      <c r="R83" s="545">
        <v>0</v>
      </c>
      <c r="S83" s="546">
        <v>0</v>
      </c>
      <c r="T83" s="546">
        <v>0</v>
      </c>
      <c r="U83" s="546">
        <v>0</v>
      </c>
      <c r="V83" s="546">
        <v>0</v>
      </c>
      <c r="W83" s="546">
        <v>0</v>
      </c>
      <c r="X83" s="544">
        <f t="shared" si="7"/>
        <v>0</v>
      </c>
      <c r="Y83" s="545">
        <v>0</v>
      </c>
      <c r="Z83" s="546">
        <v>0</v>
      </c>
      <c r="AA83" s="546">
        <v>0</v>
      </c>
      <c r="AB83" s="544">
        <f t="shared" ref="AB83:AB149" si="53">+IF(D83="", "",SUM(Y83:AA83))</f>
        <v>0</v>
      </c>
      <c r="AC83" s="547">
        <f t="shared" ref="AC83:AC98" si="54">+IF(D83="",0,I83+N83+Q83+X83+AB83)</f>
        <v>0</v>
      </c>
      <c r="AD83" s="604">
        <v>0</v>
      </c>
      <c r="AE83" s="605">
        <v>0</v>
      </c>
      <c r="AF83" s="606">
        <f t="shared" si="9"/>
        <v>0</v>
      </c>
      <c r="AG83" s="604">
        <v>0</v>
      </c>
      <c r="AH83" s="605">
        <v>361.35</v>
      </c>
      <c r="AI83" s="605">
        <v>0</v>
      </c>
      <c r="AJ83" s="605">
        <v>0</v>
      </c>
      <c r="AK83" s="605">
        <v>0</v>
      </c>
      <c r="AL83" s="605">
        <v>0</v>
      </c>
      <c r="AM83" s="605">
        <v>407.48400000000004</v>
      </c>
      <c r="AN83" s="605">
        <v>0</v>
      </c>
      <c r="AO83" s="605">
        <v>0</v>
      </c>
      <c r="AP83" s="605">
        <v>0</v>
      </c>
      <c r="AQ83" s="606">
        <f t="shared" si="10"/>
        <v>768.83400000000006</v>
      </c>
      <c r="AR83" s="604">
        <v>413.71000000000004</v>
      </c>
      <c r="AS83" s="605">
        <v>0</v>
      </c>
      <c r="AT83" s="605">
        <v>0</v>
      </c>
      <c r="AU83" s="606">
        <f t="shared" si="11"/>
        <v>413.71000000000004</v>
      </c>
      <c r="AV83" s="604">
        <v>0</v>
      </c>
      <c r="AW83" s="605">
        <v>0</v>
      </c>
      <c r="AX83" s="605">
        <v>0</v>
      </c>
      <c r="AY83" s="605">
        <v>0</v>
      </c>
      <c r="AZ83" s="605">
        <v>0</v>
      </c>
      <c r="BA83" s="606">
        <f t="shared" si="12"/>
        <v>0</v>
      </c>
      <c r="BB83" s="604">
        <v>311.3</v>
      </c>
      <c r="BC83" s="605">
        <v>0</v>
      </c>
      <c r="BD83" s="605">
        <v>0</v>
      </c>
      <c r="BE83" s="605">
        <v>0</v>
      </c>
      <c r="BF83" s="605">
        <v>0</v>
      </c>
      <c r="BG83" s="605">
        <v>0</v>
      </c>
      <c r="BH83" s="605">
        <v>0</v>
      </c>
      <c r="BI83" s="606">
        <f t="shared" ref="BI83:BI149" si="55">SUM(BB83:BH83)</f>
        <v>311.3</v>
      </c>
      <c r="BJ83" s="551">
        <f t="shared" ref="BJ83:BJ99" si="56">IF(D83="",0,AF83+AQ83+AU83+BA83+BI83)</f>
        <v>1493.8440000000001</v>
      </c>
      <c r="BK83" s="607"/>
      <c r="BL83" s="608"/>
      <c r="BM83" s="608"/>
      <c r="BN83" s="608"/>
      <c r="BO83" s="557">
        <f t="shared" ref="BO83:BO99" si="57">+BK83+BL83+BM83+BN83</f>
        <v>0</v>
      </c>
      <c r="BP83" s="607"/>
      <c r="BQ83" s="608"/>
      <c r="BR83" s="608"/>
      <c r="BS83" s="557">
        <f t="shared" si="33"/>
        <v>0</v>
      </c>
      <c r="BT83" s="607"/>
      <c r="BU83" s="557">
        <f t="shared" si="16"/>
        <v>0</v>
      </c>
      <c r="BV83" s="607"/>
      <c r="BW83" s="608"/>
      <c r="BX83" s="608"/>
      <c r="BY83" s="608"/>
      <c r="BZ83" s="608"/>
      <c r="CA83" s="608"/>
      <c r="CB83" s="608"/>
      <c r="CC83" s="608"/>
      <c r="CD83" s="608"/>
      <c r="CE83" s="557">
        <f t="shared" si="17"/>
        <v>0</v>
      </c>
      <c r="CF83" s="607"/>
      <c r="CG83" s="608"/>
      <c r="CH83" s="608"/>
      <c r="CI83" s="608"/>
      <c r="CJ83" s="608"/>
      <c r="CK83" s="608"/>
      <c r="CL83" s="608"/>
      <c r="CM83" s="557">
        <f t="shared" si="18"/>
        <v>0</v>
      </c>
      <c r="CN83" s="607"/>
      <c r="CO83" s="609">
        <f t="shared" si="19"/>
        <v>0</v>
      </c>
      <c r="CP83" s="610">
        <f t="shared" ref="CP83:CP148" si="58">+IF(D83="",0,CO83+CM83+CE83+BU83+BS83+BO83)</f>
        <v>0</v>
      </c>
      <c r="CQ83" s="545">
        <v>173.83699999999999</v>
      </c>
      <c r="CR83" s="546">
        <v>982.80000000000018</v>
      </c>
      <c r="CS83" s="544">
        <f>+CQ83+CR83</f>
        <v>1156.6370000000002</v>
      </c>
      <c r="CT83" s="545"/>
      <c r="CU83" s="546"/>
      <c r="CV83" s="546">
        <v>1287.02</v>
      </c>
      <c r="CW83" s="544">
        <f>+CT83+CU83+CV83</f>
        <v>1287.02</v>
      </c>
      <c r="CX83" s="547">
        <f>+CS83+CW83</f>
        <v>2443.6570000000002</v>
      </c>
      <c r="CY83" s="611">
        <f t="shared" ref="CY83:CY99" si="59">IF(D83="",0,AC83+BJ83+CP83+CX83)</f>
        <v>3937.5010000000002</v>
      </c>
    </row>
    <row r="84" spans="1:103" s="561" customFormat="1">
      <c r="A84" s="538">
        <v>78</v>
      </c>
      <c r="B84" s="602" t="s">
        <v>90</v>
      </c>
      <c r="C84" s="603" t="s">
        <v>908</v>
      </c>
      <c r="D84" s="541" t="s">
        <v>829</v>
      </c>
      <c r="E84" s="545">
        <v>0</v>
      </c>
      <c r="F84" s="546">
        <v>0</v>
      </c>
      <c r="G84" s="546">
        <v>0</v>
      </c>
      <c r="H84" s="546">
        <v>0</v>
      </c>
      <c r="I84" s="544">
        <f t="shared" ref="I84:I149" si="60">+IF(D84="", "",SUM(E84:H84))</f>
        <v>0</v>
      </c>
      <c r="J84" s="545">
        <v>0</v>
      </c>
      <c r="K84" s="546">
        <v>0</v>
      </c>
      <c r="L84" s="546">
        <v>0</v>
      </c>
      <c r="M84" s="546">
        <v>0</v>
      </c>
      <c r="N84" s="544">
        <f t="shared" ref="N84:N149" si="61">+IF(A84="", "",SUM(J84:M84))</f>
        <v>0</v>
      </c>
      <c r="O84" s="545">
        <v>0</v>
      </c>
      <c r="P84" s="546">
        <v>0</v>
      </c>
      <c r="Q84" s="544">
        <f t="shared" ref="Q84:Q149" si="62">+IF(D84="", "",SUM(O84:P84))</f>
        <v>0</v>
      </c>
      <c r="R84" s="545">
        <v>0</v>
      </c>
      <c r="S84" s="546">
        <v>0</v>
      </c>
      <c r="T84" s="546">
        <v>0</v>
      </c>
      <c r="U84" s="546">
        <v>0</v>
      </c>
      <c r="V84" s="546">
        <v>0</v>
      </c>
      <c r="W84" s="546">
        <v>0</v>
      </c>
      <c r="X84" s="544">
        <f t="shared" ref="X84:X149" si="63">+IF(D84="", "",SUM(R84:W84))</f>
        <v>0</v>
      </c>
      <c r="Y84" s="545">
        <v>0</v>
      </c>
      <c r="Z84" s="546">
        <v>0</v>
      </c>
      <c r="AA84" s="546">
        <v>0</v>
      </c>
      <c r="AB84" s="544">
        <f t="shared" si="53"/>
        <v>0</v>
      </c>
      <c r="AC84" s="547">
        <f t="shared" si="54"/>
        <v>0</v>
      </c>
      <c r="AD84" s="604">
        <v>0</v>
      </c>
      <c r="AE84" s="605">
        <v>0</v>
      </c>
      <c r="AF84" s="606">
        <f t="shared" ref="AF84:AF149" si="64">SUM(AD84:AE84)</f>
        <v>0</v>
      </c>
      <c r="AG84" s="604">
        <v>0</v>
      </c>
      <c r="AH84" s="605">
        <v>328.5</v>
      </c>
      <c r="AI84" s="605">
        <v>0</v>
      </c>
      <c r="AJ84" s="605">
        <v>0</v>
      </c>
      <c r="AK84" s="605">
        <v>0</v>
      </c>
      <c r="AL84" s="605">
        <v>0</v>
      </c>
      <c r="AM84" s="605">
        <v>370.44000000000005</v>
      </c>
      <c r="AN84" s="605">
        <v>0</v>
      </c>
      <c r="AO84" s="605">
        <v>0</v>
      </c>
      <c r="AP84" s="605">
        <v>0</v>
      </c>
      <c r="AQ84" s="606">
        <f t="shared" ref="AQ84:AQ149" si="65">SUM(AG84:AP84)</f>
        <v>698.94</v>
      </c>
      <c r="AR84" s="604">
        <v>376.1</v>
      </c>
      <c r="AS84" s="605">
        <v>0</v>
      </c>
      <c r="AT84" s="605">
        <v>0</v>
      </c>
      <c r="AU84" s="606">
        <f t="shared" ref="AU84:AU149" si="66">SUM(AR84:AT84)</f>
        <v>376.1</v>
      </c>
      <c r="AV84" s="604">
        <v>0</v>
      </c>
      <c r="AW84" s="605">
        <v>0</v>
      </c>
      <c r="AX84" s="605">
        <v>0</v>
      </c>
      <c r="AY84" s="605">
        <v>0</v>
      </c>
      <c r="AZ84" s="605">
        <v>0</v>
      </c>
      <c r="BA84" s="606">
        <f t="shared" ref="BA84:BA149" si="67">SUM(AV84:AZ84)</f>
        <v>0</v>
      </c>
      <c r="BB84" s="604">
        <v>283</v>
      </c>
      <c r="BC84" s="605">
        <v>0</v>
      </c>
      <c r="BD84" s="605">
        <v>0</v>
      </c>
      <c r="BE84" s="605">
        <v>0</v>
      </c>
      <c r="BF84" s="605">
        <v>0</v>
      </c>
      <c r="BG84" s="605">
        <v>0</v>
      </c>
      <c r="BH84" s="605">
        <v>0</v>
      </c>
      <c r="BI84" s="606">
        <f t="shared" si="55"/>
        <v>283</v>
      </c>
      <c r="BJ84" s="551">
        <f t="shared" si="56"/>
        <v>1358.04</v>
      </c>
      <c r="BK84" s="607"/>
      <c r="BL84" s="608"/>
      <c r="BM84" s="608"/>
      <c r="BN84" s="608"/>
      <c r="BO84" s="557">
        <f t="shared" si="57"/>
        <v>0</v>
      </c>
      <c r="BP84" s="607"/>
      <c r="BQ84" s="608"/>
      <c r="BR84" s="608"/>
      <c r="BS84" s="557">
        <f t="shared" si="33"/>
        <v>0</v>
      </c>
      <c r="BT84" s="607"/>
      <c r="BU84" s="557">
        <f t="shared" ref="BU84:BU149" si="68">+BT84</f>
        <v>0</v>
      </c>
      <c r="BV84" s="607"/>
      <c r="BW84" s="608"/>
      <c r="BX84" s="608"/>
      <c r="BY84" s="608"/>
      <c r="BZ84" s="608"/>
      <c r="CA84" s="608"/>
      <c r="CB84" s="608"/>
      <c r="CC84" s="608"/>
      <c r="CD84" s="608"/>
      <c r="CE84" s="557">
        <f t="shared" ref="CE84:CE149" si="69">+SUM(BV84:CD84)</f>
        <v>0</v>
      </c>
      <c r="CF84" s="607"/>
      <c r="CG84" s="608"/>
      <c r="CH84" s="608"/>
      <c r="CI84" s="608"/>
      <c r="CJ84" s="608"/>
      <c r="CK84" s="608"/>
      <c r="CL84" s="608"/>
      <c r="CM84" s="557">
        <f t="shared" ref="CM84:CM149" si="70">+SUM(CF84:CL84)</f>
        <v>0</v>
      </c>
      <c r="CN84" s="607"/>
      <c r="CO84" s="609">
        <f t="shared" ref="CO84:CO149" si="71">+CN84</f>
        <v>0</v>
      </c>
      <c r="CP84" s="610">
        <f t="shared" si="58"/>
        <v>0</v>
      </c>
      <c r="CQ84" s="545">
        <v>874.36800000000005</v>
      </c>
      <c r="CR84" s="546">
        <v>1147.2</v>
      </c>
      <c r="CS84" s="544">
        <f>+CQ84+CR84</f>
        <v>2021.5680000000002</v>
      </c>
      <c r="CT84" s="545"/>
      <c r="CU84" s="546"/>
      <c r="CV84" s="546">
        <v>878.97</v>
      </c>
      <c r="CW84" s="544">
        <f>+CT84+CU84+CV84</f>
        <v>878.97</v>
      </c>
      <c r="CX84" s="547">
        <f>+CS84+CW84</f>
        <v>2900.5380000000005</v>
      </c>
      <c r="CY84" s="611">
        <f t="shared" si="59"/>
        <v>4258.5780000000004</v>
      </c>
    </row>
    <row r="85" spans="1:103" s="561" customFormat="1">
      <c r="A85" s="538">
        <v>79</v>
      </c>
      <c r="B85" s="602" t="s">
        <v>909</v>
      </c>
      <c r="C85" s="603" t="s">
        <v>910</v>
      </c>
      <c r="D85" s="541" t="s">
        <v>829</v>
      </c>
      <c r="E85" s="545">
        <v>0</v>
      </c>
      <c r="F85" s="546">
        <v>0</v>
      </c>
      <c r="G85" s="546">
        <v>260</v>
      </c>
      <c r="H85" s="546">
        <v>0</v>
      </c>
      <c r="I85" s="544">
        <f t="shared" si="60"/>
        <v>260</v>
      </c>
      <c r="J85" s="545">
        <v>0</v>
      </c>
      <c r="K85" s="546">
        <v>0</v>
      </c>
      <c r="L85" s="546">
        <v>0</v>
      </c>
      <c r="M85" s="546">
        <v>4358.4788000000008</v>
      </c>
      <c r="N85" s="544">
        <f t="shared" si="61"/>
        <v>4358.4788000000008</v>
      </c>
      <c r="O85" s="545">
        <v>363.84000000000003</v>
      </c>
      <c r="P85" s="546">
        <v>8841.3120000000017</v>
      </c>
      <c r="Q85" s="544">
        <f t="shared" si="62"/>
        <v>9205.1520000000019</v>
      </c>
      <c r="R85" s="545">
        <v>1673.6640000000002</v>
      </c>
      <c r="S85" s="546">
        <v>509.37600000000003</v>
      </c>
      <c r="T85" s="546">
        <v>727.68000000000006</v>
      </c>
      <c r="U85" s="546">
        <v>2656.0320000000002</v>
      </c>
      <c r="V85" s="546">
        <v>2292.192</v>
      </c>
      <c r="W85" s="546">
        <v>436.60800000000006</v>
      </c>
      <c r="X85" s="544">
        <f t="shared" si="63"/>
        <v>8295.5519999999997</v>
      </c>
      <c r="Y85" s="545">
        <v>4002.2400000000002</v>
      </c>
      <c r="Z85" s="546">
        <v>2037.5040000000001</v>
      </c>
      <c r="AA85" s="546">
        <v>5028.2688000000007</v>
      </c>
      <c r="AB85" s="544">
        <f t="shared" si="53"/>
        <v>11068.0128</v>
      </c>
      <c r="AC85" s="547">
        <f t="shared" si="54"/>
        <v>33187.195600000006</v>
      </c>
      <c r="AD85" s="604">
        <v>4818.4704000000002</v>
      </c>
      <c r="AE85" s="605">
        <v>3191.04</v>
      </c>
      <c r="AF85" s="606">
        <f t="shared" si="64"/>
        <v>8009.5104000000001</v>
      </c>
      <c r="AG85" s="604">
        <v>1166.5024000000001</v>
      </c>
      <c r="AH85" s="605">
        <v>0</v>
      </c>
      <c r="AI85" s="605">
        <v>0</v>
      </c>
      <c r="AJ85" s="605">
        <v>0</v>
      </c>
      <c r="AK85" s="605">
        <v>531.84</v>
      </c>
      <c r="AL85" s="605">
        <v>0</v>
      </c>
      <c r="AM85" s="605">
        <v>0</v>
      </c>
      <c r="AN85" s="605">
        <v>0</v>
      </c>
      <c r="AO85" s="605">
        <v>0</v>
      </c>
      <c r="AP85" s="605">
        <v>0</v>
      </c>
      <c r="AQ85" s="606">
        <f t="shared" si="65"/>
        <v>1698.3424</v>
      </c>
      <c r="AR85" s="604">
        <v>11162.045183999999</v>
      </c>
      <c r="AS85" s="605">
        <v>8919.027712000001</v>
      </c>
      <c r="AT85" s="605">
        <v>0</v>
      </c>
      <c r="AU85" s="606">
        <f t="shared" si="66"/>
        <v>20081.072895999998</v>
      </c>
      <c r="AV85" s="604">
        <v>60.275199999999998</v>
      </c>
      <c r="AW85" s="605">
        <v>0</v>
      </c>
      <c r="AX85" s="605">
        <v>177.28</v>
      </c>
      <c r="AY85" s="605">
        <v>0</v>
      </c>
      <c r="AZ85" s="605">
        <v>248.19200000000001</v>
      </c>
      <c r="BA85" s="606">
        <f t="shared" si="67"/>
        <v>485.74720000000002</v>
      </c>
      <c r="BB85" s="604">
        <v>0</v>
      </c>
      <c r="BC85" s="605">
        <v>0</v>
      </c>
      <c r="BD85" s="605">
        <v>1843.712</v>
      </c>
      <c r="BE85" s="605">
        <v>0</v>
      </c>
      <c r="BF85" s="605">
        <v>1028.2240000000002</v>
      </c>
      <c r="BG85" s="605">
        <v>106.27199999999999</v>
      </c>
      <c r="BH85" s="605">
        <v>0</v>
      </c>
      <c r="BI85" s="606">
        <f t="shared" si="55"/>
        <v>2978.2080000000001</v>
      </c>
      <c r="BJ85" s="551">
        <f t="shared" si="56"/>
        <v>33252.880896000002</v>
      </c>
      <c r="BK85" s="607"/>
      <c r="BL85" s="608">
        <v>945.03</v>
      </c>
      <c r="BM85" s="608">
        <v>1843.712</v>
      </c>
      <c r="BN85" s="608">
        <v>425.71600000000001</v>
      </c>
      <c r="BO85" s="557">
        <f t="shared" si="57"/>
        <v>3214.4580000000001</v>
      </c>
      <c r="BP85" s="607"/>
      <c r="BQ85" s="608">
        <v>1879.1680000000001</v>
      </c>
      <c r="BR85" s="608"/>
      <c r="BS85" s="557">
        <f t="shared" si="33"/>
        <v>1879.1680000000001</v>
      </c>
      <c r="BT85" s="607">
        <v>567.29600000000005</v>
      </c>
      <c r="BU85" s="557">
        <f t="shared" si="68"/>
        <v>567.29600000000005</v>
      </c>
      <c r="BV85" s="607"/>
      <c r="BW85" s="608"/>
      <c r="BX85" s="608"/>
      <c r="BY85" s="608"/>
      <c r="BZ85" s="608">
        <v>594.5</v>
      </c>
      <c r="CA85" s="608"/>
      <c r="CB85" s="608"/>
      <c r="CC85" s="608">
        <v>317.38</v>
      </c>
      <c r="CD85" s="608"/>
      <c r="CE85" s="557">
        <f t="shared" si="69"/>
        <v>911.88</v>
      </c>
      <c r="CF85" s="607"/>
      <c r="CG85" s="608"/>
      <c r="CH85" s="608">
        <v>1311.87</v>
      </c>
      <c r="CI85" s="608">
        <v>638.21</v>
      </c>
      <c r="CJ85" s="608">
        <v>390.02</v>
      </c>
      <c r="CK85" s="608">
        <v>390.02</v>
      </c>
      <c r="CL85" s="608">
        <v>177.28</v>
      </c>
      <c r="CM85" s="557">
        <f t="shared" si="70"/>
        <v>2907.4</v>
      </c>
      <c r="CN85" s="607">
        <v>850.94399999999996</v>
      </c>
      <c r="CO85" s="609">
        <f t="shared" si="71"/>
        <v>850.94399999999996</v>
      </c>
      <c r="CP85" s="610">
        <f t="shared" si="58"/>
        <v>10331.146000000001</v>
      </c>
      <c r="CQ85" s="545"/>
      <c r="CR85" s="546"/>
      <c r="CS85" s="544">
        <f>+CQ85+CR85</f>
        <v>0</v>
      </c>
      <c r="CT85" s="545"/>
      <c r="CU85" s="546"/>
      <c r="CV85" s="546"/>
      <c r="CW85" s="544">
        <f>+CT85+CU85+CV85</f>
        <v>0</v>
      </c>
      <c r="CX85" s="547">
        <f>+CS85+CW85</f>
        <v>0</v>
      </c>
      <c r="CY85" s="611">
        <f t="shared" si="59"/>
        <v>76771.222496000002</v>
      </c>
    </row>
    <row r="86" spans="1:103" s="561" customFormat="1">
      <c r="A86" s="538"/>
      <c r="B86" s="602" t="s">
        <v>911</v>
      </c>
      <c r="C86" s="603" t="s">
        <v>912</v>
      </c>
      <c r="D86" s="541" t="s">
        <v>854</v>
      </c>
      <c r="E86" s="545"/>
      <c r="F86" s="546"/>
      <c r="G86" s="546"/>
      <c r="H86" s="546"/>
      <c r="I86" s="544">
        <f>+'Acarreos Tramo 2'!Y26</f>
        <v>2829.2005813953492</v>
      </c>
      <c r="J86" s="545"/>
      <c r="K86" s="546"/>
      <c r="L86" s="546"/>
      <c r="M86" s="546"/>
      <c r="N86" s="544">
        <f>+'Acarreos Tramo 2'!Y40</f>
        <v>111366.22853804655</v>
      </c>
      <c r="O86" s="545"/>
      <c r="P86" s="546"/>
      <c r="Q86" s="544">
        <f>+'Acarreos Tramo 2'!Y54</f>
        <v>314170.7673934885</v>
      </c>
      <c r="R86" s="545"/>
      <c r="S86" s="546"/>
      <c r="T86" s="546"/>
      <c r="U86" s="546"/>
      <c r="V86" s="546"/>
      <c r="W86" s="546"/>
      <c r="X86" s="544">
        <f>+'Acarreos Tramo 2'!Y67</f>
        <v>254625.21644651165</v>
      </c>
      <c r="Y86" s="545"/>
      <c r="Z86" s="546"/>
      <c r="AA86" s="546"/>
      <c r="AB86" s="544">
        <f>+'Acarreos Tramo 2'!Y80</f>
        <v>6756.6357209302332</v>
      </c>
      <c r="AC86" s="547">
        <f t="shared" si="54"/>
        <v>689748.04868037219</v>
      </c>
      <c r="AD86" s="604"/>
      <c r="AE86" s="605"/>
      <c r="AF86" s="606" t="e">
        <f>+#REF!</f>
        <v>#REF!</v>
      </c>
      <c r="AG86" s="604"/>
      <c r="AH86" s="605"/>
      <c r="AI86" s="605"/>
      <c r="AJ86" s="605"/>
      <c r="AK86" s="605"/>
      <c r="AL86" s="605"/>
      <c r="AM86" s="605"/>
      <c r="AN86" s="605"/>
      <c r="AO86" s="605"/>
      <c r="AP86" s="605"/>
      <c r="AQ86" s="606" t="e">
        <f>+#REF!</f>
        <v>#REF!</v>
      </c>
      <c r="AR86" s="604"/>
      <c r="AS86" s="605"/>
      <c r="AT86" s="605"/>
      <c r="AU86" s="606" t="e">
        <f>+#REF!</f>
        <v>#REF!</v>
      </c>
      <c r="AV86" s="604"/>
      <c r="AW86" s="605"/>
      <c r="AX86" s="605"/>
      <c r="AY86" s="605"/>
      <c r="AZ86" s="605"/>
      <c r="BA86" s="606" t="e">
        <f>+#REF!</f>
        <v>#REF!</v>
      </c>
      <c r="BB86" s="604"/>
      <c r="BC86" s="605"/>
      <c r="BD86" s="605"/>
      <c r="BE86" s="605"/>
      <c r="BF86" s="605"/>
      <c r="BG86" s="605"/>
      <c r="BH86" s="605"/>
      <c r="BI86" s="606" t="e">
        <f>+#REF!</f>
        <v>#REF!</v>
      </c>
      <c r="BJ86" s="551" t="e">
        <f t="shared" si="56"/>
        <v>#REF!</v>
      </c>
      <c r="BK86" s="607"/>
      <c r="BL86" s="608"/>
      <c r="BM86" s="608"/>
      <c r="BN86" s="608"/>
      <c r="BO86" s="557">
        <f>+'Acarreos Tramo 7'!AI26</f>
        <v>65757.158115697675</v>
      </c>
      <c r="BP86" s="607"/>
      <c r="BQ86" s="608"/>
      <c r="BR86" s="608"/>
      <c r="BS86" s="557">
        <f>+'Acarreos Tramo 7'!AI40</f>
        <v>47527.108576744191</v>
      </c>
      <c r="BT86" s="607"/>
      <c r="BU86" s="557">
        <f>+'Acarreos Tramo 7'!AI53</f>
        <v>27227.239590697682</v>
      </c>
      <c r="BV86" s="607"/>
      <c r="BW86" s="608"/>
      <c r="BX86" s="608"/>
      <c r="BY86" s="608"/>
      <c r="BZ86" s="608"/>
      <c r="CA86" s="608"/>
      <c r="CB86" s="608"/>
      <c r="CC86" s="608"/>
      <c r="CD86" s="608"/>
      <c r="CE86" s="557">
        <f>+'Acarreos Tramo 7'!AI66</f>
        <v>43105.813482558151</v>
      </c>
      <c r="CF86" s="607"/>
      <c r="CG86" s="608"/>
      <c r="CH86" s="608"/>
      <c r="CI86" s="608"/>
      <c r="CJ86" s="608"/>
      <c r="CK86" s="608"/>
      <c r="CL86" s="608"/>
      <c r="CM86" s="557">
        <f>+'Acarreos Tramo 7'!AI79</f>
        <v>38567.844244186053</v>
      </c>
      <c r="CN86" s="607"/>
      <c r="CO86" s="609">
        <f>+'Acarreos Tramo 7'!AI92</f>
        <v>5070.0430883720928</v>
      </c>
      <c r="CP86" s="610">
        <f t="shared" si="58"/>
        <v>227255.20709825584</v>
      </c>
      <c r="CQ86" s="545"/>
      <c r="CR86" s="546"/>
      <c r="CS86" s="544">
        <f>+(CR84+CR83)*1.3*32</f>
        <v>88608</v>
      </c>
      <c r="CT86" s="545"/>
      <c r="CU86" s="546"/>
      <c r="CV86" s="546"/>
      <c r="CW86" s="544">
        <f>+(CV84+CV83)*1.3*23</f>
        <v>64763.100999999995</v>
      </c>
      <c r="CX86" s="547">
        <f>+CW86+CS86</f>
        <v>153371.101</v>
      </c>
      <c r="CY86" s="611" t="e">
        <f t="shared" si="59"/>
        <v>#REF!</v>
      </c>
    </row>
    <row r="87" spans="1:103" s="561" customFormat="1">
      <c r="A87" s="538">
        <v>80</v>
      </c>
      <c r="B87" s="602" t="s">
        <v>913</v>
      </c>
      <c r="C87" s="603" t="s">
        <v>261</v>
      </c>
      <c r="D87" s="541" t="s">
        <v>78</v>
      </c>
      <c r="E87" s="545">
        <v>0</v>
      </c>
      <c r="F87" s="546">
        <v>0</v>
      </c>
      <c r="G87" s="546">
        <v>12558</v>
      </c>
      <c r="H87" s="546">
        <v>0</v>
      </c>
      <c r="I87" s="544">
        <f t="shared" si="60"/>
        <v>12558</v>
      </c>
      <c r="J87" s="545">
        <v>0</v>
      </c>
      <c r="K87" s="546">
        <v>0</v>
      </c>
      <c r="L87" s="546">
        <v>0</v>
      </c>
      <c r="M87" s="546">
        <v>210514.52604000006</v>
      </c>
      <c r="N87" s="544">
        <f t="shared" si="61"/>
        <v>210514.52604000006</v>
      </c>
      <c r="O87" s="545">
        <v>17573.472000000002</v>
      </c>
      <c r="P87" s="546">
        <v>427035.36960000015</v>
      </c>
      <c r="Q87" s="544">
        <f t="shared" si="62"/>
        <v>444608.84160000016</v>
      </c>
      <c r="R87" s="545">
        <v>80837.971200000015</v>
      </c>
      <c r="S87" s="546">
        <v>24602.860800000002</v>
      </c>
      <c r="T87" s="546">
        <v>35146.944000000003</v>
      </c>
      <c r="U87" s="546">
        <v>128286.34560000002</v>
      </c>
      <c r="V87" s="546">
        <v>110712.87360000001</v>
      </c>
      <c r="W87" s="546">
        <v>21088.166400000006</v>
      </c>
      <c r="X87" s="544">
        <f t="shared" si="63"/>
        <v>400675.16159999999</v>
      </c>
      <c r="Y87" s="545">
        <v>193308.19200000001</v>
      </c>
      <c r="Z87" s="546">
        <v>98411.443200000009</v>
      </c>
      <c r="AA87" s="546">
        <v>242865.38304000004</v>
      </c>
      <c r="AB87" s="544">
        <f t="shared" si="53"/>
        <v>534585.01824000012</v>
      </c>
      <c r="AC87" s="547">
        <f t="shared" si="54"/>
        <v>1602941.5474800002</v>
      </c>
      <c r="AD87" s="604">
        <v>213000.48403200001</v>
      </c>
      <c r="AE87" s="605">
        <v>141059.92320000002</v>
      </c>
      <c r="AF87" s="606">
        <f t="shared" si="64"/>
        <v>354060.40723200003</v>
      </c>
      <c r="AG87" s="604">
        <v>51565.238592000009</v>
      </c>
      <c r="AH87" s="605">
        <v>0</v>
      </c>
      <c r="AI87" s="605">
        <v>0</v>
      </c>
      <c r="AJ87" s="605">
        <v>0</v>
      </c>
      <c r="AK87" s="605">
        <v>23509.987200000003</v>
      </c>
      <c r="AL87" s="605">
        <v>0</v>
      </c>
      <c r="AM87" s="605">
        <v>0</v>
      </c>
      <c r="AN87" s="605">
        <v>0</v>
      </c>
      <c r="AO87" s="605">
        <v>0</v>
      </c>
      <c r="AP87" s="605">
        <v>0</v>
      </c>
      <c r="AQ87" s="606">
        <f t="shared" si="65"/>
        <v>75075.225792000012</v>
      </c>
      <c r="AR87" s="604">
        <v>493418.20735872001</v>
      </c>
      <c r="AS87" s="605">
        <v>394265.62000896008</v>
      </c>
      <c r="AT87" s="605">
        <v>0</v>
      </c>
      <c r="AU87" s="606">
        <f t="shared" si="66"/>
        <v>887683.82736768015</v>
      </c>
      <c r="AV87" s="604">
        <v>2664.4652160000001</v>
      </c>
      <c r="AW87" s="605">
        <v>0</v>
      </c>
      <c r="AX87" s="605">
        <v>7836.6624000000011</v>
      </c>
      <c r="AY87" s="605">
        <v>0</v>
      </c>
      <c r="AZ87" s="605">
        <v>10971.327360000001</v>
      </c>
      <c r="BA87" s="606">
        <f t="shared" si="67"/>
        <v>21472.454976000001</v>
      </c>
      <c r="BB87" s="604">
        <v>0</v>
      </c>
      <c r="BC87" s="605">
        <v>0</v>
      </c>
      <c r="BD87" s="605">
        <v>81501.288960000005</v>
      </c>
      <c r="BE87" s="605">
        <v>0</v>
      </c>
      <c r="BF87" s="605">
        <v>45452.641920000009</v>
      </c>
      <c r="BG87" s="605">
        <v>4697.7537599999996</v>
      </c>
      <c r="BH87" s="605">
        <v>0</v>
      </c>
      <c r="BI87" s="606">
        <f t="shared" si="55"/>
        <v>131651.68464000002</v>
      </c>
      <c r="BJ87" s="551">
        <f t="shared" si="56"/>
        <v>1469943.6000076802</v>
      </c>
      <c r="BK87" s="607"/>
      <c r="BL87" s="608">
        <v>47669.203260000002</v>
      </c>
      <c r="BM87" s="608">
        <v>93000.52070400001</v>
      </c>
      <c r="BN87" s="608">
        <v>21473.966472000004</v>
      </c>
      <c r="BO87" s="557">
        <f t="shared" si="57"/>
        <v>162143.690436</v>
      </c>
      <c r="BP87" s="607"/>
      <c r="BQ87" s="608">
        <v>94788.992256000012</v>
      </c>
      <c r="BR87" s="608"/>
      <c r="BS87" s="557">
        <f t="shared" si="33"/>
        <v>94788.992256000012</v>
      </c>
      <c r="BT87" s="607">
        <v>28615.544832000003</v>
      </c>
      <c r="BU87" s="557">
        <f t="shared" si="68"/>
        <v>28615.544832000003</v>
      </c>
      <c r="BV87" s="607"/>
      <c r="BW87" s="608"/>
      <c r="BX87" s="608"/>
      <c r="BY87" s="608"/>
      <c r="BZ87" s="608">
        <v>29987.68</v>
      </c>
      <c r="CA87" s="608"/>
      <c r="CB87" s="608"/>
      <c r="CC87" s="608">
        <v>16009.08</v>
      </c>
      <c r="CD87" s="608"/>
      <c r="CE87" s="557">
        <f t="shared" si="69"/>
        <v>45996.76</v>
      </c>
      <c r="CF87" s="607"/>
      <c r="CG87" s="608"/>
      <c r="CH87" s="608">
        <v>66173.45</v>
      </c>
      <c r="CI87" s="608">
        <v>32192.49</v>
      </c>
      <c r="CJ87" s="608">
        <v>19673.189999999999</v>
      </c>
      <c r="CK87" s="608">
        <v>19673.189999999999</v>
      </c>
      <c r="CL87" s="608">
        <v>8942.36</v>
      </c>
      <c r="CM87" s="557">
        <f t="shared" si="70"/>
        <v>146654.68</v>
      </c>
      <c r="CN87" s="607">
        <v>42923.317248000007</v>
      </c>
      <c r="CO87" s="609">
        <f t="shared" si="71"/>
        <v>42923.317248000007</v>
      </c>
      <c r="CP87" s="610">
        <f t="shared" si="58"/>
        <v>521122.984772</v>
      </c>
      <c r="CQ87" s="545"/>
      <c r="CR87" s="546"/>
      <c r="CS87" s="544">
        <f>+CQ87+CR87</f>
        <v>0</v>
      </c>
      <c r="CT87" s="545"/>
      <c r="CU87" s="546"/>
      <c r="CV87" s="546"/>
      <c r="CW87" s="544">
        <f t="shared" ref="CW87:CW94" si="72">+CT87+CU87+CV87</f>
        <v>0</v>
      </c>
      <c r="CX87" s="547">
        <f t="shared" ref="CX87:CX94" si="73">+CS87+CW87</f>
        <v>0</v>
      </c>
      <c r="CY87" s="611">
        <f t="shared" si="59"/>
        <v>3594008.1322596804</v>
      </c>
    </row>
    <row r="88" spans="1:103" s="561" customFormat="1">
      <c r="A88" s="538">
        <v>81</v>
      </c>
      <c r="B88" s="602" t="s">
        <v>914</v>
      </c>
      <c r="C88" s="603" t="s">
        <v>915</v>
      </c>
      <c r="D88" s="541" t="s">
        <v>843</v>
      </c>
      <c r="E88" s="545">
        <v>0</v>
      </c>
      <c r="F88" s="546">
        <v>0</v>
      </c>
      <c r="G88" s="546">
        <v>837</v>
      </c>
      <c r="H88" s="546">
        <v>0</v>
      </c>
      <c r="I88" s="544">
        <f t="shared" si="60"/>
        <v>837</v>
      </c>
      <c r="J88" s="545">
        <v>0</v>
      </c>
      <c r="K88" s="546">
        <v>0</v>
      </c>
      <c r="L88" s="546">
        <v>0</v>
      </c>
      <c r="M88" s="546">
        <v>0</v>
      </c>
      <c r="N88" s="544">
        <f t="shared" si="61"/>
        <v>0</v>
      </c>
      <c r="O88" s="545">
        <v>1089</v>
      </c>
      <c r="P88" s="546">
        <v>42929.932500000003</v>
      </c>
      <c r="Q88" s="544">
        <f t="shared" si="62"/>
        <v>44018.932500000003</v>
      </c>
      <c r="R88" s="545">
        <v>10902</v>
      </c>
      <c r="S88" s="546">
        <v>1659</v>
      </c>
      <c r="T88" s="546">
        <v>2370</v>
      </c>
      <c r="U88" s="546">
        <v>8650.5</v>
      </c>
      <c r="V88" s="546">
        <v>7465.5</v>
      </c>
      <c r="W88" s="546">
        <v>1422</v>
      </c>
      <c r="X88" s="544">
        <f t="shared" si="63"/>
        <v>32469</v>
      </c>
      <c r="Y88" s="545">
        <v>11979</v>
      </c>
      <c r="Z88" s="546">
        <v>6098.4000000000005</v>
      </c>
      <c r="AA88" s="546">
        <v>15049.980000000001</v>
      </c>
      <c r="AB88" s="544">
        <f t="shared" si="53"/>
        <v>33127.380000000005</v>
      </c>
      <c r="AC88" s="547">
        <f t="shared" si="54"/>
        <v>110452.3125</v>
      </c>
      <c r="AD88" s="604">
        <v>14704.380000000001</v>
      </c>
      <c r="AE88" s="605">
        <v>9738</v>
      </c>
      <c r="AF88" s="606">
        <f t="shared" si="64"/>
        <v>24442.38</v>
      </c>
      <c r="AG88" s="604">
        <v>3559.78</v>
      </c>
      <c r="AH88" s="605">
        <v>0</v>
      </c>
      <c r="AI88" s="605">
        <v>0</v>
      </c>
      <c r="AJ88" s="605">
        <v>0</v>
      </c>
      <c r="AK88" s="605">
        <v>1623</v>
      </c>
      <c r="AL88" s="605">
        <v>0</v>
      </c>
      <c r="AM88" s="605">
        <v>9521.6</v>
      </c>
      <c r="AN88" s="605">
        <v>0</v>
      </c>
      <c r="AO88" s="605">
        <v>1027.9000000000001</v>
      </c>
      <c r="AP88" s="605">
        <v>0</v>
      </c>
      <c r="AQ88" s="606">
        <f t="shared" si="65"/>
        <v>15732.28</v>
      </c>
      <c r="AR88" s="604">
        <v>34062.874799999998</v>
      </c>
      <c r="AS88" s="605">
        <v>27217.9264</v>
      </c>
      <c r="AT88" s="605">
        <v>0</v>
      </c>
      <c r="AU88" s="606">
        <f t="shared" si="66"/>
        <v>61280.801200000002</v>
      </c>
      <c r="AV88" s="604">
        <v>238.04</v>
      </c>
      <c r="AW88" s="605">
        <v>0</v>
      </c>
      <c r="AX88" s="605">
        <v>541</v>
      </c>
      <c r="AY88" s="605">
        <v>0</v>
      </c>
      <c r="AZ88" s="605">
        <v>757.4</v>
      </c>
      <c r="BA88" s="606">
        <f t="shared" si="67"/>
        <v>1536.44</v>
      </c>
      <c r="BB88" s="604">
        <v>0</v>
      </c>
      <c r="BC88" s="605">
        <v>595.1</v>
      </c>
      <c r="BD88" s="605">
        <v>5626.4000000000005</v>
      </c>
      <c r="BE88" s="605">
        <v>0</v>
      </c>
      <c r="BF88" s="605">
        <v>3570.6000000000004</v>
      </c>
      <c r="BG88" s="605">
        <v>595.1</v>
      </c>
      <c r="BH88" s="605">
        <v>0</v>
      </c>
      <c r="BI88" s="606">
        <f t="shared" si="55"/>
        <v>10387.200000000003</v>
      </c>
      <c r="BJ88" s="551">
        <f t="shared" si="56"/>
        <v>113379.1012</v>
      </c>
      <c r="BK88" s="607"/>
      <c r="BL88" s="608"/>
      <c r="BM88" s="608">
        <v>16662.8</v>
      </c>
      <c r="BN88" s="608"/>
      <c r="BO88" s="557">
        <f t="shared" si="57"/>
        <v>16662.8</v>
      </c>
      <c r="BP88" s="607"/>
      <c r="BQ88" s="608">
        <v>5734.6</v>
      </c>
      <c r="BR88" s="608"/>
      <c r="BS88" s="557">
        <f t="shared" si="33"/>
        <v>5734.6</v>
      </c>
      <c r="BT88" s="607">
        <v>8439.6</v>
      </c>
      <c r="BU88" s="557">
        <f t="shared" si="68"/>
        <v>8439.6</v>
      </c>
      <c r="BV88" s="607"/>
      <c r="BW88" s="608"/>
      <c r="BX88" s="608"/>
      <c r="BY88" s="608"/>
      <c r="BZ88" s="608">
        <v>3648.18</v>
      </c>
      <c r="CA88" s="608"/>
      <c r="CB88" s="608">
        <v>4328</v>
      </c>
      <c r="CC88" s="608">
        <v>1947.6</v>
      </c>
      <c r="CD88" s="608">
        <v>2975.5</v>
      </c>
      <c r="CE88" s="557">
        <f t="shared" si="69"/>
        <v>12899.28</v>
      </c>
      <c r="CF88" s="607"/>
      <c r="CG88" s="608"/>
      <c r="CH88" s="608">
        <v>4003.4</v>
      </c>
      <c r="CI88" s="608">
        <v>1947.6</v>
      </c>
      <c r="CJ88" s="608">
        <v>1190.2</v>
      </c>
      <c r="CK88" s="608">
        <v>1190.2</v>
      </c>
      <c r="CL88" s="608">
        <v>541</v>
      </c>
      <c r="CM88" s="557">
        <f t="shared" si="70"/>
        <v>8872.4</v>
      </c>
      <c r="CN88" s="607">
        <v>2596.8000000000002</v>
      </c>
      <c r="CO88" s="609">
        <f t="shared" si="71"/>
        <v>2596.8000000000002</v>
      </c>
      <c r="CP88" s="610">
        <f t="shared" si="58"/>
        <v>55205.479999999996</v>
      </c>
      <c r="CQ88" s="545">
        <v>4357.3999999999996</v>
      </c>
      <c r="CR88" s="546">
        <v>5736</v>
      </c>
      <c r="CS88" s="544">
        <f>+CQ94+CR88</f>
        <v>5736</v>
      </c>
      <c r="CT88" s="545"/>
      <c r="CU88" s="546"/>
      <c r="CV88" s="546">
        <v>7610.4</v>
      </c>
      <c r="CW88" s="544">
        <f t="shared" si="72"/>
        <v>7610.4</v>
      </c>
      <c r="CX88" s="547">
        <f t="shared" si="73"/>
        <v>13346.4</v>
      </c>
      <c r="CY88" s="611">
        <f t="shared" si="59"/>
        <v>292383.29370000004</v>
      </c>
    </row>
    <row r="89" spans="1:103" s="561" customFormat="1">
      <c r="A89" s="538">
        <v>82</v>
      </c>
      <c r="B89" s="602" t="s">
        <v>411</v>
      </c>
      <c r="C89" s="603" t="s">
        <v>916</v>
      </c>
      <c r="D89" s="541" t="s">
        <v>843</v>
      </c>
      <c r="E89" s="545">
        <v>0</v>
      </c>
      <c r="F89" s="546">
        <v>0</v>
      </c>
      <c r="G89" s="546">
        <v>0</v>
      </c>
      <c r="H89" s="546">
        <v>0</v>
      </c>
      <c r="I89" s="544">
        <f t="shared" si="60"/>
        <v>0</v>
      </c>
      <c r="J89" s="545">
        <v>0</v>
      </c>
      <c r="K89" s="546">
        <v>0</v>
      </c>
      <c r="L89" s="546">
        <v>0</v>
      </c>
      <c r="M89" s="546">
        <v>0</v>
      </c>
      <c r="N89" s="544">
        <f t="shared" si="61"/>
        <v>0</v>
      </c>
      <c r="O89" s="545">
        <v>0</v>
      </c>
      <c r="P89" s="546">
        <v>0</v>
      </c>
      <c r="Q89" s="544">
        <f t="shared" si="62"/>
        <v>0</v>
      </c>
      <c r="R89" s="545">
        <v>0</v>
      </c>
      <c r="S89" s="546">
        <v>0</v>
      </c>
      <c r="T89" s="546">
        <v>0</v>
      </c>
      <c r="U89" s="546">
        <v>0</v>
      </c>
      <c r="V89" s="546">
        <v>0</v>
      </c>
      <c r="W89" s="546">
        <v>0</v>
      </c>
      <c r="X89" s="544">
        <f t="shared" si="63"/>
        <v>0</v>
      </c>
      <c r="Y89" s="545">
        <v>0</v>
      </c>
      <c r="Z89" s="546">
        <v>0</v>
      </c>
      <c r="AA89" s="546">
        <v>0</v>
      </c>
      <c r="AB89" s="544">
        <f t="shared" si="53"/>
        <v>0</v>
      </c>
      <c r="AC89" s="547">
        <f t="shared" si="54"/>
        <v>0</v>
      </c>
      <c r="AD89" s="604" t="s">
        <v>816</v>
      </c>
      <c r="AE89" s="605" t="s">
        <v>816</v>
      </c>
      <c r="AF89" s="606">
        <f t="shared" si="64"/>
        <v>0</v>
      </c>
      <c r="AG89" s="604" t="s">
        <v>816</v>
      </c>
      <c r="AH89" s="605" t="s">
        <v>816</v>
      </c>
      <c r="AI89" s="605" t="s">
        <v>816</v>
      </c>
      <c r="AJ89" s="605" t="s">
        <v>816</v>
      </c>
      <c r="AK89" s="605" t="s">
        <v>816</v>
      </c>
      <c r="AL89" s="605" t="s">
        <v>816</v>
      </c>
      <c r="AM89" s="605" t="s">
        <v>816</v>
      </c>
      <c r="AN89" s="605" t="s">
        <v>816</v>
      </c>
      <c r="AO89" s="605" t="s">
        <v>816</v>
      </c>
      <c r="AP89" s="605" t="s">
        <v>816</v>
      </c>
      <c r="AQ89" s="606">
        <f t="shared" si="65"/>
        <v>0</v>
      </c>
      <c r="AR89" s="604" t="s">
        <v>816</v>
      </c>
      <c r="AS89" s="605" t="s">
        <v>816</v>
      </c>
      <c r="AT89" s="605" t="s">
        <v>816</v>
      </c>
      <c r="AU89" s="606">
        <f t="shared" si="66"/>
        <v>0</v>
      </c>
      <c r="AV89" s="604" t="s">
        <v>816</v>
      </c>
      <c r="AW89" s="605" t="s">
        <v>816</v>
      </c>
      <c r="AX89" s="605" t="s">
        <v>816</v>
      </c>
      <c r="AY89" s="605" t="s">
        <v>816</v>
      </c>
      <c r="AZ89" s="605" t="s">
        <v>816</v>
      </c>
      <c r="BA89" s="606">
        <f t="shared" si="67"/>
        <v>0</v>
      </c>
      <c r="BB89" s="604" t="s">
        <v>816</v>
      </c>
      <c r="BC89" s="605" t="s">
        <v>816</v>
      </c>
      <c r="BD89" s="605" t="s">
        <v>816</v>
      </c>
      <c r="BE89" s="605" t="s">
        <v>816</v>
      </c>
      <c r="BF89" s="605" t="s">
        <v>816</v>
      </c>
      <c r="BG89" s="605" t="s">
        <v>816</v>
      </c>
      <c r="BH89" s="605" t="s">
        <v>816</v>
      </c>
      <c r="BI89" s="606">
        <f t="shared" si="55"/>
        <v>0</v>
      </c>
      <c r="BJ89" s="551">
        <f t="shared" si="56"/>
        <v>0</v>
      </c>
      <c r="BK89" s="607"/>
      <c r="BL89" s="608"/>
      <c r="BM89" s="608">
        <v>16662.8</v>
      </c>
      <c r="BN89" s="608"/>
      <c r="BO89" s="557">
        <f t="shared" si="57"/>
        <v>16662.8</v>
      </c>
      <c r="BP89" s="607"/>
      <c r="BQ89" s="608">
        <v>5734.6</v>
      </c>
      <c r="BR89" s="608"/>
      <c r="BS89" s="557">
        <f t="shared" si="33"/>
        <v>5734.6</v>
      </c>
      <c r="BT89" s="607"/>
      <c r="BU89" s="557">
        <f t="shared" si="68"/>
        <v>0</v>
      </c>
      <c r="BV89" s="607"/>
      <c r="BW89" s="608"/>
      <c r="BX89" s="608"/>
      <c r="BY89" s="608"/>
      <c r="BZ89" s="608"/>
      <c r="CA89" s="608"/>
      <c r="CB89" s="608"/>
      <c r="CC89" s="608"/>
      <c r="CD89" s="608"/>
      <c r="CE89" s="557">
        <f t="shared" si="69"/>
        <v>0</v>
      </c>
      <c r="CF89" s="607"/>
      <c r="CG89" s="608"/>
      <c r="CH89" s="608"/>
      <c r="CI89" s="608"/>
      <c r="CJ89" s="608"/>
      <c r="CK89" s="608"/>
      <c r="CL89" s="608"/>
      <c r="CM89" s="557">
        <f t="shared" si="70"/>
        <v>0</v>
      </c>
      <c r="CN89" s="607"/>
      <c r="CO89" s="609">
        <f t="shared" si="71"/>
        <v>0</v>
      </c>
      <c r="CP89" s="610">
        <f t="shared" si="58"/>
        <v>22397.4</v>
      </c>
      <c r="CQ89" s="545">
        <v>4796.6000000000004</v>
      </c>
      <c r="CR89" s="546">
        <v>6240</v>
      </c>
      <c r="CS89" s="544">
        <f t="shared" ref="CS89:CS94" si="74">+CQ89+CR89</f>
        <v>11036.6</v>
      </c>
      <c r="CT89" s="545">
        <v>5073.6000000000004</v>
      </c>
      <c r="CU89" s="546"/>
      <c r="CV89" s="546">
        <v>4788</v>
      </c>
      <c r="CW89" s="544">
        <f t="shared" si="72"/>
        <v>9861.6</v>
      </c>
      <c r="CX89" s="547">
        <f t="shared" si="73"/>
        <v>20898.2</v>
      </c>
      <c r="CY89" s="611">
        <f t="shared" si="59"/>
        <v>43295.600000000006</v>
      </c>
    </row>
    <row r="90" spans="1:103" s="561" customFormat="1">
      <c r="A90" s="538">
        <v>83</v>
      </c>
      <c r="B90" s="602" t="s">
        <v>325</v>
      </c>
      <c r="C90" s="603" t="s">
        <v>917</v>
      </c>
      <c r="D90" s="541" t="s">
        <v>843</v>
      </c>
      <c r="E90" s="545">
        <v>0</v>
      </c>
      <c r="F90" s="546">
        <v>7313.9000000000005</v>
      </c>
      <c r="G90" s="546">
        <v>1962</v>
      </c>
      <c r="H90" s="546">
        <v>18533.923999999999</v>
      </c>
      <c r="I90" s="544">
        <f t="shared" si="60"/>
        <v>27809.824000000001</v>
      </c>
      <c r="J90" s="545">
        <v>0</v>
      </c>
      <c r="K90" s="546">
        <v>73304.192500000019</v>
      </c>
      <c r="L90" s="546">
        <v>0</v>
      </c>
      <c r="M90" s="546">
        <v>29889.981250000004</v>
      </c>
      <c r="N90" s="544">
        <f t="shared" si="61"/>
        <v>103194.17375000002</v>
      </c>
      <c r="O90" s="545">
        <v>1089</v>
      </c>
      <c r="P90" s="546">
        <v>42929.932500000003</v>
      </c>
      <c r="Q90" s="544">
        <f t="shared" si="62"/>
        <v>44018.932500000003</v>
      </c>
      <c r="R90" s="545">
        <v>4968</v>
      </c>
      <c r="S90" s="546">
        <v>1512</v>
      </c>
      <c r="T90" s="546">
        <v>2160</v>
      </c>
      <c r="U90" s="546">
        <v>7884.0000000000009</v>
      </c>
      <c r="V90" s="546">
        <v>6804</v>
      </c>
      <c r="W90" s="546">
        <v>1296</v>
      </c>
      <c r="X90" s="544">
        <f t="shared" si="63"/>
        <v>24624</v>
      </c>
      <c r="Y90" s="545">
        <v>11979</v>
      </c>
      <c r="Z90" s="546">
        <v>6098.4000000000005</v>
      </c>
      <c r="AA90" s="546">
        <v>15246</v>
      </c>
      <c r="AB90" s="544">
        <f t="shared" si="53"/>
        <v>33323.4</v>
      </c>
      <c r="AC90" s="547">
        <f t="shared" si="54"/>
        <v>232970.33025</v>
      </c>
      <c r="AD90" s="604">
        <v>14704.380000000001</v>
      </c>
      <c r="AE90" s="605">
        <v>9738</v>
      </c>
      <c r="AF90" s="606">
        <f t="shared" si="64"/>
        <v>24442.38</v>
      </c>
      <c r="AG90" s="604">
        <v>3559.78</v>
      </c>
      <c r="AH90" s="605">
        <v>1642.5</v>
      </c>
      <c r="AI90" s="605">
        <v>0</v>
      </c>
      <c r="AJ90" s="605">
        <v>0</v>
      </c>
      <c r="AK90" s="605">
        <v>1623</v>
      </c>
      <c r="AL90" s="605">
        <v>0</v>
      </c>
      <c r="AM90" s="605">
        <v>11373.800000000001</v>
      </c>
      <c r="AN90" s="605">
        <v>0</v>
      </c>
      <c r="AO90" s="605">
        <v>1027.9000000000001</v>
      </c>
      <c r="AP90" s="605">
        <v>0</v>
      </c>
      <c r="AQ90" s="606">
        <f t="shared" si="65"/>
        <v>19226.980000000003</v>
      </c>
      <c r="AR90" s="604">
        <v>35943.374799999998</v>
      </c>
      <c r="AS90" s="605">
        <v>27217.9264</v>
      </c>
      <c r="AT90" s="605">
        <v>0</v>
      </c>
      <c r="AU90" s="606">
        <f t="shared" si="66"/>
        <v>63161.301200000002</v>
      </c>
      <c r="AV90" s="604">
        <v>238.04</v>
      </c>
      <c r="AW90" s="605">
        <v>0</v>
      </c>
      <c r="AX90" s="605">
        <v>2255.48</v>
      </c>
      <c r="AY90" s="605">
        <v>0</v>
      </c>
      <c r="AZ90" s="605">
        <v>757.4</v>
      </c>
      <c r="BA90" s="606">
        <f t="shared" si="67"/>
        <v>3250.92</v>
      </c>
      <c r="BB90" s="604">
        <v>1415</v>
      </c>
      <c r="BC90" s="605">
        <v>595.1</v>
      </c>
      <c r="BD90" s="605">
        <v>5626.4000000000005</v>
      </c>
      <c r="BE90" s="605">
        <v>0</v>
      </c>
      <c r="BF90" s="605">
        <v>3570.6000000000004</v>
      </c>
      <c r="BG90" s="605">
        <v>595.1</v>
      </c>
      <c r="BH90" s="605">
        <v>0</v>
      </c>
      <c r="BI90" s="606">
        <f t="shared" si="55"/>
        <v>11802.2</v>
      </c>
      <c r="BJ90" s="551">
        <f t="shared" si="56"/>
        <v>121883.7812</v>
      </c>
      <c r="BK90" s="607"/>
      <c r="BL90" s="608">
        <v>4.7251499999999993</v>
      </c>
      <c r="BM90" s="608"/>
      <c r="BN90" s="608"/>
      <c r="BO90" s="557">
        <f t="shared" si="57"/>
        <v>4.7251499999999993</v>
      </c>
      <c r="BP90" s="607"/>
      <c r="BQ90" s="608"/>
      <c r="BR90" s="608"/>
      <c r="BS90" s="557">
        <f t="shared" si="33"/>
        <v>0</v>
      </c>
      <c r="BT90" s="607">
        <v>8439.6</v>
      </c>
      <c r="BU90" s="557">
        <f t="shared" si="68"/>
        <v>8439.6</v>
      </c>
      <c r="BV90" s="607"/>
      <c r="BW90" s="608"/>
      <c r="BX90" s="608"/>
      <c r="BY90" s="608"/>
      <c r="BZ90" s="608">
        <v>3648.18</v>
      </c>
      <c r="CA90" s="608"/>
      <c r="CB90" s="608">
        <v>4328</v>
      </c>
      <c r="CC90" s="608">
        <v>1947.6</v>
      </c>
      <c r="CD90" s="608">
        <v>2975.5</v>
      </c>
      <c r="CE90" s="557">
        <f t="shared" si="69"/>
        <v>12899.28</v>
      </c>
      <c r="CF90" s="607"/>
      <c r="CG90" s="608"/>
      <c r="CH90" s="608">
        <v>4003.4</v>
      </c>
      <c r="CI90" s="608">
        <v>1947.6</v>
      </c>
      <c r="CJ90" s="608">
        <v>1190.2</v>
      </c>
      <c r="CK90" s="608">
        <v>1190.2</v>
      </c>
      <c r="CL90" s="608">
        <v>541</v>
      </c>
      <c r="CM90" s="557">
        <f t="shared" si="70"/>
        <v>8872.4</v>
      </c>
      <c r="CN90" s="607">
        <v>2596.8000000000002</v>
      </c>
      <c r="CO90" s="609">
        <f t="shared" si="71"/>
        <v>2596.8000000000002</v>
      </c>
      <c r="CP90" s="610">
        <f t="shared" si="58"/>
        <v>32812.80515</v>
      </c>
      <c r="CQ90" s="545"/>
      <c r="CR90" s="546"/>
      <c r="CS90" s="544">
        <f t="shared" si="74"/>
        <v>0</v>
      </c>
      <c r="CT90" s="545"/>
      <c r="CU90" s="546"/>
      <c r="CV90" s="546"/>
      <c r="CW90" s="544">
        <f t="shared" si="72"/>
        <v>0</v>
      </c>
      <c r="CX90" s="547">
        <f t="shared" si="73"/>
        <v>0</v>
      </c>
      <c r="CY90" s="611">
        <f t="shared" si="59"/>
        <v>387666.9166</v>
      </c>
    </row>
    <row r="91" spans="1:103" s="561" customFormat="1" hidden="1">
      <c r="A91" s="538">
        <v>84</v>
      </c>
      <c r="B91" s="602" t="s">
        <v>918</v>
      </c>
      <c r="C91" s="603" t="s">
        <v>919</v>
      </c>
      <c r="D91" s="541" t="s">
        <v>843</v>
      </c>
      <c r="E91" s="545">
        <v>0</v>
      </c>
      <c r="F91" s="546">
        <v>0</v>
      </c>
      <c r="G91" s="546">
        <v>0</v>
      </c>
      <c r="H91" s="546">
        <v>0</v>
      </c>
      <c r="I91" s="544">
        <f t="shared" si="60"/>
        <v>0</v>
      </c>
      <c r="J91" s="545">
        <v>0</v>
      </c>
      <c r="K91" s="546">
        <v>0</v>
      </c>
      <c r="L91" s="546">
        <v>0</v>
      </c>
      <c r="M91" s="546">
        <v>0</v>
      </c>
      <c r="N91" s="544">
        <f t="shared" si="61"/>
        <v>0</v>
      </c>
      <c r="O91" s="545">
        <v>0</v>
      </c>
      <c r="P91" s="546">
        <v>0</v>
      </c>
      <c r="Q91" s="544">
        <f t="shared" si="62"/>
        <v>0</v>
      </c>
      <c r="R91" s="545">
        <v>0</v>
      </c>
      <c r="S91" s="546">
        <v>0</v>
      </c>
      <c r="T91" s="546">
        <v>0</v>
      </c>
      <c r="U91" s="546">
        <v>0</v>
      </c>
      <c r="V91" s="546">
        <v>0</v>
      </c>
      <c r="W91" s="546">
        <v>0</v>
      </c>
      <c r="X91" s="544">
        <f t="shared" si="63"/>
        <v>0</v>
      </c>
      <c r="Y91" s="545">
        <v>0</v>
      </c>
      <c r="Z91" s="546">
        <v>0</v>
      </c>
      <c r="AA91" s="546">
        <v>0</v>
      </c>
      <c r="AB91" s="544">
        <f t="shared" si="53"/>
        <v>0</v>
      </c>
      <c r="AC91" s="547">
        <f t="shared" si="54"/>
        <v>0</v>
      </c>
      <c r="AD91" s="604" t="s">
        <v>816</v>
      </c>
      <c r="AE91" s="605" t="s">
        <v>816</v>
      </c>
      <c r="AF91" s="606">
        <f t="shared" si="64"/>
        <v>0</v>
      </c>
      <c r="AG91" s="604" t="s">
        <v>816</v>
      </c>
      <c r="AH91" s="605" t="s">
        <v>816</v>
      </c>
      <c r="AI91" s="605" t="s">
        <v>816</v>
      </c>
      <c r="AJ91" s="605" t="s">
        <v>816</v>
      </c>
      <c r="AK91" s="605" t="s">
        <v>816</v>
      </c>
      <c r="AL91" s="605" t="s">
        <v>816</v>
      </c>
      <c r="AM91" s="605" t="s">
        <v>816</v>
      </c>
      <c r="AN91" s="605" t="s">
        <v>816</v>
      </c>
      <c r="AO91" s="605" t="s">
        <v>816</v>
      </c>
      <c r="AP91" s="605" t="s">
        <v>816</v>
      </c>
      <c r="AQ91" s="606">
        <f t="shared" si="65"/>
        <v>0</v>
      </c>
      <c r="AR91" s="604" t="s">
        <v>816</v>
      </c>
      <c r="AS91" s="605" t="s">
        <v>816</v>
      </c>
      <c r="AT91" s="605" t="s">
        <v>816</v>
      </c>
      <c r="AU91" s="606">
        <f t="shared" si="66"/>
        <v>0</v>
      </c>
      <c r="AV91" s="604" t="s">
        <v>816</v>
      </c>
      <c r="AW91" s="605" t="s">
        <v>816</v>
      </c>
      <c r="AX91" s="605" t="s">
        <v>816</v>
      </c>
      <c r="AY91" s="605" t="s">
        <v>816</v>
      </c>
      <c r="AZ91" s="605" t="s">
        <v>816</v>
      </c>
      <c r="BA91" s="606">
        <f t="shared" si="67"/>
        <v>0</v>
      </c>
      <c r="BB91" s="604" t="s">
        <v>816</v>
      </c>
      <c r="BC91" s="605" t="s">
        <v>816</v>
      </c>
      <c r="BD91" s="605" t="s">
        <v>816</v>
      </c>
      <c r="BE91" s="605" t="s">
        <v>816</v>
      </c>
      <c r="BF91" s="605" t="s">
        <v>816</v>
      </c>
      <c r="BG91" s="605" t="s">
        <v>816</v>
      </c>
      <c r="BH91" s="605" t="s">
        <v>816</v>
      </c>
      <c r="BI91" s="606">
        <f t="shared" si="55"/>
        <v>0</v>
      </c>
      <c r="BJ91" s="551">
        <f t="shared" si="56"/>
        <v>0</v>
      </c>
      <c r="BK91" s="607"/>
      <c r="BL91" s="608"/>
      <c r="BM91" s="608"/>
      <c r="BN91" s="608"/>
      <c r="BO91" s="557">
        <f t="shared" si="57"/>
        <v>0</v>
      </c>
      <c r="BP91" s="607"/>
      <c r="BQ91" s="608"/>
      <c r="BR91" s="608"/>
      <c r="BS91" s="557">
        <f t="shared" si="33"/>
        <v>0</v>
      </c>
      <c r="BT91" s="607"/>
      <c r="BU91" s="557">
        <f t="shared" si="68"/>
        <v>0</v>
      </c>
      <c r="BV91" s="607"/>
      <c r="BW91" s="608"/>
      <c r="BX91" s="608"/>
      <c r="BY91" s="608"/>
      <c r="BZ91" s="608"/>
      <c r="CA91" s="608"/>
      <c r="CB91" s="608"/>
      <c r="CC91" s="608"/>
      <c r="CD91" s="608"/>
      <c r="CE91" s="557">
        <f t="shared" si="69"/>
        <v>0</v>
      </c>
      <c r="CF91" s="607"/>
      <c r="CG91" s="608"/>
      <c r="CH91" s="608"/>
      <c r="CI91" s="608"/>
      <c r="CJ91" s="608"/>
      <c r="CK91" s="608"/>
      <c r="CL91" s="608"/>
      <c r="CM91" s="557">
        <f t="shared" si="70"/>
        <v>0</v>
      </c>
      <c r="CN91" s="607"/>
      <c r="CO91" s="609">
        <f t="shared" si="71"/>
        <v>0</v>
      </c>
      <c r="CP91" s="610">
        <f t="shared" si="58"/>
        <v>0</v>
      </c>
      <c r="CQ91" s="545"/>
      <c r="CR91" s="546"/>
      <c r="CS91" s="544">
        <f t="shared" si="74"/>
        <v>0</v>
      </c>
      <c r="CT91" s="545"/>
      <c r="CU91" s="546"/>
      <c r="CV91" s="546"/>
      <c r="CW91" s="544">
        <f t="shared" si="72"/>
        <v>0</v>
      </c>
      <c r="CX91" s="547">
        <f t="shared" si="73"/>
        <v>0</v>
      </c>
      <c r="CY91" s="611">
        <f t="shared" si="59"/>
        <v>0</v>
      </c>
    </row>
    <row r="92" spans="1:103" s="561" customFormat="1">
      <c r="A92" s="538">
        <v>85</v>
      </c>
      <c r="B92" s="602" t="s">
        <v>920</v>
      </c>
      <c r="C92" s="603" t="s">
        <v>921</v>
      </c>
      <c r="D92" s="541" t="s">
        <v>829</v>
      </c>
      <c r="E92" s="545">
        <v>0</v>
      </c>
      <c r="F92" s="546">
        <v>0</v>
      </c>
      <c r="G92" s="546">
        <v>0</v>
      </c>
      <c r="H92" s="546">
        <v>0</v>
      </c>
      <c r="I92" s="544">
        <f t="shared" si="60"/>
        <v>0</v>
      </c>
      <c r="J92" s="545">
        <v>0</v>
      </c>
      <c r="K92" s="546">
        <v>0</v>
      </c>
      <c r="L92" s="546">
        <v>0</v>
      </c>
      <c r="M92" s="546">
        <v>0</v>
      </c>
      <c r="N92" s="544">
        <f t="shared" si="61"/>
        <v>0</v>
      </c>
      <c r="O92" s="545">
        <v>0</v>
      </c>
      <c r="P92" s="546">
        <v>0</v>
      </c>
      <c r="Q92" s="544">
        <f t="shared" si="62"/>
        <v>0</v>
      </c>
      <c r="R92" s="545">
        <v>0</v>
      </c>
      <c r="S92" s="546">
        <v>0</v>
      </c>
      <c r="T92" s="546">
        <v>0</v>
      </c>
      <c r="U92" s="546">
        <v>0</v>
      </c>
      <c r="V92" s="546">
        <v>0</v>
      </c>
      <c r="W92" s="546">
        <v>0</v>
      </c>
      <c r="X92" s="544">
        <f t="shared" si="63"/>
        <v>0</v>
      </c>
      <c r="Y92" s="545">
        <v>0</v>
      </c>
      <c r="Z92" s="546">
        <v>0</v>
      </c>
      <c r="AA92" s="546">
        <v>0</v>
      </c>
      <c r="AB92" s="544">
        <f t="shared" si="53"/>
        <v>0</v>
      </c>
      <c r="AC92" s="547">
        <f t="shared" si="54"/>
        <v>0</v>
      </c>
      <c r="AD92" s="604" t="s">
        <v>816</v>
      </c>
      <c r="AE92" s="605" t="s">
        <v>816</v>
      </c>
      <c r="AF92" s="606">
        <f t="shared" si="64"/>
        <v>0</v>
      </c>
      <c r="AG92" s="604" t="s">
        <v>816</v>
      </c>
      <c r="AH92" s="605" t="s">
        <v>816</v>
      </c>
      <c r="AI92" s="605" t="s">
        <v>816</v>
      </c>
      <c r="AJ92" s="605" t="s">
        <v>816</v>
      </c>
      <c r="AK92" s="605" t="s">
        <v>816</v>
      </c>
      <c r="AL92" s="605" t="s">
        <v>816</v>
      </c>
      <c r="AM92" s="605" t="s">
        <v>816</v>
      </c>
      <c r="AN92" s="605" t="s">
        <v>816</v>
      </c>
      <c r="AO92" s="605" t="s">
        <v>816</v>
      </c>
      <c r="AP92" s="605" t="s">
        <v>816</v>
      </c>
      <c r="AQ92" s="606">
        <f t="shared" si="65"/>
        <v>0</v>
      </c>
      <c r="AR92" s="604" t="s">
        <v>816</v>
      </c>
      <c r="AS92" s="605" t="s">
        <v>816</v>
      </c>
      <c r="AT92" s="605" t="s">
        <v>816</v>
      </c>
      <c r="AU92" s="606">
        <f t="shared" si="66"/>
        <v>0</v>
      </c>
      <c r="AV92" s="604" t="s">
        <v>816</v>
      </c>
      <c r="AW92" s="605" t="s">
        <v>816</v>
      </c>
      <c r="AX92" s="605" t="s">
        <v>816</v>
      </c>
      <c r="AY92" s="605" t="s">
        <v>816</v>
      </c>
      <c r="AZ92" s="605" t="s">
        <v>816</v>
      </c>
      <c r="BA92" s="606">
        <f t="shared" si="67"/>
        <v>0</v>
      </c>
      <c r="BB92" s="604" t="s">
        <v>816</v>
      </c>
      <c r="BC92" s="605" t="s">
        <v>816</v>
      </c>
      <c r="BD92" s="605" t="s">
        <v>816</v>
      </c>
      <c r="BE92" s="605" t="s">
        <v>816</v>
      </c>
      <c r="BF92" s="605" t="s">
        <v>816</v>
      </c>
      <c r="BG92" s="605" t="s">
        <v>816</v>
      </c>
      <c r="BH92" s="605" t="s">
        <v>816</v>
      </c>
      <c r="BI92" s="606">
        <f t="shared" si="55"/>
        <v>0</v>
      </c>
      <c r="BJ92" s="551">
        <f t="shared" si="56"/>
        <v>0</v>
      </c>
      <c r="BK92" s="607"/>
      <c r="BL92" s="608"/>
      <c r="BM92" s="608"/>
      <c r="BN92" s="608"/>
      <c r="BO92" s="557">
        <f t="shared" si="57"/>
        <v>0</v>
      </c>
      <c r="BP92" s="607"/>
      <c r="BQ92" s="608"/>
      <c r="BR92" s="608"/>
      <c r="BS92" s="557">
        <f t="shared" si="33"/>
        <v>0</v>
      </c>
      <c r="BT92" s="607"/>
      <c r="BU92" s="557">
        <f t="shared" si="68"/>
        <v>0</v>
      </c>
      <c r="BV92" s="607"/>
      <c r="BW92" s="608"/>
      <c r="BX92" s="608"/>
      <c r="BY92" s="608"/>
      <c r="BZ92" s="608"/>
      <c r="CA92" s="608"/>
      <c r="CB92" s="608"/>
      <c r="CC92" s="608"/>
      <c r="CD92" s="608"/>
      <c r="CE92" s="557">
        <f t="shared" si="69"/>
        <v>0</v>
      </c>
      <c r="CF92" s="607"/>
      <c r="CG92" s="608"/>
      <c r="CH92" s="608"/>
      <c r="CI92" s="608"/>
      <c r="CJ92" s="608"/>
      <c r="CK92" s="608"/>
      <c r="CL92" s="608"/>
      <c r="CM92" s="557">
        <f t="shared" si="70"/>
        <v>0</v>
      </c>
      <c r="CN92" s="607"/>
      <c r="CO92" s="609">
        <f t="shared" si="71"/>
        <v>0</v>
      </c>
      <c r="CP92" s="610">
        <f t="shared" si="58"/>
        <v>0</v>
      </c>
      <c r="CQ92" s="545">
        <v>186.15</v>
      </c>
      <c r="CR92" s="546">
        <f>489.24/2</f>
        <v>244.62</v>
      </c>
      <c r="CS92" s="544">
        <f t="shared" si="74"/>
        <v>430.77</v>
      </c>
      <c r="CT92" s="545"/>
      <c r="CU92" s="546"/>
      <c r="CV92" s="546">
        <v>202.18</v>
      </c>
      <c r="CW92" s="544">
        <f t="shared" si="72"/>
        <v>202.18</v>
      </c>
      <c r="CX92" s="547">
        <f t="shared" si="73"/>
        <v>632.95000000000005</v>
      </c>
      <c r="CY92" s="611">
        <f t="shared" si="59"/>
        <v>632.95000000000005</v>
      </c>
    </row>
    <row r="93" spans="1:103" s="561" customFormat="1" ht="30">
      <c r="A93" s="538">
        <v>86</v>
      </c>
      <c r="B93" s="602" t="s">
        <v>922</v>
      </c>
      <c r="C93" s="603" t="s">
        <v>923</v>
      </c>
      <c r="D93" s="541" t="s">
        <v>829</v>
      </c>
      <c r="E93" s="545">
        <v>0</v>
      </c>
      <c r="F93" s="546">
        <v>423.69</v>
      </c>
      <c r="G93" s="546">
        <v>97.65</v>
      </c>
      <c r="H93" s="546">
        <v>1131.67</v>
      </c>
      <c r="I93" s="544">
        <f t="shared" si="60"/>
        <v>1653.0100000000002</v>
      </c>
      <c r="J93" s="545">
        <v>0</v>
      </c>
      <c r="K93" s="546">
        <v>2932.1677000000009</v>
      </c>
      <c r="L93" s="546">
        <v>0</v>
      </c>
      <c r="M93" s="546">
        <v>1195.5992500000002</v>
      </c>
      <c r="N93" s="544">
        <f t="shared" si="61"/>
        <v>4127.7669500000011</v>
      </c>
      <c r="O93" s="545">
        <v>97.605000000000004</v>
      </c>
      <c r="P93" s="546">
        <v>3863.693925</v>
      </c>
      <c r="Q93" s="544">
        <f t="shared" si="62"/>
        <v>3961.2989250000001</v>
      </c>
      <c r="R93" s="545">
        <v>225.423</v>
      </c>
      <c r="S93" s="546">
        <v>105.22260000000001</v>
      </c>
      <c r="T93" s="546">
        <v>110.68199999999999</v>
      </c>
      <c r="U93" s="546">
        <v>357.73649999999998</v>
      </c>
      <c r="V93" s="546">
        <v>308.73149999999998</v>
      </c>
      <c r="W93" s="546">
        <v>70.271550000000005</v>
      </c>
      <c r="X93" s="544">
        <f t="shared" si="63"/>
        <v>1178.0671499999999</v>
      </c>
      <c r="Y93" s="545">
        <v>1073.655</v>
      </c>
      <c r="Z93" s="546">
        <v>546.58799999999997</v>
      </c>
      <c r="AA93" s="546">
        <v>1366.47</v>
      </c>
      <c r="AB93" s="544">
        <f t="shared" si="53"/>
        <v>2986.7129999999997</v>
      </c>
      <c r="AC93" s="547">
        <f t="shared" si="54"/>
        <v>13906.856025000001</v>
      </c>
      <c r="AD93" s="604">
        <v>1323.3942000000002</v>
      </c>
      <c r="AE93" s="605">
        <v>876.42000000000007</v>
      </c>
      <c r="AF93" s="606">
        <f t="shared" si="64"/>
        <v>2199.8142000000003</v>
      </c>
      <c r="AG93" s="604">
        <v>320.38020000000006</v>
      </c>
      <c r="AH93" s="605">
        <v>114.97500000000002</v>
      </c>
      <c r="AI93" s="605">
        <v>312.9144</v>
      </c>
      <c r="AJ93" s="605">
        <v>0</v>
      </c>
      <c r="AK93" s="605">
        <v>146.07</v>
      </c>
      <c r="AL93" s="605">
        <v>0</v>
      </c>
      <c r="AM93" s="605">
        <v>1019.4908</v>
      </c>
      <c r="AN93" s="605">
        <v>0</v>
      </c>
      <c r="AO93" s="605">
        <v>92.510999999999996</v>
      </c>
      <c r="AP93" s="605">
        <v>0</v>
      </c>
      <c r="AQ93" s="606">
        <f t="shared" si="65"/>
        <v>2006.3414</v>
      </c>
      <c r="AR93" s="604">
        <v>3197.2937320000001</v>
      </c>
      <c r="AS93" s="605">
        <v>2449.6133760000002</v>
      </c>
      <c r="AT93" s="605">
        <v>0</v>
      </c>
      <c r="AU93" s="606">
        <f t="shared" si="66"/>
        <v>5646.9071080000003</v>
      </c>
      <c r="AV93" s="604">
        <v>21.4236</v>
      </c>
      <c r="AW93" s="605">
        <v>0</v>
      </c>
      <c r="AX93" s="605">
        <v>168.70359999999999</v>
      </c>
      <c r="AY93" s="605">
        <v>0</v>
      </c>
      <c r="AZ93" s="605">
        <v>68.165999999999997</v>
      </c>
      <c r="BA93" s="606">
        <f t="shared" si="67"/>
        <v>258.29319999999996</v>
      </c>
      <c r="BB93" s="604">
        <v>99.050000000000011</v>
      </c>
      <c r="BC93" s="605">
        <v>29.755000000000003</v>
      </c>
      <c r="BD93" s="605">
        <v>506.37600000000009</v>
      </c>
      <c r="BE93" s="605">
        <v>0</v>
      </c>
      <c r="BF93" s="605">
        <v>345.15800000000007</v>
      </c>
      <c r="BG93" s="605">
        <v>53.559000000000005</v>
      </c>
      <c r="BH93" s="605">
        <v>0</v>
      </c>
      <c r="BI93" s="606">
        <f t="shared" si="55"/>
        <v>1033.8980000000001</v>
      </c>
      <c r="BJ93" s="551">
        <f t="shared" si="56"/>
        <v>11145.253908000002</v>
      </c>
      <c r="BK93" s="607">
        <v>175.46039999999996</v>
      </c>
      <c r="BL93" s="608">
        <v>780.23879999999997</v>
      </c>
      <c r="BM93" s="608">
        <v>1452.0439999999999</v>
      </c>
      <c r="BN93" s="608">
        <v>175.46039999999996</v>
      </c>
      <c r="BO93" s="557">
        <f t="shared" si="57"/>
        <v>2583.2035999999998</v>
      </c>
      <c r="BP93" s="607"/>
      <c r="BQ93" s="608">
        <v>516.11400000000003</v>
      </c>
      <c r="BR93" s="608"/>
      <c r="BS93" s="557">
        <f t="shared" si="33"/>
        <v>516.11400000000003</v>
      </c>
      <c r="BT93" s="607">
        <v>759.56400000000008</v>
      </c>
      <c r="BU93" s="557">
        <f t="shared" si="68"/>
        <v>759.56400000000008</v>
      </c>
      <c r="BV93" s="607"/>
      <c r="BW93" s="608"/>
      <c r="BX93" s="608"/>
      <c r="BY93" s="608"/>
      <c r="BZ93" s="608">
        <v>328.34</v>
      </c>
      <c r="CA93" s="608"/>
      <c r="CB93" s="608">
        <v>389.52</v>
      </c>
      <c r="CC93" s="608">
        <v>175.28</v>
      </c>
      <c r="CD93" s="608">
        <v>267.8</v>
      </c>
      <c r="CE93" s="557">
        <f t="shared" si="69"/>
        <v>1160.9399999999998</v>
      </c>
      <c r="CF93" s="607"/>
      <c r="CG93" s="608"/>
      <c r="CH93" s="608">
        <v>360.31</v>
      </c>
      <c r="CI93" s="608">
        <v>175.28</v>
      </c>
      <c r="CJ93" s="608">
        <v>107.12</v>
      </c>
      <c r="CK93" s="608">
        <v>107.12</v>
      </c>
      <c r="CL93" s="608">
        <v>48.69</v>
      </c>
      <c r="CM93" s="557">
        <f t="shared" si="70"/>
        <v>798.52</v>
      </c>
      <c r="CN93" s="607">
        <v>233.71200000000002</v>
      </c>
      <c r="CO93" s="609">
        <f t="shared" si="71"/>
        <v>233.71200000000002</v>
      </c>
      <c r="CP93" s="610">
        <f t="shared" si="58"/>
        <v>6052.0535999999993</v>
      </c>
      <c r="CQ93" s="545">
        <v>186.15</v>
      </c>
      <c r="CR93" s="546">
        <f>489.24/2</f>
        <v>244.62</v>
      </c>
      <c r="CS93" s="544">
        <f t="shared" si="74"/>
        <v>430.77</v>
      </c>
      <c r="CT93" s="545">
        <v>202.94399999999999</v>
      </c>
      <c r="CU93" s="546"/>
      <c r="CV93" s="546">
        <v>153.41</v>
      </c>
      <c r="CW93" s="544">
        <f t="shared" si="72"/>
        <v>356.35399999999998</v>
      </c>
      <c r="CX93" s="547">
        <f t="shared" si="73"/>
        <v>787.12400000000002</v>
      </c>
      <c r="CY93" s="611">
        <f t="shared" si="59"/>
        <v>31891.287533000002</v>
      </c>
    </row>
    <row r="94" spans="1:103" s="561" customFormat="1" hidden="1">
      <c r="A94" s="538">
        <v>87</v>
      </c>
      <c r="B94" s="602" t="s">
        <v>924</v>
      </c>
      <c r="C94" s="603" t="s">
        <v>925</v>
      </c>
      <c r="D94" s="541" t="s">
        <v>829</v>
      </c>
      <c r="E94" s="545">
        <v>0</v>
      </c>
      <c r="F94" s="546">
        <v>0</v>
      </c>
      <c r="G94" s="546">
        <v>0</v>
      </c>
      <c r="H94" s="546">
        <v>0</v>
      </c>
      <c r="I94" s="544">
        <f t="shared" si="60"/>
        <v>0</v>
      </c>
      <c r="J94" s="545">
        <v>0</v>
      </c>
      <c r="K94" s="546">
        <v>0</v>
      </c>
      <c r="L94" s="546">
        <v>0</v>
      </c>
      <c r="M94" s="546">
        <v>0</v>
      </c>
      <c r="N94" s="544">
        <f t="shared" si="61"/>
        <v>0</v>
      </c>
      <c r="O94" s="545">
        <v>0</v>
      </c>
      <c r="P94" s="546">
        <v>0</v>
      </c>
      <c r="Q94" s="544">
        <f t="shared" si="62"/>
        <v>0</v>
      </c>
      <c r="R94" s="545">
        <v>0</v>
      </c>
      <c r="S94" s="546">
        <v>0</v>
      </c>
      <c r="T94" s="546">
        <v>0</v>
      </c>
      <c r="U94" s="546">
        <v>0</v>
      </c>
      <c r="V94" s="546">
        <v>0</v>
      </c>
      <c r="W94" s="546">
        <v>0</v>
      </c>
      <c r="X94" s="544">
        <f t="shared" si="63"/>
        <v>0</v>
      </c>
      <c r="Y94" s="545">
        <v>0</v>
      </c>
      <c r="Z94" s="546">
        <v>0</v>
      </c>
      <c r="AA94" s="546">
        <v>0</v>
      </c>
      <c r="AB94" s="544">
        <f t="shared" si="53"/>
        <v>0</v>
      </c>
      <c r="AC94" s="547">
        <f t="shared" si="54"/>
        <v>0</v>
      </c>
      <c r="AD94" s="604" t="s">
        <v>816</v>
      </c>
      <c r="AE94" s="605" t="s">
        <v>816</v>
      </c>
      <c r="AF94" s="606">
        <f t="shared" si="64"/>
        <v>0</v>
      </c>
      <c r="AG94" s="604" t="s">
        <v>816</v>
      </c>
      <c r="AH94" s="605" t="s">
        <v>816</v>
      </c>
      <c r="AI94" s="605" t="s">
        <v>816</v>
      </c>
      <c r="AJ94" s="605" t="s">
        <v>816</v>
      </c>
      <c r="AK94" s="605" t="s">
        <v>816</v>
      </c>
      <c r="AL94" s="605" t="s">
        <v>816</v>
      </c>
      <c r="AM94" s="605" t="s">
        <v>816</v>
      </c>
      <c r="AN94" s="605" t="s">
        <v>816</v>
      </c>
      <c r="AO94" s="605" t="s">
        <v>816</v>
      </c>
      <c r="AP94" s="605" t="s">
        <v>816</v>
      </c>
      <c r="AQ94" s="606">
        <f t="shared" si="65"/>
        <v>0</v>
      </c>
      <c r="AR94" s="604" t="s">
        <v>816</v>
      </c>
      <c r="AS94" s="605" t="s">
        <v>816</v>
      </c>
      <c r="AT94" s="605" t="s">
        <v>816</v>
      </c>
      <c r="AU94" s="606">
        <f t="shared" si="66"/>
        <v>0</v>
      </c>
      <c r="AV94" s="604" t="s">
        <v>816</v>
      </c>
      <c r="AW94" s="605" t="s">
        <v>816</v>
      </c>
      <c r="AX94" s="605" t="s">
        <v>816</v>
      </c>
      <c r="AY94" s="605" t="s">
        <v>816</v>
      </c>
      <c r="AZ94" s="605" t="s">
        <v>816</v>
      </c>
      <c r="BA94" s="606">
        <f t="shared" si="67"/>
        <v>0</v>
      </c>
      <c r="BB94" s="604" t="s">
        <v>816</v>
      </c>
      <c r="BC94" s="605" t="s">
        <v>816</v>
      </c>
      <c r="BD94" s="605" t="s">
        <v>816</v>
      </c>
      <c r="BE94" s="605" t="s">
        <v>816</v>
      </c>
      <c r="BF94" s="605" t="s">
        <v>816</v>
      </c>
      <c r="BG94" s="605" t="s">
        <v>816</v>
      </c>
      <c r="BH94" s="605" t="s">
        <v>816</v>
      </c>
      <c r="BI94" s="606">
        <f t="shared" si="55"/>
        <v>0</v>
      </c>
      <c r="BJ94" s="551">
        <f t="shared" si="56"/>
        <v>0</v>
      </c>
      <c r="BK94" s="607"/>
      <c r="BL94" s="608"/>
      <c r="BM94" s="608"/>
      <c r="BN94" s="608"/>
      <c r="BO94" s="557">
        <f t="shared" si="57"/>
        <v>0</v>
      </c>
      <c r="BP94" s="607"/>
      <c r="BQ94" s="608"/>
      <c r="BR94" s="608"/>
      <c r="BS94" s="557">
        <f t="shared" si="33"/>
        <v>0</v>
      </c>
      <c r="BT94" s="607"/>
      <c r="BU94" s="557">
        <f t="shared" si="68"/>
        <v>0</v>
      </c>
      <c r="BV94" s="607"/>
      <c r="BW94" s="608"/>
      <c r="BX94" s="608"/>
      <c r="BY94" s="608"/>
      <c r="BZ94" s="608"/>
      <c r="CA94" s="608"/>
      <c r="CB94" s="608"/>
      <c r="CC94" s="608"/>
      <c r="CD94" s="608"/>
      <c r="CE94" s="557">
        <f t="shared" si="69"/>
        <v>0</v>
      </c>
      <c r="CF94" s="607"/>
      <c r="CG94" s="608"/>
      <c r="CH94" s="608"/>
      <c r="CI94" s="608"/>
      <c r="CJ94" s="608"/>
      <c r="CK94" s="608"/>
      <c r="CL94" s="608"/>
      <c r="CM94" s="557">
        <f t="shared" si="70"/>
        <v>0</v>
      </c>
      <c r="CN94" s="607"/>
      <c r="CO94" s="609">
        <f t="shared" si="71"/>
        <v>0</v>
      </c>
      <c r="CP94" s="610">
        <f t="shared" si="58"/>
        <v>0</v>
      </c>
      <c r="CQ94" s="545"/>
      <c r="CR94" s="546"/>
      <c r="CS94" s="544">
        <f t="shared" si="74"/>
        <v>0</v>
      </c>
      <c r="CT94" s="545"/>
      <c r="CU94" s="546"/>
      <c r="CV94" s="546"/>
      <c r="CW94" s="544">
        <f t="shared" si="72"/>
        <v>0</v>
      </c>
      <c r="CX94" s="547">
        <f t="shared" si="73"/>
        <v>0</v>
      </c>
      <c r="CY94" s="611">
        <f t="shared" si="59"/>
        <v>0</v>
      </c>
    </row>
    <row r="95" spans="1:103" s="661" customFormat="1" ht="30">
      <c r="A95" s="538"/>
      <c r="B95" s="602" t="s">
        <v>926</v>
      </c>
      <c r="C95" s="603" t="s">
        <v>927</v>
      </c>
      <c r="D95" s="541" t="s">
        <v>854</v>
      </c>
      <c r="E95" s="545"/>
      <c r="F95" s="546"/>
      <c r="G95" s="546"/>
      <c r="H95" s="546"/>
      <c r="I95" s="544">
        <f>+'Acarreos Tramo 2'!Y27</f>
        <v>18032.520789000002</v>
      </c>
      <c r="J95" s="545"/>
      <c r="K95" s="546"/>
      <c r="L95" s="546"/>
      <c r="M95" s="546"/>
      <c r="N95" s="544">
        <f>+'Acarreos Tramo 2'!Y41</f>
        <v>105736.34983703044</v>
      </c>
      <c r="O95" s="545"/>
      <c r="P95" s="546"/>
      <c r="Q95" s="544">
        <f>+'Acarreos Tramo 2'!Y55</f>
        <v>135538.59978292682</v>
      </c>
      <c r="R95" s="545"/>
      <c r="S95" s="546"/>
      <c r="T95" s="546"/>
      <c r="U95" s="546"/>
      <c r="V95" s="546"/>
      <c r="W95" s="546"/>
      <c r="X95" s="544">
        <f>+'Acarreos Tramo 2'!Y68</f>
        <v>77559.83205778079</v>
      </c>
      <c r="Y95" s="545"/>
      <c r="Z95" s="546"/>
      <c r="AA95" s="546"/>
      <c r="AB95" s="544">
        <f>+'Acarreos Tramo 2'!Y81</f>
        <v>286712.11884873599</v>
      </c>
      <c r="AC95" s="547">
        <f t="shared" si="54"/>
        <v>623579.42131547397</v>
      </c>
      <c r="AD95" s="655"/>
      <c r="AE95" s="656"/>
      <c r="AF95" s="657" t="e">
        <f>+#REF!</f>
        <v>#REF!</v>
      </c>
      <c r="AG95" s="655"/>
      <c r="AH95" s="656"/>
      <c r="AI95" s="656"/>
      <c r="AJ95" s="656"/>
      <c r="AK95" s="656"/>
      <c r="AL95" s="656"/>
      <c r="AM95" s="656"/>
      <c r="AN95" s="656"/>
      <c r="AO95" s="656"/>
      <c r="AP95" s="656"/>
      <c r="AQ95" s="657" t="e">
        <f>+#REF!</f>
        <v>#REF!</v>
      </c>
      <c r="AR95" s="655"/>
      <c r="AS95" s="656"/>
      <c r="AT95" s="656"/>
      <c r="AU95" s="657" t="e">
        <f>+#REF!</f>
        <v>#REF!</v>
      </c>
      <c r="AV95" s="655"/>
      <c r="AW95" s="656"/>
      <c r="AX95" s="656"/>
      <c r="AY95" s="656"/>
      <c r="AZ95" s="656"/>
      <c r="BA95" s="657" t="e">
        <f>+#REF!</f>
        <v>#REF!</v>
      </c>
      <c r="BB95" s="655"/>
      <c r="BC95" s="656"/>
      <c r="BD95" s="656"/>
      <c r="BE95" s="656"/>
      <c r="BF95" s="656"/>
      <c r="BG95" s="656"/>
      <c r="BH95" s="656"/>
      <c r="BI95" s="657" t="e">
        <f>+#REF!</f>
        <v>#REF!</v>
      </c>
      <c r="BJ95" s="658" t="e">
        <f t="shared" si="56"/>
        <v>#REF!</v>
      </c>
      <c r="BK95" s="545"/>
      <c r="BL95" s="546"/>
      <c r="BM95" s="546"/>
      <c r="BN95" s="546"/>
      <c r="BO95" s="544">
        <f>+'Acarreos Tramo 7'!AI27</f>
        <v>52976.649413231993</v>
      </c>
      <c r="BP95" s="545"/>
      <c r="BQ95" s="546"/>
      <c r="BR95" s="546"/>
      <c r="BS95" s="544">
        <f>+'Acarreos Tramo 7'!AI41</f>
        <v>13086.153048240001</v>
      </c>
      <c r="BT95" s="545"/>
      <c r="BU95" s="544">
        <f>+'Acarreos Tramo 7'!AI54</f>
        <v>39735.648800640003</v>
      </c>
      <c r="BV95" s="545"/>
      <c r="BW95" s="546"/>
      <c r="BX95" s="546"/>
      <c r="BY95" s="546"/>
      <c r="BZ95" s="546"/>
      <c r="CA95" s="546"/>
      <c r="CB95" s="546"/>
      <c r="CC95" s="546"/>
      <c r="CD95" s="546"/>
      <c r="CE95" s="544">
        <f>+'Acarreos Tramo 7'!AI67</f>
        <v>61575.073441199995</v>
      </c>
      <c r="CF95" s="545"/>
      <c r="CG95" s="546"/>
      <c r="CH95" s="546"/>
      <c r="CI95" s="546"/>
      <c r="CJ95" s="546"/>
      <c r="CK95" s="546"/>
      <c r="CL95" s="546"/>
      <c r="CM95" s="544">
        <f>+'Acarreos Tramo 7'!AI80</f>
        <v>69575.398948799993</v>
      </c>
      <c r="CN95" s="545"/>
      <c r="CO95" s="659">
        <f>+'Acarreos Tramo 7'!AI93</f>
        <v>22075.519368960002</v>
      </c>
      <c r="CP95" s="547">
        <f t="shared" si="58"/>
        <v>259024.44302107196</v>
      </c>
      <c r="CQ95" s="545"/>
      <c r="CR95" s="546"/>
      <c r="CS95" s="544">
        <f>+(CS93+CS92)*40*1.02</f>
        <v>35150.832000000002</v>
      </c>
      <c r="CT95" s="545"/>
      <c r="CU95" s="546"/>
      <c r="CV95" s="546"/>
      <c r="CW95" s="544">
        <f>+(CW93+CW92)*40*1.02</f>
        <v>22788.1872</v>
      </c>
      <c r="CX95" s="547">
        <f>+CW95+CS95</f>
        <v>57939.019200000002</v>
      </c>
      <c r="CY95" s="660" t="e">
        <f t="shared" si="59"/>
        <v>#REF!</v>
      </c>
    </row>
    <row r="96" spans="1:103" s="561" customFormat="1">
      <c r="A96" s="538">
        <v>88</v>
      </c>
      <c r="B96" s="602" t="s">
        <v>928</v>
      </c>
      <c r="C96" s="603" t="s">
        <v>929</v>
      </c>
      <c r="D96" s="541" t="s">
        <v>843</v>
      </c>
      <c r="E96" s="545">
        <v>0</v>
      </c>
      <c r="F96" s="546">
        <v>0</v>
      </c>
      <c r="G96" s="546">
        <v>0</v>
      </c>
      <c r="H96" s="546">
        <v>0</v>
      </c>
      <c r="I96" s="544">
        <f t="shared" si="60"/>
        <v>0</v>
      </c>
      <c r="J96" s="545">
        <v>0</v>
      </c>
      <c r="K96" s="546">
        <v>0</v>
      </c>
      <c r="L96" s="546">
        <v>0</v>
      </c>
      <c r="M96" s="546">
        <v>17079.989285714288</v>
      </c>
      <c r="N96" s="544">
        <f t="shared" si="61"/>
        <v>17079.989285714288</v>
      </c>
      <c r="O96" s="545">
        <v>0</v>
      </c>
      <c r="P96" s="546">
        <v>0</v>
      </c>
      <c r="Q96" s="544">
        <f t="shared" si="62"/>
        <v>0</v>
      </c>
      <c r="R96" s="545">
        <v>0</v>
      </c>
      <c r="S96" s="546">
        <v>0</v>
      </c>
      <c r="T96" s="546">
        <v>0</v>
      </c>
      <c r="U96" s="546">
        <v>0</v>
      </c>
      <c r="V96" s="546">
        <v>0</v>
      </c>
      <c r="W96" s="546">
        <v>0</v>
      </c>
      <c r="X96" s="544">
        <f t="shared" si="63"/>
        <v>0</v>
      </c>
      <c r="Y96" s="545">
        <v>0</v>
      </c>
      <c r="Z96" s="546">
        <v>0</v>
      </c>
      <c r="AA96" s="546">
        <v>0</v>
      </c>
      <c r="AB96" s="544">
        <f t="shared" si="53"/>
        <v>0</v>
      </c>
      <c r="AC96" s="547">
        <f t="shared" si="54"/>
        <v>17079.989285714288</v>
      </c>
      <c r="AD96" s="604" t="s">
        <v>816</v>
      </c>
      <c r="AE96" s="605" t="s">
        <v>816</v>
      </c>
      <c r="AF96" s="606">
        <f t="shared" si="64"/>
        <v>0</v>
      </c>
      <c r="AG96" s="604" t="s">
        <v>816</v>
      </c>
      <c r="AH96" s="605" t="s">
        <v>816</v>
      </c>
      <c r="AI96" s="605" t="s">
        <v>816</v>
      </c>
      <c r="AJ96" s="605" t="s">
        <v>816</v>
      </c>
      <c r="AK96" s="605" t="s">
        <v>816</v>
      </c>
      <c r="AL96" s="605" t="s">
        <v>816</v>
      </c>
      <c r="AM96" s="605" t="s">
        <v>816</v>
      </c>
      <c r="AN96" s="605" t="s">
        <v>816</v>
      </c>
      <c r="AO96" s="605" t="s">
        <v>816</v>
      </c>
      <c r="AP96" s="605" t="s">
        <v>816</v>
      </c>
      <c r="AQ96" s="606">
        <f t="shared" si="65"/>
        <v>0</v>
      </c>
      <c r="AR96" s="604" t="s">
        <v>816</v>
      </c>
      <c r="AS96" s="605" t="s">
        <v>816</v>
      </c>
      <c r="AT96" s="605" t="s">
        <v>816</v>
      </c>
      <c r="AU96" s="606">
        <f t="shared" si="66"/>
        <v>0</v>
      </c>
      <c r="AV96" s="604" t="s">
        <v>816</v>
      </c>
      <c r="AW96" s="605" t="s">
        <v>816</v>
      </c>
      <c r="AX96" s="605" t="s">
        <v>816</v>
      </c>
      <c r="AY96" s="605" t="s">
        <v>816</v>
      </c>
      <c r="AZ96" s="605" t="s">
        <v>816</v>
      </c>
      <c r="BA96" s="606">
        <f t="shared" si="67"/>
        <v>0</v>
      </c>
      <c r="BB96" s="604" t="s">
        <v>816</v>
      </c>
      <c r="BC96" s="605" t="s">
        <v>816</v>
      </c>
      <c r="BD96" s="605" t="s">
        <v>816</v>
      </c>
      <c r="BE96" s="605" t="s">
        <v>816</v>
      </c>
      <c r="BF96" s="605" t="s">
        <v>816</v>
      </c>
      <c r="BG96" s="605" t="s">
        <v>816</v>
      </c>
      <c r="BH96" s="605" t="s">
        <v>816</v>
      </c>
      <c r="BI96" s="606">
        <f t="shared" si="55"/>
        <v>0</v>
      </c>
      <c r="BJ96" s="551">
        <f t="shared" si="56"/>
        <v>0</v>
      </c>
      <c r="BK96" s="607"/>
      <c r="BL96" s="608"/>
      <c r="BM96" s="608"/>
      <c r="BN96" s="608"/>
      <c r="BO96" s="557">
        <f t="shared" si="57"/>
        <v>0</v>
      </c>
      <c r="BP96" s="607"/>
      <c r="BQ96" s="608"/>
      <c r="BR96" s="608"/>
      <c r="BS96" s="557">
        <f t="shared" si="33"/>
        <v>0</v>
      </c>
      <c r="BT96" s="607"/>
      <c r="BU96" s="557">
        <f t="shared" si="68"/>
        <v>0</v>
      </c>
      <c r="BV96" s="607"/>
      <c r="BW96" s="608"/>
      <c r="BX96" s="608"/>
      <c r="BY96" s="608"/>
      <c r="BZ96" s="608"/>
      <c r="CA96" s="608"/>
      <c r="CB96" s="608"/>
      <c r="CC96" s="608"/>
      <c r="CD96" s="608"/>
      <c r="CE96" s="557">
        <f t="shared" si="69"/>
        <v>0</v>
      </c>
      <c r="CF96" s="607"/>
      <c r="CG96" s="608"/>
      <c r="CH96" s="608"/>
      <c r="CI96" s="608"/>
      <c r="CJ96" s="608"/>
      <c r="CK96" s="608"/>
      <c r="CL96" s="608"/>
      <c r="CM96" s="557">
        <f t="shared" si="70"/>
        <v>0</v>
      </c>
      <c r="CN96" s="607"/>
      <c r="CO96" s="609">
        <f t="shared" si="71"/>
        <v>0</v>
      </c>
      <c r="CP96" s="610">
        <f t="shared" si="58"/>
        <v>0</v>
      </c>
      <c r="CQ96" s="545"/>
      <c r="CR96" s="546"/>
      <c r="CS96" s="544">
        <f>+CQ96+CR96</f>
        <v>0</v>
      </c>
      <c r="CT96" s="545"/>
      <c r="CU96" s="546"/>
      <c r="CV96" s="546"/>
      <c r="CW96" s="544">
        <f>+CT96+CU96+CV96</f>
        <v>0</v>
      </c>
      <c r="CX96" s="547">
        <f>+CS96+CW96</f>
        <v>0</v>
      </c>
      <c r="CY96" s="611">
        <f t="shared" si="59"/>
        <v>17079.989285714288</v>
      </c>
    </row>
    <row r="97" spans="1:103" s="561" customFormat="1" hidden="1">
      <c r="A97" s="538">
        <v>89</v>
      </c>
      <c r="B97" s="602" t="s">
        <v>928</v>
      </c>
      <c r="C97" s="603" t="s">
        <v>929</v>
      </c>
      <c r="D97" s="541" t="s">
        <v>843</v>
      </c>
      <c r="E97" s="545">
        <v>0</v>
      </c>
      <c r="F97" s="546">
        <v>0</v>
      </c>
      <c r="G97" s="546">
        <v>0</v>
      </c>
      <c r="H97" s="546">
        <v>0</v>
      </c>
      <c r="I97" s="544">
        <f t="shared" si="60"/>
        <v>0</v>
      </c>
      <c r="J97" s="545">
        <v>0</v>
      </c>
      <c r="K97" s="546">
        <v>0</v>
      </c>
      <c r="L97" s="546">
        <v>0</v>
      </c>
      <c r="M97" s="546">
        <v>0</v>
      </c>
      <c r="N97" s="544">
        <f t="shared" si="61"/>
        <v>0</v>
      </c>
      <c r="O97" s="545">
        <v>0</v>
      </c>
      <c r="P97" s="546">
        <v>0</v>
      </c>
      <c r="Q97" s="544">
        <f t="shared" si="62"/>
        <v>0</v>
      </c>
      <c r="R97" s="545">
        <v>0</v>
      </c>
      <c r="S97" s="546">
        <v>0</v>
      </c>
      <c r="T97" s="546">
        <v>0</v>
      </c>
      <c r="U97" s="546">
        <v>0</v>
      </c>
      <c r="V97" s="546">
        <v>0</v>
      </c>
      <c r="W97" s="546">
        <v>0</v>
      </c>
      <c r="X97" s="544">
        <f t="shared" si="63"/>
        <v>0</v>
      </c>
      <c r="Y97" s="545">
        <v>0</v>
      </c>
      <c r="Z97" s="546">
        <v>0</v>
      </c>
      <c r="AA97" s="546">
        <v>0</v>
      </c>
      <c r="AB97" s="544">
        <f t="shared" si="53"/>
        <v>0</v>
      </c>
      <c r="AC97" s="547">
        <f t="shared" si="54"/>
        <v>0</v>
      </c>
      <c r="AD97" s="604">
        <v>0</v>
      </c>
      <c r="AE97" s="605">
        <v>0</v>
      </c>
      <c r="AF97" s="606">
        <f t="shared" si="64"/>
        <v>0</v>
      </c>
      <c r="AG97" s="604">
        <v>0</v>
      </c>
      <c r="AH97" s="605">
        <v>0</v>
      </c>
      <c r="AI97" s="605">
        <v>0</v>
      </c>
      <c r="AJ97" s="605">
        <v>0</v>
      </c>
      <c r="AK97" s="605">
        <v>0</v>
      </c>
      <c r="AL97" s="605">
        <v>0</v>
      </c>
      <c r="AM97" s="605">
        <v>0</v>
      </c>
      <c r="AN97" s="605">
        <v>0</v>
      </c>
      <c r="AO97" s="605">
        <v>0</v>
      </c>
      <c r="AP97" s="605">
        <v>0</v>
      </c>
      <c r="AQ97" s="606">
        <f t="shared" si="65"/>
        <v>0</v>
      </c>
      <c r="AR97" s="604">
        <v>0</v>
      </c>
      <c r="AS97" s="605">
        <v>0</v>
      </c>
      <c r="AT97" s="605">
        <v>0</v>
      </c>
      <c r="AU97" s="606">
        <f t="shared" si="66"/>
        <v>0</v>
      </c>
      <c r="AV97" s="604">
        <v>0</v>
      </c>
      <c r="AW97" s="605">
        <v>0</v>
      </c>
      <c r="AX97" s="605">
        <v>0</v>
      </c>
      <c r="AY97" s="605">
        <v>0</v>
      </c>
      <c r="AZ97" s="605">
        <v>0</v>
      </c>
      <c r="BA97" s="606">
        <f t="shared" si="67"/>
        <v>0</v>
      </c>
      <c r="BB97" s="604">
        <v>0</v>
      </c>
      <c r="BC97" s="605">
        <v>0</v>
      </c>
      <c r="BD97" s="605">
        <v>0</v>
      </c>
      <c r="BE97" s="605">
        <v>0</v>
      </c>
      <c r="BF97" s="605">
        <v>0</v>
      </c>
      <c r="BG97" s="605">
        <v>0</v>
      </c>
      <c r="BH97" s="605">
        <v>0</v>
      </c>
      <c r="BI97" s="606">
        <f t="shared" si="55"/>
        <v>0</v>
      </c>
      <c r="BJ97" s="551">
        <f t="shared" si="56"/>
        <v>0</v>
      </c>
      <c r="BK97" s="607"/>
      <c r="BL97" s="608"/>
      <c r="BM97" s="608"/>
      <c r="BN97" s="608"/>
      <c r="BO97" s="557">
        <f t="shared" si="57"/>
        <v>0</v>
      </c>
      <c r="BP97" s="607"/>
      <c r="BQ97" s="608"/>
      <c r="BR97" s="608"/>
      <c r="BS97" s="557">
        <f t="shared" si="33"/>
        <v>0</v>
      </c>
      <c r="BT97" s="607"/>
      <c r="BU97" s="557">
        <f t="shared" si="68"/>
        <v>0</v>
      </c>
      <c r="BV97" s="607"/>
      <c r="BW97" s="608"/>
      <c r="BX97" s="608"/>
      <c r="BY97" s="608"/>
      <c r="BZ97" s="608"/>
      <c r="CA97" s="608"/>
      <c r="CB97" s="608"/>
      <c r="CC97" s="608"/>
      <c r="CD97" s="608"/>
      <c r="CE97" s="557">
        <f t="shared" si="69"/>
        <v>0</v>
      </c>
      <c r="CF97" s="607"/>
      <c r="CG97" s="608"/>
      <c r="CH97" s="608"/>
      <c r="CI97" s="608"/>
      <c r="CJ97" s="608"/>
      <c r="CK97" s="608"/>
      <c r="CL97" s="608"/>
      <c r="CM97" s="557">
        <f t="shared" si="70"/>
        <v>0</v>
      </c>
      <c r="CN97" s="607"/>
      <c r="CO97" s="609">
        <f t="shared" si="71"/>
        <v>0</v>
      </c>
      <c r="CP97" s="610">
        <f t="shared" si="58"/>
        <v>0</v>
      </c>
      <c r="CQ97" s="545"/>
      <c r="CR97" s="546"/>
      <c r="CS97" s="544">
        <f>+CQ97+CR97</f>
        <v>0</v>
      </c>
      <c r="CT97" s="545"/>
      <c r="CU97" s="546"/>
      <c r="CV97" s="546"/>
      <c r="CW97" s="544">
        <f>+CT97+CU97+CV97</f>
        <v>0</v>
      </c>
      <c r="CX97" s="547">
        <f>+CS97+CW97</f>
        <v>0</v>
      </c>
      <c r="CY97" s="611">
        <f t="shared" si="59"/>
        <v>0</v>
      </c>
    </row>
    <row r="98" spans="1:103" s="561" customFormat="1">
      <c r="A98" s="538"/>
      <c r="B98" s="602" t="s">
        <v>930</v>
      </c>
      <c r="C98" s="603" t="s">
        <v>931</v>
      </c>
      <c r="D98" s="541" t="s">
        <v>854</v>
      </c>
      <c r="E98" s="545"/>
      <c r="F98" s="546"/>
      <c r="G98" s="546"/>
      <c r="H98" s="546"/>
      <c r="I98" s="544">
        <f>+'Acarreos Tramo 2'!Y28</f>
        <v>1553.2188074999997</v>
      </c>
      <c r="J98" s="545"/>
      <c r="K98" s="546"/>
      <c r="L98" s="546"/>
      <c r="M98" s="546"/>
      <c r="N98" s="544">
        <f>+'Acarreos Tramo 2'!Y42</f>
        <v>21447.00094628572</v>
      </c>
      <c r="O98" s="545"/>
      <c r="P98" s="546"/>
      <c r="Q98" s="544"/>
      <c r="R98" s="545"/>
      <c r="S98" s="546"/>
      <c r="T98" s="546"/>
      <c r="U98" s="546"/>
      <c r="V98" s="546"/>
      <c r="W98" s="546"/>
      <c r="X98" s="544"/>
      <c r="Y98" s="545"/>
      <c r="Z98" s="546"/>
      <c r="AA98" s="546"/>
      <c r="AB98" s="544"/>
      <c r="AC98" s="547">
        <f t="shared" si="54"/>
        <v>23000.219753785721</v>
      </c>
      <c r="AD98" s="604"/>
      <c r="AE98" s="605"/>
      <c r="AF98" s="606"/>
      <c r="AG98" s="604"/>
      <c r="AH98" s="605"/>
      <c r="AI98" s="605"/>
      <c r="AJ98" s="605"/>
      <c r="AK98" s="605"/>
      <c r="AL98" s="605"/>
      <c r="AM98" s="605"/>
      <c r="AN98" s="605"/>
      <c r="AO98" s="605"/>
      <c r="AP98" s="605"/>
      <c r="AQ98" s="606"/>
      <c r="AR98" s="604"/>
      <c r="AS98" s="605"/>
      <c r="AT98" s="605"/>
      <c r="AU98" s="606"/>
      <c r="AV98" s="604"/>
      <c r="AW98" s="605"/>
      <c r="AX98" s="605"/>
      <c r="AY98" s="605"/>
      <c r="AZ98" s="605"/>
      <c r="BA98" s="606"/>
      <c r="BB98" s="604"/>
      <c r="BC98" s="605"/>
      <c r="BD98" s="605"/>
      <c r="BE98" s="605"/>
      <c r="BF98" s="605"/>
      <c r="BG98" s="605"/>
      <c r="BH98" s="605"/>
      <c r="BI98" s="606"/>
      <c r="BJ98" s="551">
        <f t="shared" si="56"/>
        <v>0</v>
      </c>
      <c r="BK98" s="607"/>
      <c r="BL98" s="608"/>
      <c r="BM98" s="608"/>
      <c r="BN98" s="608"/>
      <c r="BO98" s="557">
        <f>+'Acarreos Tramo 7'!AI28</f>
        <v>5700.231953999999</v>
      </c>
      <c r="BP98" s="607"/>
      <c r="BQ98" s="608"/>
      <c r="BR98" s="608"/>
      <c r="BS98" s="557"/>
      <c r="BT98" s="607"/>
      <c r="BU98" s="557"/>
      <c r="BV98" s="607"/>
      <c r="BW98" s="608"/>
      <c r="BX98" s="608"/>
      <c r="BY98" s="608"/>
      <c r="BZ98" s="608"/>
      <c r="CA98" s="608"/>
      <c r="CB98" s="608"/>
      <c r="CC98" s="608"/>
      <c r="CD98" s="608"/>
      <c r="CE98" s="557"/>
      <c r="CF98" s="607"/>
      <c r="CG98" s="608"/>
      <c r="CH98" s="608"/>
      <c r="CI98" s="608"/>
      <c r="CJ98" s="608"/>
      <c r="CK98" s="608"/>
      <c r="CL98" s="608"/>
      <c r="CM98" s="557"/>
      <c r="CN98" s="607"/>
      <c r="CO98" s="609"/>
      <c r="CP98" s="610">
        <f t="shared" si="58"/>
        <v>5700.231953999999</v>
      </c>
      <c r="CQ98" s="545"/>
      <c r="CR98" s="546"/>
      <c r="CS98" s="544"/>
      <c r="CT98" s="545"/>
      <c r="CU98" s="546"/>
      <c r="CV98" s="546"/>
      <c r="CW98" s="544"/>
      <c r="CX98" s="547"/>
      <c r="CY98" s="611">
        <f t="shared" si="59"/>
        <v>28700.45170778572</v>
      </c>
    </row>
    <row r="99" spans="1:103" s="561" customFormat="1">
      <c r="A99" s="538">
        <v>90</v>
      </c>
      <c r="B99" s="602" t="s">
        <v>330</v>
      </c>
      <c r="C99" s="603" t="s">
        <v>929</v>
      </c>
      <c r="D99" s="541" t="s">
        <v>829</v>
      </c>
      <c r="E99" s="545">
        <v>0</v>
      </c>
      <c r="F99" s="546">
        <v>0</v>
      </c>
      <c r="G99" s="546">
        <v>147.69</v>
      </c>
      <c r="H99" s="546">
        <v>0</v>
      </c>
      <c r="I99" s="544">
        <f t="shared" si="60"/>
        <v>147.69</v>
      </c>
      <c r="J99" s="545">
        <v>0</v>
      </c>
      <c r="K99" s="546">
        <v>0</v>
      </c>
      <c r="L99" s="546">
        <v>0</v>
      </c>
      <c r="M99" s="546">
        <v>0</v>
      </c>
      <c r="N99" s="544">
        <f t="shared" si="61"/>
        <v>0</v>
      </c>
      <c r="O99" s="545">
        <v>0</v>
      </c>
      <c r="P99" s="546">
        <v>0</v>
      </c>
      <c r="Q99" s="544">
        <f t="shared" si="62"/>
        <v>0</v>
      </c>
      <c r="R99" s="545">
        <v>0</v>
      </c>
      <c r="S99" s="546">
        <v>0</v>
      </c>
      <c r="T99" s="546">
        <v>0</v>
      </c>
      <c r="U99" s="546">
        <v>0</v>
      </c>
      <c r="V99" s="546">
        <v>0</v>
      </c>
      <c r="W99" s="546">
        <v>0</v>
      </c>
      <c r="X99" s="544">
        <f t="shared" si="63"/>
        <v>0</v>
      </c>
      <c r="Y99" s="545">
        <v>0</v>
      </c>
      <c r="Z99" s="546">
        <v>0</v>
      </c>
      <c r="AA99" s="546">
        <v>0</v>
      </c>
      <c r="AB99" s="544">
        <f t="shared" si="53"/>
        <v>0</v>
      </c>
      <c r="AC99" s="547">
        <f t="shared" ref="AC99" si="75">+IF(D99="","",I99+N99+Q99+X99+AB99)</f>
        <v>147.69</v>
      </c>
      <c r="AD99" s="604">
        <v>0</v>
      </c>
      <c r="AE99" s="605">
        <v>0</v>
      </c>
      <c r="AF99" s="606">
        <f t="shared" si="64"/>
        <v>0</v>
      </c>
      <c r="AG99" s="604">
        <v>0</v>
      </c>
      <c r="AH99" s="605">
        <v>0</v>
      </c>
      <c r="AI99" s="605">
        <v>0</v>
      </c>
      <c r="AJ99" s="605">
        <v>0</v>
      </c>
      <c r="AK99" s="605">
        <v>0</v>
      </c>
      <c r="AL99" s="605">
        <v>0</v>
      </c>
      <c r="AM99" s="605">
        <v>0</v>
      </c>
      <c r="AN99" s="605">
        <v>0</v>
      </c>
      <c r="AO99" s="605">
        <v>0</v>
      </c>
      <c r="AP99" s="605">
        <v>0</v>
      </c>
      <c r="AQ99" s="606">
        <f t="shared" si="65"/>
        <v>0</v>
      </c>
      <c r="AR99" s="604">
        <v>0</v>
      </c>
      <c r="AS99" s="605">
        <v>0</v>
      </c>
      <c r="AT99" s="605">
        <v>0</v>
      </c>
      <c r="AU99" s="606">
        <f t="shared" si="66"/>
        <v>0</v>
      </c>
      <c r="AV99" s="604">
        <v>0</v>
      </c>
      <c r="AW99" s="605">
        <v>0</v>
      </c>
      <c r="AX99" s="605">
        <v>0</v>
      </c>
      <c r="AY99" s="605">
        <v>0</v>
      </c>
      <c r="AZ99" s="605">
        <v>0</v>
      </c>
      <c r="BA99" s="606">
        <f t="shared" si="67"/>
        <v>0</v>
      </c>
      <c r="BB99" s="604">
        <v>0</v>
      </c>
      <c r="BC99" s="605">
        <v>0</v>
      </c>
      <c r="BD99" s="605">
        <v>0</v>
      </c>
      <c r="BE99" s="605">
        <v>0</v>
      </c>
      <c r="BF99" s="605">
        <v>0</v>
      </c>
      <c r="BG99" s="605">
        <v>0</v>
      </c>
      <c r="BH99" s="605">
        <v>0</v>
      </c>
      <c r="BI99" s="606">
        <f t="shared" si="55"/>
        <v>0</v>
      </c>
      <c r="BJ99" s="551">
        <f t="shared" si="56"/>
        <v>0</v>
      </c>
      <c r="BK99" s="607"/>
      <c r="BL99" s="608">
        <v>272.79899999999998</v>
      </c>
      <c r="BM99" s="608"/>
      <c r="BN99" s="608">
        <v>10.709999999999999</v>
      </c>
      <c r="BO99" s="557">
        <f t="shared" si="57"/>
        <v>283.50899999999996</v>
      </c>
      <c r="BP99" s="607"/>
      <c r="BQ99" s="608"/>
      <c r="BR99" s="608"/>
      <c r="BS99" s="557">
        <f t="shared" si="33"/>
        <v>0</v>
      </c>
      <c r="BT99" s="607"/>
      <c r="BU99" s="557">
        <f t="shared" si="68"/>
        <v>0</v>
      </c>
      <c r="BV99" s="607"/>
      <c r="BW99" s="608"/>
      <c r="BX99" s="608"/>
      <c r="BY99" s="608"/>
      <c r="BZ99" s="608"/>
      <c r="CA99" s="608"/>
      <c r="CB99" s="608"/>
      <c r="CC99" s="608"/>
      <c r="CD99" s="608"/>
      <c r="CE99" s="557">
        <f t="shared" si="69"/>
        <v>0</v>
      </c>
      <c r="CF99" s="607"/>
      <c r="CG99" s="608"/>
      <c r="CH99" s="608"/>
      <c r="CI99" s="608"/>
      <c r="CJ99" s="608"/>
      <c r="CK99" s="608"/>
      <c r="CL99" s="608"/>
      <c r="CM99" s="557">
        <f t="shared" si="70"/>
        <v>0</v>
      </c>
      <c r="CN99" s="607"/>
      <c r="CO99" s="609">
        <f t="shared" si="71"/>
        <v>0</v>
      </c>
      <c r="CP99" s="610">
        <f t="shared" si="58"/>
        <v>283.50899999999996</v>
      </c>
      <c r="CQ99" s="545"/>
      <c r="CR99" s="546"/>
      <c r="CS99" s="544">
        <f>+CQ99+CR99</f>
        <v>0</v>
      </c>
      <c r="CT99" s="545"/>
      <c r="CU99" s="546"/>
      <c r="CV99" s="546"/>
      <c r="CW99" s="544">
        <f>+CT99+CU99+CV99</f>
        <v>0</v>
      </c>
      <c r="CX99" s="547">
        <f>+CS99+CW99</f>
        <v>0</v>
      </c>
      <c r="CY99" s="611">
        <f t="shared" si="59"/>
        <v>431.19899999999996</v>
      </c>
    </row>
    <row r="100" spans="1:103" s="601" customFormat="1">
      <c r="A100" s="584">
        <v>91</v>
      </c>
      <c r="B100" s="585"/>
      <c r="C100" s="586" t="s">
        <v>932</v>
      </c>
      <c r="D100" s="587"/>
      <c r="E100" s="588"/>
      <c r="F100" s="589"/>
      <c r="G100" s="589"/>
      <c r="H100" s="589"/>
      <c r="I100" s="590"/>
      <c r="J100" s="588"/>
      <c r="K100" s="589"/>
      <c r="L100" s="589"/>
      <c r="M100" s="589"/>
      <c r="N100" s="590"/>
      <c r="O100" s="588"/>
      <c r="P100" s="589"/>
      <c r="Q100" s="590"/>
      <c r="R100" s="588"/>
      <c r="S100" s="589"/>
      <c r="T100" s="589"/>
      <c r="U100" s="589"/>
      <c r="V100" s="589"/>
      <c r="W100" s="589"/>
      <c r="X100" s="590"/>
      <c r="Y100" s="588"/>
      <c r="Z100" s="589"/>
      <c r="AA100" s="589"/>
      <c r="AB100" s="590"/>
      <c r="AC100" s="591"/>
      <c r="AD100" s="612"/>
      <c r="AE100" s="613"/>
      <c r="AF100" s="614"/>
      <c r="AG100" s="612"/>
      <c r="AH100" s="613"/>
      <c r="AI100" s="613"/>
      <c r="AJ100" s="613"/>
      <c r="AK100" s="613"/>
      <c r="AL100" s="613"/>
      <c r="AM100" s="613"/>
      <c r="AN100" s="613"/>
      <c r="AO100" s="613"/>
      <c r="AP100" s="613"/>
      <c r="AQ100" s="614"/>
      <c r="AR100" s="612"/>
      <c r="AS100" s="613"/>
      <c r="AT100" s="613"/>
      <c r="AU100" s="614"/>
      <c r="AV100" s="612"/>
      <c r="AW100" s="613"/>
      <c r="AX100" s="613"/>
      <c r="AY100" s="613"/>
      <c r="AZ100" s="613"/>
      <c r="BA100" s="614"/>
      <c r="BB100" s="612"/>
      <c r="BC100" s="613"/>
      <c r="BD100" s="613"/>
      <c r="BE100" s="613"/>
      <c r="BF100" s="613"/>
      <c r="BG100" s="613"/>
      <c r="BH100" s="613"/>
      <c r="BI100" s="614"/>
      <c r="BJ100" s="595"/>
      <c r="BK100" s="596"/>
      <c r="BL100" s="597"/>
      <c r="BM100" s="597"/>
      <c r="BN100" s="597"/>
      <c r="BO100" s="598"/>
      <c r="BP100" s="596"/>
      <c r="BQ100" s="597"/>
      <c r="BR100" s="597"/>
      <c r="BS100" s="598"/>
      <c r="BT100" s="596"/>
      <c r="BU100" s="598"/>
      <c r="BV100" s="596"/>
      <c r="BW100" s="597"/>
      <c r="BX100" s="597"/>
      <c r="BY100" s="597"/>
      <c r="BZ100" s="597"/>
      <c r="CA100" s="597"/>
      <c r="CB100" s="597"/>
      <c r="CC100" s="597"/>
      <c r="CD100" s="597"/>
      <c r="CE100" s="598"/>
      <c r="CF100" s="596"/>
      <c r="CG100" s="597"/>
      <c r="CH100" s="597"/>
      <c r="CI100" s="597"/>
      <c r="CJ100" s="597"/>
      <c r="CK100" s="597"/>
      <c r="CL100" s="597"/>
      <c r="CM100" s="598"/>
      <c r="CN100" s="596"/>
      <c r="CO100" s="599"/>
      <c r="CP100" s="600"/>
      <c r="CQ100" s="588"/>
      <c r="CR100" s="589"/>
      <c r="CS100" s="590"/>
      <c r="CT100" s="588"/>
      <c r="CU100" s="589"/>
      <c r="CV100" s="589"/>
      <c r="CW100" s="590"/>
      <c r="CX100" s="591"/>
      <c r="CY100" s="615"/>
    </row>
    <row r="101" spans="1:103" s="635" customFormat="1">
      <c r="A101" s="617">
        <v>92</v>
      </c>
      <c r="B101" s="618"/>
      <c r="C101" s="619" t="s">
        <v>933</v>
      </c>
      <c r="D101" s="620"/>
      <c r="E101" s="621"/>
      <c r="F101" s="622"/>
      <c r="G101" s="622"/>
      <c r="H101" s="622"/>
      <c r="I101" s="623"/>
      <c r="J101" s="621"/>
      <c r="K101" s="622"/>
      <c r="L101" s="622"/>
      <c r="M101" s="622"/>
      <c r="N101" s="623"/>
      <c r="O101" s="621"/>
      <c r="P101" s="622"/>
      <c r="Q101" s="623"/>
      <c r="R101" s="621"/>
      <c r="S101" s="622"/>
      <c r="T101" s="622"/>
      <c r="U101" s="622"/>
      <c r="V101" s="622"/>
      <c r="W101" s="622"/>
      <c r="X101" s="623"/>
      <c r="Y101" s="621"/>
      <c r="Z101" s="622"/>
      <c r="AA101" s="622"/>
      <c r="AB101" s="623"/>
      <c r="AC101" s="624"/>
      <c r="AD101" s="625"/>
      <c r="AE101" s="626"/>
      <c r="AF101" s="627"/>
      <c r="AG101" s="625"/>
      <c r="AH101" s="626"/>
      <c r="AI101" s="626"/>
      <c r="AJ101" s="626"/>
      <c r="AK101" s="626"/>
      <c r="AL101" s="626"/>
      <c r="AM101" s="626"/>
      <c r="AN101" s="626"/>
      <c r="AO101" s="626"/>
      <c r="AP101" s="626"/>
      <c r="AQ101" s="627"/>
      <c r="AR101" s="625"/>
      <c r="AS101" s="626"/>
      <c r="AT101" s="626"/>
      <c r="AU101" s="627"/>
      <c r="AV101" s="625"/>
      <c r="AW101" s="626"/>
      <c r="AX101" s="626"/>
      <c r="AY101" s="626"/>
      <c r="AZ101" s="626"/>
      <c r="BA101" s="627"/>
      <c r="BB101" s="625"/>
      <c r="BC101" s="626"/>
      <c r="BD101" s="626"/>
      <c r="BE101" s="626"/>
      <c r="BF101" s="626"/>
      <c r="BG101" s="626"/>
      <c r="BH101" s="626"/>
      <c r="BI101" s="627"/>
      <c r="BJ101" s="628"/>
      <c r="BK101" s="629"/>
      <c r="BL101" s="630"/>
      <c r="BM101" s="630"/>
      <c r="BN101" s="630"/>
      <c r="BO101" s="631"/>
      <c r="BP101" s="629"/>
      <c r="BQ101" s="630"/>
      <c r="BR101" s="630"/>
      <c r="BS101" s="631"/>
      <c r="BT101" s="629"/>
      <c r="BU101" s="631"/>
      <c r="BV101" s="629"/>
      <c r="BW101" s="630"/>
      <c r="BX101" s="630"/>
      <c r="BY101" s="630"/>
      <c r="BZ101" s="630"/>
      <c r="CA101" s="630"/>
      <c r="CB101" s="630"/>
      <c r="CC101" s="630"/>
      <c r="CD101" s="630"/>
      <c r="CE101" s="631"/>
      <c r="CF101" s="629"/>
      <c r="CG101" s="630"/>
      <c r="CH101" s="630"/>
      <c r="CI101" s="630"/>
      <c r="CJ101" s="630"/>
      <c r="CK101" s="630"/>
      <c r="CL101" s="630"/>
      <c r="CM101" s="631"/>
      <c r="CN101" s="629"/>
      <c r="CO101" s="632"/>
      <c r="CP101" s="633"/>
      <c r="CQ101" s="621"/>
      <c r="CR101" s="622"/>
      <c r="CS101" s="623"/>
      <c r="CT101" s="621"/>
      <c r="CU101" s="622"/>
      <c r="CV101" s="622"/>
      <c r="CW101" s="623"/>
      <c r="CX101" s="624"/>
      <c r="CY101" s="634"/>
    </row>
    <row r="102" spans="1:103" s="561" customFormat="1">
      <c r="A102" s="538">
        <v>93</v>
      </c>
      <c r="B102" s="602" t="s">
        <v>857</v>
      </c>
      <c r="C102" s="603" t="s">
        <v>858</v>
      </c>
      <c r="D102" s="541" t="s">
        <v>829</v>
      </c>
      <c r="E102" s="545">
        <v>0</v>
      </c>
      <c r="F102" s="546">
        <v>0</v>
      </c>
      <c r="G102" s="546">
        <v>0</v>
      </c>
      <c r="H102" s="546">
        <v>0</v>
      </c>
      <c r="I102" s="544">
        <f t="shared" si="60"/>
        <v>0</v>
      </c>
      <c r="J102" s="545">
        <v>0</v>
      </c>
      <c r="K102" s="546">
        <v>0</v>
      </c>
      <c r="L102" s="546">
        <v>0</v>
      </c>
      <c r="M102" s="546">
        <v>0</v>
      </c>
      <c r="N102" s="544">
        <f t="shared" si="61"/>
        <v>0</v>
      </c>
      <c r="O102" s="545">
        <v>0</v>
      </c>
      <c r="P102" s="546">
        <v>0</v>
      </c>
      <c r="Q102" s="544">
        <f t="shared" si="62"/>
        <v>0</v>
      </c>
      <c r="R102" s="545">
        <v>0</v>
      </c>
      <c r="S102" s="546">
        <v>0</v>
      </c>
      <c r="T102" s="546">
        <v>0</v>
      </c>
      <c r="U102" s="546">
        <v>0</v>
      </c>
      <c r="V102" s="546">
        <v>0</v>
      </c>
      <c r="W102" s="546">
        <v>0</v>
      </c>
      <c r="X102" s="544">
        <f t="shared" si="63"/>
        <v>0</v>
      </c>
      <c r="Y102" s="545">
        <v>0</v>
      </c>
      <c r="Z102" s="546">
        <v>0</v>
      </c>
      <c r="AA102" s="546">
        <v>488.78155141611444</v>
      </c>
      <c r="AB102" s="544">
        <f t="shared" si="53"/>
        <v>488.78155141611444</v>
      </c>
      <c r="AC102" s="547">
        <f t="shared" ref="AC102:AC116" si="76">+IF(D102="",0,I102+N102+Q102+X102+AB102)</f>
        <v>488.78155141611444</v>
      </c>
      <c r="AD102" s="604" t="s">
        <v>816</v>
      </c>
      <c r="AE102" s="605" t="s">
        <v>816</v>
      </c>
      <c r="AF102" s="606">
        <f t="shared" si="64"/>
        <v>0</v>
      </c>
      <c r="AG102" s="604" t="s">
        <v>816</v>
      </c>
      <c r="AH102" s="605" t="s">
        <v>816</v>
      </c>
      <c r="AI102" s="605" t="s">
        <v>816</v>
      </c>
      <c r="AJ102" s="605" t="s">
        <v>816</v>
      </c>
      <c r="AK102" s="605" t="s">
        <v>816</v>
      </c>
      <c r="AL102" s="605" t="s">
        <v>816</v>
      </c>
      <c r="AM102" s="605" t="s">
        <v>816</v>
      </c>
      <c r="AN102" s="605" t="s">
        <v>816</v>
      </c>
      <c r="AO102" s="605" t="s">
        <v>816</v>
      </c>
      <c r="AP102" s="605" t="s">
        <v>816</v>
      </c>
      <c r="AQ102" s="606">
        <f t="shared" si="65"/>
        <v>0</v>
      </c>
      <c r="AR102" s="604" t="s">
        <v>816</v>
      </c>
      <c r="AS102" s="605" t="s">
        <v>816</v>
      </c>
      <c r="AT102" s="605" t="s">
        <v>816</v>
      </c>
      <c r="AU102" s="606">
        <f t="shared" si="66"/>
        <v>0</v>
      </c>
      <c r="AV102" s="604" t="s">
        <v>816</v>
      </c>
      <c r="AW102" s="605" t="s">
        <v>816</v>
      </c>
      <c r="AX102" s="605" t="s">
        <v>816</v>
      </c>
      <c r="AY102" s="605" t="s">
        <v>816</v>
      </c>
      <c r="AZ102" s="605" t="s">
        <v>816</v>
      </c>
      <c r="BA102" s="606">
        <f t="shared" si="67"/>
        <v>0</v>
      </c>
      <c r="BB102" s="604" t="s">
        <v>816</v>
      </c>
      <c r="BC102" s="605" t="s">
        <v>816</v>
      </c>
      <c r="BD102" s="605" t="s">
        <v>816</v>
      </c>
      <c r="BE102" s="605" t="s">
        <v>816</v>
      </c>
      <c r="BF102" s="605" t="s">
        <v>816</v>
      </c>
      <c r="BG102" s="605" t="s">
        <v>816</v>
      </c>
      <c r="BH102" s="605" t="s">
        <v>816</v>
      </c>
      <c r="BI102" s="606">
        <f t="shared" si="55"/>
        <v>0</v>
      </c>
      <c r="BJ102" s="551">
        <f t="shared" ref="BJ102:BJ116" si="77">IF(D102="",0,AF102+AQ102+AU102+BA102+BI102)</f>
        <v>0</v>
      </c>
      <c r="BK102" s="607"/>
      <c r="BL102" s="608"/>
      <c r="BM102" s="608"/>
      <c r="BN102" s="608"/>
      <c r="BO102" s="557">
        <f t="shared" ref="BO102:BO116" si="78">+BK102+BL102+BM102+BN102</f>
        <v>0</v>
      </c>
      <c r="BP102" s="607"/>
      <c r="BQ102" s="608"/>
      <c r="BR102" s="608"/>
      <c r="BS102" s="557">
        <f t="shared" si="33"/>
        <v>0</v>
      </c>
      <c r="BT102" s="607"/>
      <c r="BU102" s="557">
        <f t="shared" si="68"/>
        <v>0</v>
      </c>
      <c r="BV102" s="607"/>
      <c r="BW102" s="608"/>
      <c r="BX102" s="608"/>
      <c r="BY102" s="608"/>
      <c r="BZ102" s="608"/>
      <c r="CA102" s="608"/>
      <c r="CB102" s="608"/>
      <c r="CC102" s="608"/>
      <c r="CD102" s="608"/>
      <c r="CE102" s="557">
        <f t="shared" si="69"/>
        <v>0</v>
      </c>
      <c r="CF102" s="607"/>
      <c r="CG102" s="608"/>
      <c r="CH102" s="608"/>
      <c r="CI102" s="608"/>
      <c r="CJ102" s="608"/>
      <c r="CK102" s="608"/>
      <c r="CL102" s="608"/>
      <c r="CM102" s="557">
        <f t="shared" si="70"/>
        <v>0</v>
      </c>
      <c r="CN102" s="607"/>
      <c r="CO102" s="609">
        <f t="shared" si="71"/>
        <v>0</v>
      </c>
      <c r="CP102" s="610">
        <f t="shared" si="58"/>
        <v>0</v>
      </c>
      <c r="CQ102" s="545"/>
      <c r="CR102" s="546"/>
      <c r="CS102" s="544">
        <f t="shared" ref="CS102:CS116" si="79">+CQ102+CR102</f>
        <v>0</v>
      </c>
      <c r="CT102" s="545"/>
      <c r="CU102" s="546"/>
      <c r="CV102" s="546"/>
      <c r="CW102" s="544">
        <f t="shared" ref="CW102:CW116" si="80">+CT102+CU102+CV102</f>
        <v>0</v>
      </c>
      <c r="CX102" s="547">
        <f t="shared" ref="CX102:CX116" si="81">+CS102+CW102</f>
        <v>0</v>
      </c>
      <c r="CY102" s="611">
        <f t="shared" ref="CY102:CY116" si="82">IF(D102="",0,AC102+BJ102+CP102+CX102)</f>
        <v>488.78155141611444</v>
      </c>
    </row>
    <row r="103" spans="1:103" s="561" customFormat="1" hidden="1">
      <c r="A103" s="538">
        <v>94</v>
      </c>
      <c r="B103" s="602" t="s">
        <v>859</v>
      </c>
      <c r="C103" s="603" t="s">
        <v>860</v>
      </c>
      <c r="D103" s="541" t="s">
        <v>829</v>
      </c>
      <c r="E103" s="545">
        <v>0</v>
      </c>
      <c r="F103" s="546">
        <v>0</v>
      </c>
      <c r="G103" s="546">
        <v>0</v>
      </c>
      <c r="H103" s="546">
        <v>0</v>
      </c>
      <c r="I103" s="544">
        <f t="shared" si="60"/>
        <v>0</v>
      </c>
      <c r="J103" s="545">
        <v>0</v>
      </c>
      <c r="K103" s="546">
        <v>0</v>
      </c>
      <c r="L103" s="546">
        <v>0</v>
      </c>
      <c r="M103" s="546">
        <v>0</v>
      </c>
      <c r="N103" s="544">
        <f t="shared" si="61"/>
        <v>0</v>
      </c>
      <c r="O103" s="545">
        <v>0</v>
      </c>
      <c r="P103" s="546">
        <v>0</v>
      </c>
      <c r="Q103" s="544">
        <f t="shared" si="62"/>
        <v>0</v>
      </c>
      <c r="R103" s="545">
        <v>0</v>
      </c>
      <c r="S103" s="546">
        <v>0</v>
      </c>
      <c r="T103" s="546">
        <v>0</v>
      </c>
      <c r="U103" s="546">
        <v>0</v>
      </c>
      <c r="V103" s="546">
        <v>0</v>
      </c>
      <c r="W103" s="546">
        <v>0</v>
      </c>
      <c r="X103" s="544">
        <f t="shared" si="63"/>
        <v>0</v>
      </c>
      <c r="Y103" s="545">
        <v>0</v>
      </c>
      <c r="Z103" s="546">
        <v>0</v>
      </c>
      <c r="AA103" s="546">
        <v>0</v>
      </c>
      <c r="AB103" s="544">
        <f t="shared" si="53"/>
        <v>0</v>
      </c>
      <c r="AC103" s="547">
        <f t="shared" si="76"/>
        <v>0</v>
      </c>
      <c r="AD103" s="604" t="s">
        <v>816</v>
      </c>
      <c r="AE103" s="605" t="s">
        <v>816</v>
      </c>
      <c r="AF103" s="606">
        <f t="shared" si="64"/>
        <v>0</v>
      </c>
      <c r="AG103" s="604" t="s">
        <v>816</v>
      </c>
      <c r="AH103" s="605" t="s">
        <v>816</v>
      </c>
      <c r="AI103" s="605" t="s">
        <v>816</v>
      </c>
      <c r="AJ103" s="605" t="s">
        <v>816</v>
      </c>
      <c r="AK103" s="605" t="s">
        <v>816</v>
      </c>
      <c r="AL103" s="605" t="s">
        <v>816</v>
      </c>
      <c r="AM103" s="605" t="s">
        <v>816</v>
      </c>
      <c r="AN103" s="605" t="s">
        <v>816</v>
      </c>
      <c r="AO103" s="605" t="s">
        <v>816</v>
      </c>
      <c r="AP103" s="605" t="s">
        <v>816</v>
      </c>
      <c r="AQ103" s="606">
        <f t="shared" si="65"/>
        <v>0</v>
      </c>
      <c r="AR103" s="604" t="s">
        <v>816</v>
      </c>
      <c r="AS103" s="605" t="s">
        <v>816</v>
      </c>
      <c r="AT103" s="605" t="s">
        <v>816</v>
      </c>
      <c r="AU103" s="606">
        <f t="shared" si="66"/>
        <v>0</v>
      </c>
      <c r="AV103" s="604" t="s">
        <v>816</v>
      </c>
      <c r="AW103" s="605" t="s">
        <v>816</v>
      </c>
      <c r="AX103" s="605" t="s">
        <v>816</v>
      </c>
      <c r="AY103" s="605" t="s">
        <v>816</v>
      </c>
      <c r="AZ103" s="605" t="s">
        <v>816</v>
      </c>
      <c r="BA103" s="606">
        <f t="shared" si="67"/>
        <v>0</v>
      </c>
      <c r="BB103" s="604" t="s">
        <v>816</v>
      </c>
      <c r="BC103" s="605" t="s">
        <v>816</v>
      </c>
      <c r="BD103" s="605" t="s">
        <v>816</v>
      </c>
      <c r="BE103" s="605" t="s">
        <v>816</v>
      </c>
      <c r="BF103" s="605" t="s">
        <v>816</v>
      </c>
      <c r="BG103" s="605" t="s">
        <v>816</v>
      </c>
      <c r="BH103" s="605" t="s">
        <v>816</v>
      </c>
      <c r="BI103" s="606">
        <f t="shared" si="55"/>
        <v>0</v>
      </c>
      <c r="BJ103" s="551">
        <f t="shared" si="77"/>
        <v>0</v>
      </c>
      <c r="BK103" s="607"/>
      <c r="BL103" s="608"/>
      <c r="BM103" s="608"/>
      <c r="BN103" s="608"/>
      <c r="BO103" s="557">
        <f t="shared" si="78"/>
        <v>0</v>
      </c>
      <c r="BP103" s="607"/>
      <c r="BQ103" s="608"/>
      <c r="BR103" s="608"/>
      <c r="BS103" s="557">
        <f t="shared" si="33"/>
        <v>0</v>
      </c>
      <c r="BT103" s="607"/>
      <c r="BU103" s="557">
        <f t="shared" si="68"/>
        <v>0</v>
      </c>
      <c r="BV103" s="607"/>
      <c r="BW103" s="608"/>
      <c r="BX103" s="608"/>
      <c r="BY103" s="608"/>
      <c r="BZ103" s="608"/>
      <c r="CA103" s="608"/>
      <c r="CB103" s="608"/>
      <c r="CC103" s="608"/>
      <c r="CD103" s="608"/>
      <c r="CE103" s="557">
        <f t="shared" si="69"/>
        <v>0</v>
      </c>
      <c r="CF103" s="607"/>
      <c r="CG103" s="608"/>
      <c r="CH103" s="608"/>
      <c r="CI103" s="608"/>
      <c r="CJ103" s="608"/>
      <c r="CK103" s="608"/>
      <c r="CL103" s="608"/>
      <c r="CM103" s="557">
        <f t="shared" si="70"/>
        <v>0</v>
      </c>
      <c r="CN103" s="607"/>
      <c r="CO103" s="609">
        <f t="shared" si="71"/>
        <v>0</v>
      </c>
      <c r="CP103" s="610">
        <f t="shared" si="58"/>
        <v>0</v>
      </c>
      <c r="CQ103" s="545"/>
      <c r="CR103" s="546"/>
      <c r="CS103" s="544">
        <f t="shared" si="79"/>
        <v>0</v>
      </c>
      <c r="CT103" s="545"/>
      <c r="CU103" s="546"/>
      <c r="CV103" s="546"/>
      <c r="CW103" s="544">
        <f t="shared" si="80"/>
        <v>0</v>
      </c>
      <c r="CX103" s="547">
        <f t="shared" si="81"/>
        <v>0</v>
      </c>
      <c r="CY103" s="611">
        <f t="shared" si="82"/>
        <v>0</v>
      </c>
    </row>
    <row r="104" spans="1:103" s="561" customFormat="1" hidden="1">
      <c r="A104" s="538">
        <v>95</v>
      </c>
      <c r="B104" s="602" t="s">
        <v>506</v>
      </c>
      <c r="C104" s="603" t="s">
        <v>934</v>
      </c>
      <c r="D104" s="541" t="s">
        <v>827</v>
      </c>
      <c r="E104" s="545">
        <v>0</v>
      </c>
      <c r="F104" s="546">
        <v>0</v>
      </c>
      <c r="G104" s="546">
        <v>0</v>
      </c>
      <c r="H104" s="546">
        <v>0</v>
      </c>
      <c r="I104" s="544">
        <f t="shared" si="60"/>
        <v>0</v>
      </c>
      <c r="J104" s="545">
        <v>0</v>
      </c>
      <c r="K104" s="546">
        <v>0</v>
      </c>
      <c r="L104" s="546">
        <v>0</v>
      </c>
      <c r="M104" s="546">
        <v>0</v>
      </c>
      <c r="N104" s="544">
        <f t="shared" si="61"/>
        <v>0</v>
      </c>
      <c r="O104" s="545">
        <v>0</v>
      </c>
      <c r="P104" s="546">
        <v>0</v>
      </c>
      <c r="Q104" s="544">
        <f t="shared" si="62"/>
        <v>0</v>
      </c>
      <c r="R104" s="545">
        <v>0</v>
      </c>
      <c r="S104" s="546">
        <v>0</v>
      </c>
      <c r="T104" s="546">
        <v>0</v>
      </c>
      <c r="U104" s="546">
        <v>0</v>
      </c>
      <c r="V104" s="546">
        <v>0</v>
      </c>
      <c r="W104" s="546">
        <v>0</v>
      </c>
      <c r="X104" s="544">
        <f t="shared" si="63"/>
        <v>0</v>
      </c>
      <c r="Y104" s="545">
        <v>0</v>
      </c>
      <c r="Z104" s="546">
        <v>0</v>
      </c>
      <c r="AA104" s="546">
        <v>0</v>
      </c>
      <c r="AB104" s="544">
        <f t="shared" si="53"/>
        <v>0</v>
      </c>
      <c r="AC104" s="547">
        <f t="shared" si="76"/>
        <v>0</v>
      </c>
      <c r="AD104" s="604" t="s">
        <v>816</v>
      </c>
      <c r="AE104" s="605" t="s">
        <v>816</v>
      </c>
      <c r="AF104" s="606">
        <f t="shared" si="64"/>
        <v>0</v>
      </c>
      <c r="AG104" s="604" t="s">
        <v>816</v>
      </c>
      <c r="AH104" s="605" t="s">
        <v>816</v>
      </c>
      <c r="AI104" s="605" t="s">
        <v>816</v>
      </c>
      <c r="AJ104" s="605" t="s">
        <v>816</v>
      </c>
      <c r="AK104" s="605" t="s">
        <v>816</v>
      </c>
      <c r="AL104" s="605" t="s">
        <v>816</v>
      </c>
      <c r="AM104" s="605" t="s">
        <v>816</v>
      </c>
      <c r="AN104" s="605" t="s">
        <v>816</v>
      </c>
      <c r="AO104" s="605" t="s">
        <v>816</v>
      </c>
      <c r="AP104" s="605" t="s">
        <v>816</v>
      </c>
      <c r="AQ104" s="606">
        <f t="shared" si="65"/>
        <v>0</v>
      </c>
      <c r="AR104" s="604" t="s">
        <v>816</v>
      </c>
      <c r="AS104" s="605" t="s">
        <v>816</v>
      </c>
      <c r="AT104" s="605" t="s">
        <v>816</v>
      </c>
      <c r="AU104" s="606">
        <f t="shared" si="66"/>
        <v>0</v>
      </c>
      <c r="AV104" s="604" t="s">
        <v>816</v>
      </c>
      <c r="AW104" s="605" t="s">
        <v>816</v>
      </c>
      <c r="AX104" s="605" t="s">
        <v>816</v>
      </c>
      <c r="AY104" s="605" t="s">
        <v>816</v>
      </c>
      <c r="AZ104" s="605" t="s">
        <v>816</v>
      </c>
      <c r="BA104" s="606">
        <f t="shared" si="67"/>
        <v>0</v>
      </c>
      <c r="BB104" s="604" t="s">
        <v>816</v>
      </c>
      <c r="BC104" s="605" t="s">
        <v>816</v>
      </c>
      <c r="BD104" s="605" t="s">
        <v>816</v>
      </c>
      <c r="BE104" s="605" t="s">
        <v>816</v>
      </c>
      <c r="BF104" s="605" t="s">
        <v>816</v>
      </c>
      <c r="BG104" s="605" t="s">
        <v>816</v>
      </c>
      <c r="BH104" s="605" t="s">
        <v>816</v>
      </c>
      <c r="BI104" s="606">
        <f t="shared" si="55"/>
        <v>0</v>
      </c>
      <c r="BJ104" s="551">
        <f t="shared" si="77"/>
        <v>0</v>
      </c>
      <c r="BK104" s="607"/>
      <c r="BL104" s="608"/>
      <c r="BM104" s="608"/>
      <c r="BN104" s="608"/>
      <c r="BO104" s="557">
        <f t="shared" si="78"/>
        <v>0</v>
      </c>
      <c r="BP104" s="607"/>
      <c r="BQ104" s="608"/>
      <c r="BR104" s="608"/>
      <c r="BS104" s="557">
        <f t="shared" ref="BS104:BS167" si="83">+BP104+BQ104+BR104</f>
        <v>0</v>
      </c>
      <c r="BT104" s="607"/>
      <c r="BU104" s="557">
        <f t="shared" si="68"/>
        <v>0</v>
      </c>
      <c r="BV104" s="607"/>
      <c r="BW104" s="608"/>
      <c r="BX104" s="608"/>
      <c r="BY104" s="608"/>
      <c r="BZ104" s="608"/>
      <c r="CA104" s="608"/>
      <c r="CB104" s="608"/>
      <c r="CC104" s="608"/>
      <c r="CD104" s="608"/>
      <c r="CE104" s="557">
        <f t="shared" si="69"/>
        <v>0</v>
      </c>
      <c r="CF104" s="607"/>
      <c r="CG104" s="608"/>
      <c r="CH104" s="608"/>
      <c r="CI104" s="608"/>
      <c r="CJ104" s="608"/>
      <c r="CK104" s="608"/>
      <c r="CL104" s="608"/>
      <c r="CM104" s="557">
        <f t="shared" si="70"/>
        <v>0</v>
      </c>
      <c r="CN104" s="607"/>
      <c r="CO104" s="609">
        <f t="shared" si="71"/>
        <v>0</v>
      </c>
      <c r="CP104" s="610">
        <f t="shared" si="58"/>
        <v>0</v>
      </c>
      <c r="CQ104" s="545"/>
      <c r="CR104" s="546"/>
      <c r="CS104" s="544">
        <f t="shared" si="79"/>
        <v>0</v>
      </c>
      <c r="CT104" s="545"/>
      <c r="CU104" s="546"/>
      <c r="CV104" s="546"/>
      <c r="CW104" s="544">
        <f t="shared" si="80"/>
        <v>0</v>
      </c>
      <c r="CX104" s="547">
        <f t="shared" si="81"/>
        <v>0</v>
      </c>
      <c r="CY104" s="611">
        <f t="shared" si="82"/>
        <v>0</v>
      </c>
    </row>
    <row r="105" spans="1:103" s="561" customFormat="1" ht="30" hidden="1">
      <c r="A105" s="538">
        <v>96</v>
      </c>
      <c r="B105" s="602" t="s">
        <v>396</v>
      </c>
      <c r="C105" s="603" t="s">
        <v>863</v>
      </c>
      <c r="D105" s="541" t="s">
        <v>829</v>
      </c>
      <c r="E105" s="545">
        <v>0</v>
      </c>
      <c r="F105" s="546">
        <v>0</v>
      </c>
      <c r="G105" s="546">
        <v>0</v>
      </c>
      <c r="H105" s="546">
        <v>0</v>
      </c>
      <c r="I105" s="544">
        <f t="shared" si="60"/>
        <v>0</v>
      </c>
      <c r="J105" s="545">
        <v>0</v>
      </c>
      <c r="K105" s="546">
        <v>0</v>
      </c>
      <c r="L105" s="546">
        <v>0</v>
      </c>
      <c r="M105" s="546">
        <v>0</v>
      </c>
      <c r="N105" s="544">
        <f t="shared" si="61"/>
        <v>0</v>
      </c>
      <c r="O105" s="545">
        <v>0</v>
      </c>
      <c r="P105" s="546">
        <v>0</v>
      </c>
      <c r="Q105" s="544">
        <f t="shared" si="62"/>
        <v>0</v>
      </c>
      <c r="R105" s="545">
        <v>0</v>
      </c>
      <c r="S105" s="546">
        <v>0</v>
      </c>
      <c r="T105" s="546">
        <v>0</v>
      </c>
      <c r="U105" s="546">
        <v>0</v>
      </c>
      <c r="V105" s="546">
        <v>0</v>
      </c>
      <c r="W105" s="546">
        <v>0</v>
      </c>
      <c r="X105" s="544">
        <f t="shared" si="63"/>
        <v>0</v>
      </c>
      <c r="Y105" s="545">
        <v>0</v>
      </c>
      <c r="Z105" s="546">
        <v>0</v>
      </c>
      <c r="AA105" s="546">
        <v>0</v>
      </c>
      <c r="AB105" s="544">
        <f t="shared" si="53"/>
        <v>0</v>
      </c>
      <c r="AC105" s="547">
        <f t="shared" si="76"/>
        <v>0</v>
      </c>
      <c r="AD105" s="604" t="s">
        <v>816</v>
      </c>
      <c r="AE105" s="605" t="s">
        <v>816</v>
      </c>
      <c r="AF105" s="606">
        <f t="shared" si="64"/>
        <v>0</v>
      </c>
      <c r="AG105" s="604" t="s">
        <v>816</v>
      </c>
      <c r="AH105" s="605" t="s">
        <v>816</v>
      </c>
      <c r="AI105" s="605" t="s">
        <v>816</v>
      </c>
      <c r="AJ105" s="605" t="s">
        <v>816</v>
      </c>
      <c r="AK105" s="605" t="s">
        <v>816</v>
      </c>
      <c r="AL105" s="605" t="s">
        <v>816</v>
      </c>
      <c r="AM105" s="605" t="s">
        <v>816</v>
      </c>
      <c r="AN105" s="605" t="s">
        <v>816</v>
      </c>
      <c r="AO105" s="605" t="s">
        <v>816</v>
      </c>
      <c r="AP105" s="605" t="s">
        <v>816</v>
      </c>
      <c r="AQ105" s="606">
        <f t="shared" si="65"/>
        <v>0</v>
      </c>
      <c r="AR105" s="604" t="s">
        <v>816</v>
      </c>
      <c r="AS105" s="605" t="s">
        <v>816</v>
      </c>
      <c r="AT105" s="605" t="s">
        <v>816</v>
      </c>
      <c r="AU105" s="606">
        <f t="shared" si="66"/>
        <v>0</v>
      </c>
      <c r="AV105" s="604" t="s">
        <v>816</v>
      </c>
      <c r="AW105" s="605" t="s">
        <v>816</v>
      </c>
      <c r="AX105" s="605" t="s">
        <v>816</v>
      </c>
      <c r="AY105" s="605" t="s">
        <v>816</v>
      </c>
      <c r="AZ105" s="605" t="s">
        <v>816</v>
      </c>
      <c r="BA105" s="606">
        <f t="shared" si="67"/>
        <v>0</v>
      </c>
      <c r="BB105" s="604" t="s">
        <v>816</v>
      </c>
      <c r="BC105" s="605" t="s">
        <v>816</v>
      </c>
      <c r="BD105" s="605" t="s">
        <v>816</v>
      </c>
      <c r="BE105" s="605" t="s">
        <v>816</v>
      </c>
      <c r="BF105" s="605" t="s">
        <v>816</v>
      </c>
      <c r="BG105" s="605" t="s">
        <v>816</v>
      </c>
      <c r="BH105" s="605" t="s">
        <v>816</v>
      </c>
      <c r="BI105" s="606">
        <f t="shared" si="55"/>
        <v>0</v>
      </c>
      <c r="BJ105" s="551">
        <f t="shared" si="77"/>
        <v>0</v>
      </c>
      <c r="BK105" s="607"/>
      <c r="BL105" s="608"/>
      <c r="BM105" s="608"/>
      <c r="BN105" s="608"/>
      <c r="BO105" s="557">
        <f t="shared" si="78"/>
        <v>0</v>
      </c>
      <c r="BP105" s="607"/>
      <c r="BQ105" s="608"/>
      <c r="BR105" s="608"/>
      <c r="BS105" s="557">
        <f t="shared" si="83"/>
        <v>0</v>
      </c>
      <c r="BT105" s="607"/>
      <c r="BU105" s="557">
        <f t="shared" si="68"/>
        <v>0</v>
      </c>
      <c r="BV105" s="607"/>
      <c r="BW105" s="608"/>
      <c r="BX105" s="608"/>
      <c r="BY105" s="608"/>
      <c r="BZ105" s="608"/>
      <c r="CA105" s="608"/>
      <c r="CB105" s="608"/>
      <c r="CC105" s="608"/>
      <c r="CD105" s="608"/>
      <c r="CE105" s="557">
        <f t="shared" si="69"/>
        <v>0</v>
      </c>
      <c r="CF105" s="607"/>
      <c r="CG105" s="608"/>
      <c r="CH105" s="608"/>
      <c r="CI105" s="608"/>
      <c r="CJ105" s="608"/>
      <c r="CK105" s="608"/>
      <c r="CL105" s="608"/>
      <c r="CM105" s="557">
        <f t="shared" si="70"/>
        <v>0</v>
      </c>
      <c r="CN105" s="607"/>
      <c r="CO105" s="609">
        <f t="shared" si="71"/>
        <v>0</v>
      </c>
      <c r="CP105" s="610">
        <f t="shared" si="58"/>
        <v>0</v>
      </c>
      <c r="CQ105" s="545"/>
      <c r="CR105" s="546"/>
      <c r="CS105" s="544">
        <f t="shared" si="79"/>
        <v>0</v>
      </c>
      <c r="CT105" s="545"/>
      <c r="CU105" s="546"/>
      <c r="CV105" s="546"/>
      <c r="CW105" s="544">
        <f t="shared" si="80"/>
        <v>0</v>
      </c>
      <c r="CX105" s="547">
        <f t="shared" si="81"/>
        <v>0</v>
      </c>
      <c r="CY105" s="611">
        <f t="shared" si="82"/>
        <v>0</v>
      </c>
    </row>
    <row r="106" spans="1:103" s="561" customFormat="1" ht="30">
      <c r="A106" s="538">
        <v>97</v>
      </c>
      <c r="B106" s="602" t="s">
        <v>935</v>
      </c>
      <c r="C106" s="603" t="s">
        <v>936</v>
      </c>
      <c r="D106" s="541" t="s">
        <v>11</v>
      </c>
      <c r="E106" s="545">
        <v>0</v>
      </c>
      <c r="F106" s="546">
        <v>0</v>
      </c>
      <c r="G106" s="546">
        <v>0</v>
      </c>
      <c r="H106" s="546">
        <v>0</v>
      </c>
      <c r="I106" s="544">
        <f t="shared" si="60"/>
        <v>0</v>
      </c>
      <c r="J106" s="545">
        <v>0</v>
      </c>
      <c r="K106" s="546">
        <v>0</v>
      </c>
      <c r="L106" s="546">
        <v>0</v>
      </c>
      <c r="M106" s="546">
        <v>0</v>
      </c>
      <c r="N106" s="544">
        <f t="shared" si="61"/>
        <v>0</v>
      </c>
      <c r="O106" s="545">
        <v>0</v>
      </c>
      <c r="P106" s="546">
        <v>0</v>
      </c>
      <c r="Q106" s="544">
        <f t="shared" si="62"/>
        <v>0</v>
      </c>
      <c r="R106" s="545">
        <v>0</v>
      </c>
      <c r="S106" s="546">
        <v>0</v>
      </c>
      <c r="T106" s="546">
        <v>0</v>
      </c>
      <c r="U106" s="546">
        <v>0</v>
      </c>
      <c r="V106" s="546">
        <v>0</v>
      </c>
      <c r="W106" s="546">
        <v>0</v>
      </c>
      <c r="X106" s="544">
        <f t="shared" si="63"/>
        <v>0</v>
      </c>
      <c r="Y106" s="545">
        <v>0</v>
      </c>
      <c r="Z106" s="546">
        <v>0</v>
      </c>
      <c r="AA106" s="546">
        <v>243.1</v>
      </c>
      <c r="AB106" s="544">
        <f t="shared" si="53"/>
        <v>243.1</v>
      </c>
      <c r="AC106" s="547">
        <f t="shared" si="76"/>
        <v>243.1</v>
      </c>
      <c r="AD106" s="604" t="s">
        <v>816</v>
      </c>
      <c r="AE106" s="605" t="s">
        <v>816</v>
      </c>
      <c r="AF106" s="606">
        <f t="shared" si="64"/>
        <v>0</v>
      </c>
      <c r="AG106" s="604" t="s">
        <v>816</v>
      </c>
      <c r="AH106" s="605" t="s">
        <v>816</v>
      </c>
      <c r="AI106" s="605" t="s">
        <v>816</v>
      </c>
      <c r="AJ106" s="605" t="s">
        <v>816</v>
      </c>
      <c r="AK106" s="605" t="s">
        <v>816</v>
      </c>
      <c r="AL106" s="605" t="s">
        <v>816</v>
      </c>
      <c r="AM106" s="605" t="s">
        <v>816</v>
      </c>
      <c r="AN106" s="605" t="s">
        <v>816</v>
      </c>
      <c r="AO106" s="605" t="s">
        <v>816</v>
      </c>
      <c r="AP106" s="605" t="s">
        <v>816</v>
      </c>
      <c r="AQ106" s="606">
        <f t="shared" si="65"/>
        <v>0</v>
      </c>
      <c r="AR106" s="604" t="s">
        <v>816</v>
      </c>
      <c r="AS106" s="605" t="s">
        <v>816</v>
      </c>
      <c r="AT106" s="605" t="s">
        <v>816</v>
      </c>
      <c r="AU106" s="606">
        <f t="shared" si="66"/>
        <v>0</v>
      </c>
      <c r="AV106" s="604" t="s">
        <v>816</v>
      </c>
      <c r="AW106" s="605" t="s">
        <v>816</v>
      </c>
      <c r="AX106" s="605" t="s">
        <v>816</v>
      </c>
      <c r="AY106" s="605" t="s">
        <v>816</v>
      </c>
      <c r="AZ106" s="605" t="s">
        <v>816</v>
      </c>
      <c r="BA106" s="606">
        <f t="shared" si="67"/>
        <v>0</v>
      </c>
      <c r="BB106" s="604" t="s">
        <v>816</v>
      </c>
      <c r="BC106" s="605" t="s">
        <v>816</v>
      </c>
      <c r="BD106" s="605" t="s">
        <v>816</v>
      </c>
      <c r="BE106" s="605" t="s">
        <v>816</v>
      </c>
      <c r="BF106" s="605" t="s">
        <v>816</v>
      </c>
      <c r="BG106" s="605" t="s">
        <v>816</v>
      </c>
      <c r="BH106" s="605" t="s">
        <v>816</v>
      </c>
      <c r="BI106" s="606">
        <f t="shared" si="55"/>
        <v>0</v>
      </c>
      <c r="BJ106" s="551">
        <f t="shared" si="77"/>
        <v>0</v>
      </c>
      <c r="BK106" s="607"/>
      <c r="BL106" s="608"/>
      <c r="BM106" s="608"/>
      <c r="BN106" s="608"/>
      <c r="BO106" s="557">
        <f t="shared" si="78"/>
        <v>0</v>
      </c>
      <c r="BP106" s="607"/>
      <c r="BQ106" s="608"/>
      <c r="BR106" s="608"/>
      <c r="BS106" s="557">
        <f t="shared" si="83"/>
        <v>0</v>
      </c>
      <c r="BT106" s="607"/>
      <c r="BU106" s="557">
        <f t="shared" si="68"/>
        <v>0</v>
      </c>
      <c r="BV106" s="607"/>
      <c r="BW106" s="608"/>
      <c r="BX106" s="608"/>
      <c r="BY106" s="608"/>
      <c r="BZ106" s="608"/>
      <c r="CA106" s="608"/>
      <c r="CB106" s="608"/>
      <c r="CC106" s="608"/>
      <c r="CD106" s="608"/>
      <c r="CE106" s="557">
        <f t="shared" si="69"/>
        <v>0</v>
      </c>
      <c r="CF106" s="607"/>
      <c r="CG106" s="608"/>
      <c r="CH106" s="608"/>
      <c r="CI106" s="608"/>
      <c r="CJ106" s="608"/>
      <c r="CK106" s="608"/>
      <c r="CL106" s="608"/>
      <c r="CM106" s="557">
        <f t="shared" si="70"/>
        <v>0</v>
      </c>
      <c r="CN106" s="607"/>
      <c r="CO106" s="609">
        <f t="shared" si="71"/>
        <v>0</v>
      </c>
      <c r="CP106" s="610">
        <f t="shared" si="58"/>
        <v>0</v>
      </c>
      <c r="CQ106" s="545"/>
      <c r="CR106" s="546"/>
      <c r="CS106" s="544">
        <f t="shared" si="79"/>
        <v>0</v>
      </c>
      <c r="CT106" s="545"/>
      <c r="CU106" s="546"/>
      <c r="CV106" s="546"/>
      <c r="CW106" s="544">
        <f t="shared" si="80"/>
        <v>0</v>
      </c>
      <c r="CX106" s="547">
        <f t="shared" si="81"/>
        <v>0</v>
      </c>
      <c r="CY106" s="611">
        <f t="shared" si="82"/>
        <v>243.1</v>
      </c>
    </row>
    <row r="107" spans="1:103" s="561" customFormat="1">
      <c r="A107" s="538">
        <v>98</v>
      </c>
      <c r="B107" s="602" t="s">
        <v>937</v>
      </c>
      <c r="C107" s="603" t="s">
        <v>938</v>
      </c>
      <c r="D107" s="541" t="s">
        <v>829</v>
      </c>
      <c r="E107" s="545">
        <v>0</v>
      </c>
      <c r="F107" s="546">
        <v>0</v>
      </c>
      <c r="G107" s="546">
        <v>0</v>
      </c>
      <c r="H107" s="546">
        <v>0</v>
      </c>
      <c r="I107" s="544">
        <f t="shared" si="60"/>
        <v>0</v>
      </c>
      <c r="J107" s="545">
        <v>0</v>
      </c>
      <c r="K107" s="546">
        <v>0</v>
      </c>
      <c r="L107" s="546">
        <v>0</v>
      </c>
      <c r="M107" s="546">
        <v>0</v>
      </c>
      <c r="N107" s="544">
        <f t="shared" si="61"/>
        <v>0</v>
      </c>
      <c r="O107" s="545">
        <v>0</v>
      </c>
      <c r="P107" s="546">
        <v>0</v>
      </c>
      <c r="Q107" s="544">
        <f t="shared" si="62"/>
        <v>0</v>
      </c>
      <c r="R107" s="545">
        <v>0</v>
      </c>
      <c r="S107" s="546">
        <v>0</v>
      </c>
      <c r="T107" s="546">
        <v>0</v>
      </c>
      <c r="U107" s="546">
        <v>0</v>
      </c>
      <c r="V107" s="546">
        <v>0</v>
      </c>
      <c r="W107" s="546">
        <v>0</v>
      </c>
      <c r="X107" s="544">
        <f t="shared" si="63"/>
        <v>0</v>
      </c>
      <c r="Y107" s="545">
        <v>0</v>
      </c>
      <c r="Z107" s="546">
        <v>0</v>
      </c>
      <c r="AA107" s="546">
        <v>397.13501052559297</v>
      </c>
      <c r="AB107" s="544">
        <f t="shared" si="53"/>
        <v>397.13501052559297</v>
      </c>
      <c r="AC107" s="547">
        <f t="shared" si="76"/>
        <v>397.13501052559297</v>
      </c>
      <c r="AD107" s="604" t="s">
        <v>816</v>
      </c>
      <c r="AE107" s="605" t="s">
        <v>816</v>
      </c>
      <c r="AF107" s="606">
        <f t="shared" si="64"/>
        <v>0</v>
      </c>
      <c r="AG107" s="604" t="s">
        <v>816</v>
      </c>
      <c r="AH107" s="605" t="s">
        <v>816</v>
      </c>
      <c r="AI107" s="605" t="s">
        <v>816</v>
      </c>
      <c r="AJ107" s="605" t="s">
        <v>816</v>
      </c>
      <c r="AK107" s="605" t="s">
        <v>816</v>
      </c>
      <c r="AL107" s="605" t="s">
        <v>816</v>
      </c>
      <c r="AM107" s="605" t="s">
        <v>816</v>
      </c>
      <c r="AN107" s="605" t="s">
        <v>816</v>
      </c>
      <c r="AO107" s="605" t="s">
        <v>816</v>
      </c>
      <c r="AP107" s="605" t="s">
        <v>816</v>
      </c>
      <c r="AQ107" s="606">
        <f t="shared" si="65"/>
        <v>0</v>
      </c>
      <c r="AR107" s="604" t="s">
        <v>816</v>
      </c>
      <c r="AS107" s="605" t="s">
        <v>816</v>
      </c>
      <c r="AT107" s="605" t="s">
        <v>816</v>
      </c>
      <c r="AU107" s="606">
        <f t="shared" si="66"/>
        <v>0</v>
      </c>
      <c r="AV107" s="604" t="s">
        <v>816</v>
      </c>
      <c r="AW107" s="605" t="s">
        <v>816</v>
      </c>
      <c r="AX107" s="605" t="s">
        <v>816</v>
      </c>
      <c r="AY107" s="605" t="s">
        <v>816</v>
      </c>
      <c r="AZ107" s="605" t="s">
        <v>816</v>
      </c>
      <c r="BA107" s="606">
        <f t="shared" si="67"/>
        <v>0</v>
      </c>
      <c r="BB107" s="604" t="s">
        <v>816</v>
      </c>
      <c r="BC107" s="605" t="s">
        <v>816</v>
      </c>
      <c r="BD107" s="605" t="s">
        <v>816</v>
      </c>
      <c r="BE107" s="605" t="s">
        <v>816</v>
      </c>
      <c r="BF107" s="605" t="s">
        <v>816</v>
      </c>
      <c r="BG107" s="605" t="s">
        <v>816</v>
      </c>
      <c r="BH107" s="605" t="s">
        <v>816</v>
      </c>
      <c r="BI107" s="606">
        <f t="shared" si="55"/>
        <v>0</v>
      </c>
      <c r="BJ107" s="551">
        <f t="shared" si="77"/>
        <v>0</v>
      </c>
      <c r="BK107" s="607"/>
      <c r="BL107" s="608"/>
      <c r="BM107" s="608"/>
      <c r="BN107" s="608"/>
      <c r="BO107" s="557">
        <f t="shared" si="78"/>
        <v>0</v>
      </c>
      <c r="BP107" s="607"/>
      <c r="BQ107" s="608"/>
      <c r="BR107" s="608"/>
      <c r="BS107" s="557">
        <f t="shared" si="83"/>
        <v>0</v>
      </c>
      <c r="BT107" s="607"/>
      <c r="BU107" s="557">
        <f t="shared" si="68"/>
        <v>0</v>
      </c>
      <c r="BV107" s="607"/>
      <c r="BW107" s="608"/>
      <c r="BX107" s="608"/>
      <c r="BY107" s="608"/>
      <c r="BZ107" s="608"/>
      <c r="CA107" s="608"/>
      <c r="CB107" s="608"/>
      <c r="CC107" s="608"/>
      <c r="CD107" s="608"/>
      <c r="CE107" s="557">
        <f t="shared" si="69"/>
        <v>0</v>
      </c>
      <c r="CF107" s="607"/>
      <c r="CG107" s="608"/>
      <c r="CH107" s="608"/>
      <c r="CI107" s="608"/>
      <c r="CJ107" s="608"/>
      <c r="CK107" s="608"/>
      <c r="CL107" s="608"/>
      <c r="CM107" s="557">
        <f t="shared" si="70"/>
        <v>0</v>
      </c>
      <c r="CN107" s="607"/>
      <c r="CO107" s="609">
        <f t="shared" si="71"/>
        <v>0</v>
      </c>
      <c r="CP107" s="610">
        <f t="shared" si="58"/>
        <v>0</v>
      </c>
      <c r="CQ107" s="545"/>
      <c r="CR107" s="546"/>
      <c r="CS107" s="544">
        <f t="shared" si="79"/>
        <v>0</v>
      </c>
      <c r="CT107" s="545"/>
      <c r="CU107" s="546"/>
      <c r="CV107" s="546"/>
      <c r="CW107" s="544">
        <f t="shared" si="80"/>
        <v>0</v>
      </c>
      <c r="CX107" s="547">
        <f t="shared" si="81"/>
        <v>0</v>
      </c>
      <c r="CY107" s="611">
        <f t="shared" si="82"/>
        <v>397.13501052559297</v>
      </c>
    </row>
    <row r="108" spans="1:103" s="561" customFormat="1">
      <c r="A108" s="538">
        <v>99</v>
      </c>
      <c r="B108" s="602" t="s">
        <v>85</v>
      </c>
      <c r="C108" s="603" t="s">
        <v>828</v>
      </c>
      <c r="D108" s="541" t="s">
        <v>829</v>
      </c>
      <c r="E108" s="545">
        <v>0</v>
      </c>
      <c r="F108" s="546">
        <v>0</v>
      </c>
      <c r="G108" s="546">
        <v>0</v>
      </c>
      <c r="H108" s="546">
        <v>0</v>
      </c>
      <c r="I108" s="544">
        <f t="shared" si="60"/>
        <v>0</v>
      </c>
      <c r="J108" s="545">
        <v>0</v>
      </c>
      <c r="K108" s="546">
        <v>0</v>
      </c>
      <c r="L108" s="546">
        <v>0</v>
      </c>
      <c r="M108" s="546">
        <v>0</v>
      </c>
      <c r="N108" s="544">
        <f t="shared" si="61"/>
        <v>0</v>
      </c>
      <c r="O108" s="545">
        <v>0</v>
      </c>
      <c r="P108" s="546">
        <v>0</v>
      </c>
      <c r="Q108" s="544">
        <f t="shared" si="62"/>
        <v>0</v>
      </c>
      <c r="R108" s="545">
        <v>0</v>
      </c>
      <c r="S108" s="546">
        <v>0</v>
      </c>
      <c r="T108" s="546">
        <v>0</v>
      </c>
      <c r="U108" s="546">
        <v>0</v>
      </c>
      <c r="V108" s="546">
        <v>0</v>
      </c>
      <c r="W108" s="546">
        <v>0</v>
      </c>
      <c r="X108" s="544">
        <f t="shared" si="63"/>
        <v>0</v>
      </c>
      <c r="Y108" s="545">
        <v>0</v>
      </c>
      <c r="Z108" s="546">
        <v>0</v>
      </c>
      <c r="AA108" s="546">
        <v>55.493092633010114</v>
      </c>
      <c r="AB108" s="544">
        <f t="shared" si="53"/>
        <v>55.493092633010114</v>
      </c>
      <c r="AC108" s="547">
        <f t="shared" si="76"/>
        <v>55.493092633010114</v>
      </c>
      <c r="AD108" s="604" t="s">
        <v>816</v>
      </c>
      <c r="AE108" s="605" t="s">
        <v>816</v>
      </c>
      <c r="AF108" s="606">
        <f t="shared" si="64"/>
        <v>0</v>
      </c>
      <c r="AG108" s="604" t="s">
        <v>816</v>
      </c>
      <c r="AH108" s="605" t="s">
        <v>816</v>
      </c>
      <c r="AI108" s="605" t="s">
        <v>816</v>
      </c>
      <c r="AJ108" s="605" t="s">
        <v>816</v>
      </c>
      <c r="AK108" s="605" t="s">
        <v>816</v>
      </c>
      <c r="AL108" s="605" t="s">
        <v>816</v>
      </c>
      <c r="AM108" s="605" t="s">
        <v>816</v>
      </c>
      <c r="AN108" s="605" t="s">
        <v>816</v>
      </c>
      <c r="AO108" s="605" t="s">
        <v>816</v>
      </c>
      <c r="AP108" s="605" t="s">
        <v>816</v>
      </c>
      <c r="AQ108" s="606">
        <f t="shared" si="65"/>
        <v>0</v>
      </c>
      <c r="AR108" s="604" t="s">
        <v>816</v>
      </c>
      <c r="AS108" s="605" t="s">
        <v>816</v>
      </c>
      <c r="AT108" s="605" t="s">
        <v>816</v>
      </c>
      <c r="AU108" s="606">
        <f t="shared" si="66"/>
        <v>0</v>
      </c>
      <c r="AV108" s="604" t="s">
        <v>816</v>
      </c>
      <c r="AW108" s="605" t="s">
        <v>816</v>
      </c>
      <c r="AX108" s="605" t="s">
        <v>816</v>
      </c>
      <c r="AY108" s="605" t="s">
        <v>816</v>
      </c>
      <c r="AZ108" s="605" t="s">
        <v>816</v>
      </c>
      <c r="BA108" s="606">
        <f t="shared" si="67"/>
        <v>0</v>
      </c>
      <c r="BB108" s="604" t="s">
        <v>816</v>
      </c>
      <c r="BC108" s="605" t="s">
        <v>816</v>
      </c>
      <c r="BD108" s="605" t="s">
        <v>816</v>
      </c>
      <c r="BE108" s="605" t="s">
        <v>816</v>
      </c>
      <c r="BF108" s="605" t="s">
        <v>816</v>
      </c>
      <c r="BG108" s="605" t="s">
        <v>816</v>
      </c>
      <c r="BH108" s="605" t="s">
        <v>816</v>
      </c>
      <c r="BI108" s="606">
        <f t="shared" si="55"/>
        <v>0</v>
      </c>
      <c r="BJ108" s="551">
        <f t="shared" si="77"/>
        <v>0</v>
      </c>
      <c r="BK108" s="607"/>
      <c r="BL108" s="608"/>
      <c r="BM108" s="608"/>
      <c r="BN108" s="608"/>
      <c r="BO108" s="557">
        <f t="shared" si="78"/>
        <v>0</v>
      </c>
      <c r="BP108" s="607"/>
      <c r="BQ108" s="608"/>
      <c r="BR108" s="608"/>
      <c r="BS108" s="557">
        <f t="shared" si="83"/>
        <v>0</v>
      </c>
      <c r="BT108" s="607"/>
      <c r="BU108" s="557">
        <f t="shared" si="68"/>
        <v>0</v>
      </c>
      <c r="BV108" s="607"/>
      <c r="BW108" s="608"/>
      <c r="BX108" s="608"/>
      <c r="BY108" s="608"/>
      <c r="BZ108" s="608"/>
      <c r="CA108" s="608"/>
      <c r="CB108" s="608"/>
      <c r="CC108" s="608"/>
      <c r="CD108" s="608"/>
      <c r="CE108" s="557">
        <f t="shared" si="69"/>
        <v>0</v>
      </c>
      <c r="CF108" s="607"/>
      <c r="CG108" s="608"/>
      <c r="CH108" s="608"/>
      <c r="CI108" s="608"/>
      <c r="CJ108" s="608"/>
      <c r="CK108" s="608"/>
      <c r="CL108" s="608"/>
      <c r="CM108" s="557">
        <f t="shared" si="70"/>
        <v>0</v>
      </c>
      <c r="CN108" s="607"/>
      <c r="CO108" s="609">
        <f t="shared" si="71"/>
        <v>0</v>
      </c>
      <c r="CP108" s="610">
        <f t="shared" si="58"/>
        <v>0</v>
      </c>
      <c r="CQ108" s="545"/>
      <c r="CR108" s="546"/>
      <c r="CS108" s="544">
        <f t="shared" si="79"/>
        <v>0</v>
      </c>
      <c r="CT108" s="545"/>
      <c r="CU108" s="546"/>
      <c r="CV108" s="546"/>
      <c r="CW108" s="544">
        <f t="shared" si="80"/>
        <v>0</v>
      </c>
      <c r="CX108" s="547">
        <f t="shared" si="81"/>
        <v>0</v>
      </c>
      <c r="CY108" s="611">
        <f t="shared" si="82"/>
        <v>55.493092633010114</v>
      </c>
    </row>
    <row r="109" spans="1:103" s="561" customFormat="1">
      <c r="A109" s="538">
        <v>100</v>
      </c>
      <c r="B109" s="602" t="s">
        <v>93</v>
      </c>
      <c r="C109" s="603" t="s">
        <v>272</v>
      </c>
      <c r="D109" s="541" t="s">
        <v>829</v>
      </c>
      <c r="E109" s="545">
        <v>0</v>
      </c>
      <c r="F109" s="546">
        <v>0</v>
      </c>
      <c r="G109" s="546">
        <v>0</v>
      </c>
      <c r="H109" s="546">
        <v>0</v>
      </c>
      <c r="I109" s="544">
        <f t="shared" si="60"/>
        <v>0</v>
      </c>
      <c r="J109" s="545">
        <v>0</v>
      </c>
      <c r="K109" s="546">
        <v>0</v>
      </c>
      <c r="L109" s="546">
        <v>0</v>
      </c>
      <c r="M109" s="546">
        <v>0</v>
      </c>
      <c r="N109" s="544">
        <f t="shared" si="61"/>
        <v>0</v>
      </c>
      <c r="O109" s="545">
        <v>0</v>
      </c>
      <c r="P109" s="546">
        <v>0</v>
      </c>
      <c r="Q109" s="544">
        <f t="shared" si="62"/>
        <v>0</v>
      </c>
      <c r="R109" s="545">
        <v>0</v>
      </c>
      <c r="S109" s="546">
        <v>0</v>
      </c>
      <c r="T109" s="546">
        <v>0</v>
      </c>
      <c r="U109" s="546">
        <v>0</v>
      </c>
      <c r="V109" s="546">
        <v>0</v>
      </c>
      <c r="W109" s="546">
        <v>0</v>
      </c>
      <c r="X109" s="544">
        <f t="shared" si="63"/>
        <v>0</v>
      </c>
      <c r="Y109" s="545">
        <v>0</v>
      </c>
      <c r="Z109" s="546">
        <v>0</v>
      </c>
      <c r="AA109" s="546">
        <v>899.91231200000004</v>
      </c>
      <c r="AB109" s="544">
        <f t="shared" si="53"/>
        <v>899.91231200000004</v>
      </c>
      <c r="AC109" s="547">
        <f t="shared" si="76"/>
        <v>899.91231200000004</v>
      </c>
      <c r="AD109" s="604" t="s">
        <v>816</v>
      </c>
      <c r="AE109" s="605" t="s">
        <v>816</v>
      </c>
      <c r="AF109" s="606">
        <f t="shared" si="64"/>
        <v>0</v>
      </c>
      <c r="AG109" s="604" t="s">
        <v>816</v>
      </c>
      <c r="AH109" s="605" t="s">
        <v>816</v>
      </c>
      <c r="AI109" s="605" t="s">
        <v>816</v>
      </c>
      <c r="AJ109" s="605" t="s">
        <v>816</v>
      </c>
      <c r="AK109" s="605" t="s">
        <v>816</v>
      </c>
      <c r="AL109" s="605" t="s">
        <v>816</v>
      </c>
      <c r="AM109" s="605" t="s">
        <v>816</v>
      </c>
      <c r="AN109" s="605" t="s">
        <v>816</v>
      </c>
      <c r="AO109" s="605" t="s">
        <v>816</v>
      </c>
      <c r="AP109" s="605" t="s">
        <v>816</v>
      </c>
      <c r="AQ109" s="606">
        <f t="shared" si="65"/>
        <v>0</v>
      </c>
      <c r="AR109" s="604" t="s">
        <v>816</v>
      </c>
      <c r="AS109" s="605" t="s">
        <v>816</v>
      </c>
      <c r="AT109" s="605" t="s">
        <v>816</v>
      </c>
      <c r="AU109" s="606">
        <f t="shared" si="66"/>
        <v>0</v>
      </c>
      <c r="AV109" s="604" t="s">
        <v>816</v>
      </c>
      <c r="AW109" s="605" t="s">
        <v>816</v>
      </c>
      <c r="AX109" s="605" t="s">
        <v>816</v>
      </c>
      <c r="AY109" s="605" t="s">
        <v>816</v>
      </c>
      <c r="AZ109" s="605" t="s">
        <v>816</v>
      </c>
      <c r="BA109" s="606">
        <f t="shared" si="67"/>
        <v>0</v>
      </c>
      <c r="BB109" s="604" t="s">
        <v>816</v>
      </c>
      <c r="BC109" s="605" t="s">
        <v>816</v>
      </c>
      <c r="BD109" s="605" t="s">
        <v>816</v>
      </c>
      <c r="BE109" s="605" t="s">
        <v>816</v>
      </c>
      <c r="BF109" s="605" t="s">
        <v>816</v>
      </c>
      <c r="BG109" s="605" t="s">
        <v>816</v>
      </c>
      <c r="BH109" s="605" t="s">
        <v>816</v>
      </c>
      <c r="BI109" s="606">
        <f t="shared" si="55"/>
        <v>0</v>
      </c>
      <c r="BJ109" s="551">
        <f t="shared" si="77"/>
        <v>0</v>
      </c>
      <c r="BK109" s="607"/>
      <c r="BL109" s="608">
        <v>90.12</v>
      </c>
      <c r="BM109" s="608"/>
      <c r="BN109" s="608"/>
      <c r="BO109" s="557">
        <f t="shared" si="78"/>
        <v>90.12</v>
      </c>
      <c r="BP109" s="607"/>
      <c r="BQ109" s="608"/>
      <c r="BR109" s="608"/>
      <c r="BS109" s="557">
        <f t="shared" si="83"/>
        <v>0</v>
      </c>
      <c r="BT109" s="607"/>
      <c r="BU109" s="557">
        <f t="shared" si="68"/>
        <v>0</v>
      </c>
      <c r="BV109" s="607"/>
      <c r="BW109" s="608"/>
      <c r="BX109" s="608"/>
      <c r="BY109" s="608"/>
      <c r="BZ109" s="608"/>
      <c r="CA109" s="608"/>
      <c r="CB109" s="608"/>
      <c r="CC109" s="608"/>
      <c r="CD109" s="608"/>
      <c r="CE109" s="557">
        <f t="shared" si="69"/>
        <v>0</v>
      </c>
      <c r="CF109" s="607"/>
      <c r="CG109" s="608"/>
      <c r="CH109" s="608"/>
      <c r="CI109" s="608"/>
      <c r="CJ109" s="608"/>
      <c r="CK109" s="608"/>
      <c r="CL109" s="608"/>
      <c r="CM109" s="557">
        <f t="shared" si="70"/>
        <v>0</v>
      </c>
      <c r="CN109" s="607"/>
      <c r="CO109" s="609">
        <f t="shared" si="71"/>
        <v>0</v>
      </c>
      <c r="CP109" s="610">
        <f t="shared" si="58"/>
        <v>90.12</v>
      </c>
      <c r="CQ109" s="545"/>
      <c r="CR109" s="546"/>
      <c r="CS109" s="544">
        <f t="shared" si="79"/>
        <v>0</v>
      </c>
      <c r="CT109" s="545"/>
      <c r="CU109" s="546"/>
      <c r="CV109" s="546"/>
      <c r="CW109" s="544">
        <f t="shared" si="80"/>
        <v>0</v>
      </c>
      <c r="CX109" s="547">
        <f t="shared" si="81"/>
        <v>0</v>
      </c>
      <c r="CY109" s="611">
        <f t="shared" si="82"/>
        <v>990.03231200000005</v>
      </c>
    </row>
    <row r="110" spans="1:103" s="561" customFormat="1">
      <c r="A110" s="538">
        <v>101</v>
      </c>
      <c r="B110" s="602" t="s">
        <v>346</v>
      </c>
      <c r="C110" s="603" t="s">
        <v>220</v>
      </c>
      <c r="D110" s="541" t="s">
        <v>829</v>
      </c>
      <c r="E110" s="545">
        <v>0</v>
      </c>
      <c r="F110" s="546">
        <v>0</v>
      </c>
      <c r="G110" s="546">
        <v>0</v>
      </c>
      <c r="H110" s="546">
        <v>0</v>
      </c>
      <c r="I110" s="544">
        <f t="shared" si="60"/>
        <v>0</v>
      </c>
      <c r="J110" s="545">
        <v>0</v>
      </c>
      <c r="K110" s="546">
        <v>0</v>
      </c>
      <c r="L110" s="546">
        <v>0</v>
      </c>
      <c r="M110" s="546">
        <v>0</v>
      </c>
      <c r="N110" s="544">
        <f t="shared" si="61"/>
        <v>0</v>
      </c>
      <c r="O110" s="545">
        <v>0</v>
      </c>
      <c r="P110" s="546">
        <v>0</v>
      </c>
      <c r="Q110" s="544">
        <f t="shared" si="62"/>
        <v>0</v>
      </c>
      <c r="R110" s="545">
        <v>0</v>
      </c>
      <c r="S110" s="546">
        <v>0</v>
      </c>
      <c r="T110" s="546">
        <v>0</v>
      </c>
      <c r="U110" s="546">
        <v>0</v>
      </c>
      <c r="V110" s="546">
        <v>0</v>
      </c>
      <c r="W110" s="546">
        <v>0</v>
      </c>
      <c r="X110" s="544">
        <f t="shared" si="63"/>
        <v>0</v>
      </c>
      <c r="Y110" s="545">
        <v>0</v>
      </c>
      <c r="Z110" s="546">
        <v>0</v>
      </c>
      <c r="AA110" s="546">
        <v>198.34999999999997</v>
      </c>
      <c r="AB110" s="544">
        <f t="shared" si="53"/>
        <v>198.34999999999997</v>
      </c>
      <c r="AC110" s="547">
        <f t="shared" si="76"/>
        <v>198.34999999999997</v>
      </c>
      <c r="AD110" s="604" t="s">
        <v>816</v>
      </c>
      <c r="AE110" s="605" t="s">
        <v>816</v>
      </c>
      <c r="AF110" s="606">
        <f t="shared" si="64"/>
        <v>0</v>
      </c>
      <c r="AG110" s="604" t="s">
        <v>816</v>
      </c>
      <c r="AH110" s="605" t="s">
        <v>816</v>
      </c>
      <c r="AI110" s="605" t="s">
        <v>816</v>
      </c>
      <c r="AJ110" s="605" t="s">
        <v>816</v>
      </c>
      <c r="AK110" s="605" t="s">
        <v>816</v>
      </c>
      <c r="AL110" s="605" t="s">
        <v>816</v>
      </c>
      <c r="AM110" s="605" t="s">
        <v>816</v>
      </c>
      <c r="AN110" s="605" t="s">
        <v>816</v>
      </c>
      <c r="AO110" s="605" t="s">
        <v>816</v>
      </c>
      <c r="AP110" s="605" t="s">
        <v>816</v>
      </c>
      <c r="AQ110" s="606">
        <f t="shared" si="65"/>
        <v>0</v>
      </c>
      <c r="AR110" s="604" t="s">
        <v>816</v>
      </c>
      <c r="AS110" s="605" t="s">
        <v>816</v>
      </c>
      <c r="AT110" s="605" t="s">
        <v>816</v>
      </c>
      <c r="AU110" s="606">
        <f t="shared" si="66"/>
        <v>0</v>
      </c>
      <c r="AV110" s="604" t="s">
        <v>816</v>
      </c>
      <c r="AW110" s="605" t="s">
        <v>816</v>
      </c>
      <c r="AX110" s="605" t="s">
        <v>816</v>
      </c>
      <c r="AY110" s="605" t="s">
        <v>816</v>
      </c>
      <c r="AZ110" s="605" t="s">
        <v>816</v>
      </c>
      <c r="BA110" s="606">
        <f t="shared" si="67"/>
        <v>0</v>
      </c>
      <c r="BB110" s="604" t="s">
        <v>816</v>
      </c>
      <c r="BC110" s="605" t="s">
        <v>816</v>
      </c>
      <c r="BD110" s="605" t="s">
        <v>816</v>
      </c>
      <c r="BE110" s="605" t="s">
        <v>816</v>
      </c>
      <c r="BF110" s="605" t="s">
        <v>816</v>
      </c>
      <c r="BG110" s="605" t="s">
        <v>816</v>
      </c>
      <c r="BH110" s="605" t="s">
        <v>816</v>
      </c>
      <c r="BI110" s="606">
        <f t="shared" si="55"/>
        <v>0</v>
      </c>
      <c r="BJ110" s="551">
        <f t="shared" si="77"/>
        <v>0</v>
      </c>
      <c r="BK110" s="607"/>
      <c r="BL110" s="608"/>
      <c r="BM110" s="608"/>
      <c r="BN110" s="608"/>
      <c r="BO110" s="557">
        <f t="shared" si="78"/>
        <v>0</v>
      </c>
      <c r="BP110" s="607"/>
      <c r="BQ110" s="608"/>
      <c r="BR110" s="608"/>
      <c r="BS110" s="557">
        <f t="shared" si="83"/>
        <v>0</v>
      </c>
      <c r="BT110" s="607"/>
      <c r="BU110" s="557">
        <f t="shared" si="68"/>
        <v>0</v>
      </c>
      <c r="BV110" s="607"/>
      <c r="BW110" s="608"/>
      <c r="BX110" s="608"/>
      <c r="BY110" s="608"/>
      <c r="BZ110" s="608"/>
      <c r="CA110" s="608"/>
      <c r="CB110" s="608"/>
      <c r="CC110" s="608"/>
      <c r="CD110" s="608"/>
      <c r="CE110" s="557">
        <f t="shared" si="69"/>
        <v>0</v>
      </c>
      <c r="CF110" s="607"/>
      <c r="CG110" s="608"/>
      <c r="CH110" s="608"/>
      <c r="CI110" s="608"/>
      <c r="CJ110" s="608"/>
      <c r="CK110" s="608"/>
      <c r="CL110" s="608"/>
      <c r="CM110" s="557">
        <f t="shared" si="70"/>
        <v>0</v>
      </c>
      <c r="CN110" s="607"/>
      <c r="CO110" s="609">
        <f t="shared" si="71"/>
        <v>0</v>
      </c>
      <c r="CP110" s="610">
        <f t="shared" si="58"/>
        <v>0</v>
      </c>
      <c r="CQ110" s="545"/>
      <c r="CR110" s="546"/>
      <c r="CS110" s="544">
        <f t="shared" si="79"/>
        <v>0</v>
      </c>
      <c r="CT110" s="545"/>
      <c r="CU110" s="546"/>
      <c r="CV110" s="546"/>
      <c r="CW110" s="544">
        <f t="shared" si="80"/>
        <v>0</v>
      </c>
      <c r="CX110" s="547">
        <f t="shared" si="81"/>
        <v>0</v>
      </c>
      <c r="CY110" s="611">
        <f t="shared" si="82"/>
        <v>198.34999999999997</v>
      </c>
    </row>
    <row r="111" spans="1:103" s="561" customFormat="1">
      <c r="A111" s="538">
        <v>102</v>
      </c>
      <c r="B111" s="602" t="s">
        <v>883</v>
      </c>
      <c r="C111" s="603" t="s">
        <v>884</v>
      </c>
      <c r="D111" s="541" t="s">
        <v>78</v>
      </c>
      <c r="E111" s="545">
        <v>0</v>
      </c>
      <c r="F111" s="546">
        <v>0</v>
      </c>
      <c r="G111" s="546">
        <v>0</v>
      </c>
      <c r="H111" s="546">
        <v>0</v>
      </c>
      <c r="I111" s="544">
        <f t="shared" si="60"/>
        <v>0</v>
      </c>
      <c r="J111" s="545">
        <v>0</v>
      </c>
      <c r="K111" s="546">
        <v>0</v>
      </c>
      <c r="L111" s="546">
        <v>0</v>
      </c>
      <c r="M111" s="546">
        <v>0</v>
      </c>
      <c r="N111" s="544">
        <f t="shared" si="61"/>
        <v>0</v>
      </c>
      <c r="O111" s="545">
        <v>0</v>
      </c>
      <c r="P111" s="546">
        <v>0</v>
      </c>
      <c r="Q111" s="544">
        <f t="shared" si="62"/>
        <v>0</v>
      </c>
      <c r="R111" s="545">
        <v>0</v>
      </c>
      <c r="S111" s="546">
        <v>0</v>
      </c>
      <c r="T111" s="546">
        <v>0</v>
      </c>
      <c r="U111" s="546">
        <v>0</v>
      </c>
      <c r="V111" s="546">
        <v>0</v>
      </c>
      <c r="W111" s="546">
        <v>0</v>
      </c>
      <c r="X111" s="544">
        <f t="shared" si="63"/>
        <v>0</v>
      </c>
      <c r="Y111" s="545">
        <v>0</v>
      </c>
      <c r="Z111" s="546">
        <v>0</v>
      </c>
      <c r="AA111" s="546">
        <v>161135.26169999992</v>
      </c>
      <c r="AB111" s="544">
        <f t="shared" si="53"/>
        <v>161135.26169999992</v>
      </c>
      <c r="AC111" s="547">
        <f t="shared" si="76"/>
        <v>161135.26169999992</v>
      </c>
      <c r="AD111" s="604" t="s">
        <v>816</v>
      </c>
      <c r="AE111" s="605" t="s">
        <v>816</v>
      </c>
      <c r="AF111" s="606">
        <f t="shared" si="64"/>
        <v>0</v>
      </c>
      <c r="AG111" s="604" t="s">
        <v>816</v>
      </c>
      <c r="AH111" s="605" t="s">
        <v>816</v>
      </c>
      <c r="AI111" s="605" t="s">
        <v>816</v>
      </c>
      <c r="AJ111" s="605" t="s">
        <v>816</v>
      </c>
      <c r="AK111" s="605" t="s">
        <v>816</v>
      </c>
      <c r="AL111" s="605" t="s">
        <v>816</v>
      </c>
      <c r="AM111" s="605" t="s">
        <v>816</v>
      </c>
      <c r="AN111" s="605" t="s">
        <v>816</v>
      </c>
      <c r="AO111" s="605" t="s">
        <v>816</v>
      </c>
      <c r="AP111" s="605" t="s">
        <v>816</v>
      </c>
      <c r="AQ111" s="606">
        <f t="shared" si="65"/>
        <v>0</v>
      </c>
      <c r="AR111" s="604" t="s">
        <v>816</v>
      </c>
      <c r="AS111" s="605" t="s">
        <v>816</v>
      </c>
      <c r="AT111" s="605" t="s">
        <v>816</v>
      </c>
      <c r="AU111" s="606">
        <f t="shared" si="66"/>
        <v>0</v>
      </c>
      <c r="AV111" s="604" t="s">
        <v>816</v>
      </c>
      <c r="AW111" s="605" t="s">
        <v>816</v>
      </c>
      <c r="AX111" s="605" t="s">
        <v>816</v>
      </c>
      <c r="AY111" s="605" t="s">
        <v>816</v>
      </c>
      <c r="AZ111" s="605" t="s">
        <v>816</v>
      </c>
      <c r="BA111" s="606">
        <f t="shared" si="67"/>
        <v>0</v>
      </c>
      <c r="BB111" s="604" t="s">
        <v>816</v>
      </c>
      <c r="BC111" s="605" t="s">
        <v>816</v>
      </c>
      <c r="BD111" s="605" t="s">
        <v>816</v>
      </c>
      <c r="BE111" s="605" t="s">
        <v>816</v>
      </c>
      <c r="BF111" s="605" t="s">
        <v>816</v>
      </c>
      <c r="BG111" s="605" t="s">
        <v>816</v>
      </c>
      <c r="BH111" s="605" t="s">
        <v>816</v>
      </c>
      <c r="BI111" s="606">
        <f t="shared" si="55"/>
        <v>0</v>
      </c>
      <c r="BJ111" s="551">
        <f t="shared" si="77"/>
        <v>0</v>
      </c>
      <c r="BK111" s="607"/>
      <c r="BL111" s="608">
        <v>11596.33</v>
      </c>
      <c r="BM111" s="608"/>
      <c r="BN111" s="608"/>
      <c r="BO111" s="557">
        <f t="shared" si="78"/>
        <v>11596.33</v>
      </c>
      <c r="BP111" s="607"/>
      <c r="BQ111" s="608"/>
      <c r="BR111" s="608"/>
      <c r="BS111" s="557">
        <f t="shared" si="83"/>
        <v>0</v>
      </c>
      <c r="BT111" s="607"/>
      <c r="BU111" s="557">
        <f t="shared" si="68"/>
        <v>0</v>
      </c>
      <c r="BV111" s="607"/>
      <c r="BW111" s="608"/>
      <c r="BX111" s="608"/>
      <c r="BY111" s="608"/>
      <c r="BZ111" s="608"/>
      <c r="CA111" s="608"/>
      <c r="CB111" s="608"/>
      <c r="CC111" s="608"/>
      <c r="CD111" s="608"/>
      <c r="CE111" s="557">
        <f t="shared" si="69"/>
        <v>0</v>
      </c>
      <c r="CF111" s="607"/>
      <c r="CG111" s="608"/>
      <c r="CH111" s="608"/>
      <c r="CI111" s="608"/>
      <c r="CJ111" s="608"/>
      <c r="CK111" s="608"/>
      <c r="CL111" s="608"/>
      <c r="CM111" s="557">
        <f t="shared" si="70"/>
        <v>0</v>
      </c>
      <c r="CN111" s="607"/>
      <c r="CO111" s="609">
        <f t="shared" si="71"/>
        <v>0</v>
      </c>
      <c r="CP111" s="610">
        <f t="shared" si="58"/>
        <v>11596.33</v>
      </c>
      <c r="CQ111" s="545"/>
      <c r="CR111" s="546"/>
      <c r="CS111" s="544">
        <f t="shared" si="79"/>
        <v>0</v>
      </c>
      <c r="CT111" s="545"/>
      <c r="CU111" s="546"/>
      <c r="CV111" s="546"/>
      <c r="CW111" s="544">
        <f t="shared" si="80"/>
        <v>0</v>
      </c>
      <c r="CX111" s="547">
        <f t="shared" si="81"/>
        <v>0</v>
      </c>
      <c r="CY111" s="611">
        <f t="shared" si="82"/>
        <v>172731.5916999999</v>
      </c>
    </row>
    <row r="112" spans="1:103" s="561" customFormat="1">
      <c r="A112" s="538">
        <v>103</v>
      </c>
      <c r="B112" s="602" t="s">
        <v>359</v>
      </c>
      <c r="C112" s="603" t="s">
        <v>939</v>
      </c>
      <c r="D112" s="541" t="s">
        <v>940</v>
      </c>
      <c r="E112" s="545">
        <v>0</v>
      </c>
      <c r="F112" s="546">
        <v>0</v>
      </c>
      <c r="G112" s="546">
        <v>0</v>
      </c>
      <c r="H112" s="546">
        <v>0</v>
      </c>
      <c r="I112" s="544">
        <f t="shared" si="60"/>
        <v>0</v>
      </c>
      <c r="J112" s="545">
        <v>0</v>
      </c>
      <c r="K112" s="546">
        <v>0</v>
      </c>
      <c r="L112" s="546">
        <v>0</v>
      </c>
      <c r="M112" s="546">
        <v>0</v>
      </c>
      <c r="N112" s="544">
        <f t="shared" si="61"/>
        <v>0</v>
      </c>
      <c r="O112" s="545">
        <v>0</v>
      </c>
      <c r="P112" s="546">
        <v>0</v>
      </c>
      <c r="Q112" s="544">
        <f t="shared" si="62"/>
        <v>0</v>
      </c>
      <c r="R112" s="545">
        <v>0</v>
      </c>
      <c r="S112" s="546">
        <v>0</v>
      </c>
      <c r="T112" s="546">
        <v>0</v>
      </c>
      <c r="U112" s="546">
        <v>0</v>
      </c>
      <c r="V112" s="546">
        <v>0</v>
      </c>
      <c r="W112" s="546">
        <v>0</v>
      </c>
      <c r="X112" s="544">
        <f t="shared" si="63"/>
        <v>0</v>
      </c>
      <c r="Y112" s="545">
        <v>0</v>
      </c>
      <c r="Z112" s="546">
        <v>0</v>
      </c>
      <c r="AA112" s="546">
        <v>160133.31200000001</v>
      </c>
      <c r="AB112" s="544">
        <f t="shared" si="53"/>
        <v>160133.31200000001</v>
      </c>
      <c r="AC112" s="547">
        <f t="shared" si="76"/>
        <v>160133.31200000001</v>
      </c>
      <c r="AD112" s="604" t="s">
        <v>816</v>
      </c>
      <c r="AE112" s="605" t="s">
        <v>816</v>
      </c>
      <c r="AF112" s="606">
        <f t="shared" si="64"/>
        <v>0</v>
      </c>
      <c r="AG112" s="604" t="s">
        <v>816</v>
      </c>
      <c r="AH112" s="605" t="s">
        <v>816</v>
      </c>
      <c r="AI112" s="605" t="s">
        <v>816</v>
      </c>
      <c r="AJ112" s="605" t="s">
        <v>816</v>
      </c>
      <c r="AK112" s="605" t="s">
        <v>816</v>
      </c>
      <c r="AL112" s="605" t="s">
        <v>816</v>
      </c>
      <c r="AM112" s="605" t="s">
        <v>816</v>
      </c>
      <c r="AN112" s="605" t="s">
        <v>816</v>
      </c>
      <c r="AO112" s="605" t="s">
        <v>816</v>
      </c>
      <c r="AP112" s="605" t="s">
        <v>816</v>
      </c>
      <c r="AQ112" s="606">
        <f t="shared" si="65"/>
        <v>0</v>
      </c>
      <c r="AR112" s="604" t="s">
        <v>816</v>
      </c>
      <c r="AS112" s="605" t="s">
        <v>816</v>
      </c>
      <c r="AT112" s="605" t="s">
        <v>816</v>
      </c>
      <c r="AU112" s="606">
        <f t="shared" si="66"/>
        <v>0</v>
      </c>
      <c r="AV112" s="604" t="s">
        <v>816</v>
      </c>
      <c r="AW112" s="605" t="s">
        <v>816</v>
      </c>
      <c r="AX112" s="605" t="s">
        <v>816</v>
      </c>
      <c r="AY112" s="605" t="s">
        <v>816</v>
      </c>
      <c r="AZ112" s="605" t="s">
        <v>816</v>
      </c>
      <c r="BA112" s="606">
        <f t="shared" si="67"/>
        <v>0</v>
      </c>
      <c r="BB112" s="604" t="s">
        <v>816</v>
      </c>
      <c r="BC112" s="605" t="s">
        <v>816</v>
      </c>
      <c r="BD112" s="605" t="s">
        <v>816</v>
      </c>
      <c r="BE112" s="605" t="s">
        <v>816</v>
      </c>
      <c r="BF112" s="605" t="s">
        <v>816</v>
      </c>
      <c r="BG112" s="605" t="s">
        <v>816</v>
      </c>
      <c r="BH112" s="605" t="s">
        <v>816</v>
      </c>
      <c r="BI112" s="606">
        <f t="shared" si="55"/>
        <v>0</v>
      </c>
      <c r="BJ112" s="551">
        <f t="shared" si="77"/>
        <v>0</v>
      </c>
      <c r="BK112" s="607"/>
      <c r="BL112" s="608"/>
      <c r="BM112" s="608"/>
      <c r="BN112" s="608"/>
      <c r="BO112" s="557">
        <f t="shared" si="78"/>
        <v>0</v>
      </c>
      <c r="BP112" s="607"/>
      <c r="BQ112" s="608"/>
      <c r="BR112" s="608"/>
      <c r="BS112" s="557">
        <f t="shared" si="83"/>
        <v>0</v>
      </c>
      <c r="BT112" s="607"/>
      <c r="BU112" s="557">
        <f t="shared" si="68"/>
        <v>0</v>
      </c>
      <c r="BV112" s="607"/>
      <c r="BW112" s="608"/>
      <c r="BX112" s="608"/>
      <c r="BY112" s="608"/>
      <c r="BZ112" s="608"/>
      <c r="CA112" s="608"/>
      <c r="CB112" s="608"/>
      <c r="CC112" s="608"/>
      <c r="CD112" s="608"/>
      <c r="CE112" s="557">
        <f t="shared" si="69"/>
        <v>0</v>
      </c>
      <c r="CF112" s="607"/>
      <c r="CG112" s="608"/>
      <c r="CH112" s="608"/>
      <c r="CI112" s="608"/>
      <c r="CJ112" s="608"/>
      <c r="CK112" s="608"/>
      <c r="CL112" s="608"/>
      <c r="CM112" s="557">
        <f t="shared" si="70"/>
        <v>0</v>
      </c>
      <c r="CN112" s="607"/>
      <c r="CO112" s="609">
        <f t="shared" si="71"/>
        <v>0</v>
      </c>
      <c r="CP112" s="610">
        <f t="shared" si="58"/>
        <v>0</v>
      </c>
      <c r="CQ112" s="545"/>
      <c r="CR112" s="546"/>
      <c r="CS112" s="544">
        <f t="shared" si="79"/>
        <v>0</v>
      </c>
      <c r="CT112" s="545"/>
      <c r="CU112" s="546"/>
      <c r="CV112" s="546"/>
      <c r="CW112" s="544">
        <f t="shared" si="80"/>
        <v>0</v>
      </c>
      <c r="CX112" s="547">
        <f t="shared" si="81"/>
        <v>0</v>
      </c>
      <c r="CY112" s="611">
        <f t="shared" si="82"/>
        <v>160133.31200000001</v>
      </c>
    </row>
    <row r="113" spans="1:103" s="561" customFormat="1">
      <c r="A113" s="538">
        <v>104</v>
      </c>
      <c r="B113" s="602" t="s">
        <v>941</v>
      </c>
      <c r="C113" s="603" t="s">
        <v>942</v>
      </c>
      <c r="D113" s="541" t="s">
        <v>943</v>
      </c>
      <c r="E113" s="545">
        <v>0</v>
      </c>
      <c r="F113" s="546">
        <v>0</v>
      </c>
      <c r="G113" s="546">
        <v>0</v>
      </c>
      <c r="H113" s="546">
        <v>0</v>
      </c>
      <c r="I113" s="544">
        <f t="shared" si="60"/>
        <v>0</v>
      </c>
      <c r="J113" s="545">
        <v>0</v>
      </c>
      <c r="K113" s="546">
        <v>0</v>
      </c>
      <c r="L113" s="546">
        <v>0</v>
      </c>
      <c r="M113" s="546">
        <v>0</v>
      </c>
      <c r="N113" s="544">
        <f t="shared" si="61"/>
        <v>0</v>
      </c>
      <c r="O113" s="545">
        <v>0</v>
      </c>
      <c r="P113" s="546">
        <v>0</v>
      </c>
      <c r="Q113" s="544">
        <f t="shared" si="62"/>
        <v>0</v>
      </c>
      <c r="R113" s="545">
        <v>0</v>
      </c>
      <c r="S113" s="546">
        <v>0</v>
      </c>
      <c r="T113" s="546">
        <v>0</v>
      </c>
      <c r="U113" s="546">
        <v>0</v>
      </c>
      <c r="V113" s="546">
        <v>0</v>
      </c>
      <c r="W113" s="546">
        <v>0</v>
      </c>
      <c r="X113" s="544">
        <f t="shared" si="63"/>
        <v>0</v>
      </c>
      <c r="Y113" s="545">
        <v>0</v>
      </c>
      <c r="Z113" s="546">
        <v>0</v>
      </c>
      <c r="AA113" s="546">
        <v>224</v>
      </c>
      <c r="AB113" s="544">
        <f t="shared" si="53"/>
        <v>224</v>
      </c>
      <c r="AC113" s="547">
        <f t="shared" si="76"/>
        <v>224</v>
      </c>
      <c r="AD113" s="604" t="s">
        <v>816</v>
      </c>
      <c r="AE113" s="605" t="s">
        <v>816</v>
      </c>
      <c r="AF113" s="606">
        <f t="shared" si="64"/>
        <v>0</v>
      </c>
      <c r="AG113" s="604" t="s">
        <v>816</v>
      </c>
      <c r="AH113" s="605" t="s">
        <v>816</v>
      </c>
      <c r="AI113" s="605" t="s">
        <v>816</v>
      </c>
      <c r="AJ113" s="605" t="s">
        <v>816</v>
      </c>
      <c r="AK113" s="605" t="s">
        <v>816</v>
      </c>
      <c r="AL113" s="605" t="s">
        <v>816</v>
      </c>
      <c r="AM113" s="605" t="s">
        <v>816</v>
      </c>
      <c r="AN113" s="605" t="s">
        <v>816</v>
      </c>
      <c r="AO113" s="605" t="s">
        <v>816</v>
      </c>
      <c r="AP113" s="605" t="s">
        <v>816</v>
      </c>
      <c r="AQ113" s="606">
        <f t="shared" si="65"/>
        <v>0</v>
      </c>
      <c r="AR113" s="604" t="s">
        <v>816</v>
      </c>
      <c r="AS113" s="605" t="s">
        <v>816</v>
      </c>
      <c r="AT113" s="605" t="s">
        <v>816</v>
      </c>
      <c r="AU113" s="606">
        <f t="shared" si="66"/>
        <v>0</v>
      </c>
      <c r="AV113" s="604" t="s">
        <v>816</v>
      </c>
      <c r="AW113" s="605" t="s">
        <v>816</v>
      </c>
      <c r="AX113" s="605" t="s">
        <v>816</v>
      </c>
      <c r="AY113" s="605" t="s">
        <v>816</v>
      </c>
      <c r="AZ113" s="605" t="s">
        <v>816</v>
      </c>
      <c r="BA113" s="606">
        <f t="shared" si="67"/>
        <v>0</v>
      </c>
      <c r="BB113" s="604" t="s">
        <v>816</v>
      </c>
      <c r="BC113" s="605" t="s">
        <v>816</v>
      </c>
      <c r="BD113" s="605" t="s">
        <v>816</v>
      </c>
      <c r="BE113" s="605" t="s">
        <v>816</v>
      </c>
      <c r="BF113" s="605" t="s">
        <v>816</v>
      </c>
      <c r="BG113" s="605" t="s">
        <v>816</v>
      </c>
      <c r="BH113" s="605" t="s">
        <v>816</v>
      </c>
      <c r="BI113" s="606">
        <f t="shared" si="55"/>
        <v>0</v>
      </c>
      <c r="BJ113" s="551">
        <f t="shared" si="77"/>
        <v>0</v>
      </c>
      <c r="BK113" s="607"/>
      <c r="BL113" s="608"/>
      <c r="BM113" s="608"/>
      <c r="BN113" s="608"/>
      <c r="BO113" s="557">
        <f t="shared" si="78"/>
        <v>0</v>
      </c>
      <c r="BP113" s="607"/>
      <c r="BQ113" s="608"/>
      <c r="BR113" s="608"/>
      <c r="BS113" s="557">
        <f t="shared" si="83"/>
        <v>0</v>
      </c>
      <c r="BT113" s="607"/>
      <c r="BU113" s="557">
        <f t="shared" si="68"/>
        <v>0</v>
      </c>
      <c r="BV113" s="607"/>
      <c r="BW113" s="608"/>
      <c r="BX113" s="608"/>
      <c r="BY113" s="608"/>
      <c r="BZ113" s="608"/>
      <c r="CA113" s="608"/>
      <c r="CB113" s="608"/>
      <c r="CC113" s="608"/>
      <c r="CD113" s="608"/>
      <c r="CE113" s="557">
        <f t="shared" si="69"/>
        <v>0</v>
      </c>
      <c r="CF113" s="607"/>
      <c r="CG113" s="608"/>
      <c r="CH113" s="608"/>
      <c r="CI113" s="608"/>
      <c r="CJ113" s="608"/>
      <c r="CK113" s="608"/>
      <c r="CL113" s="608"/>
      <c r="CM113" s="557">
        <f t="shared" si="70"/>
        <v>0</v>
      </c>
      <c r="CN113" s="607"/>
      <c r="CO113" s="609">
        <f t="shared" si="71"/>
        <v>0</v>
      </c>
      <c r="CP113" s="610">
        <f t="shared" si="58"/>
        <v>0</v>
      </c>
      <c r="CQ113" s="545"/>
      <c r="CR113" s="546"/>
      <c r="CS113" s="544">
        <f t="shared" si="79"/>
        <v>0</v>
      </c>
      <c r="CT113" s="545"/>
      <c r="CU113" s="546"/>
      <c r="CV113" s="546"/>
      <c r="CW113" s="544">
        <f t="shared" si="80"/>
        <v>0</v>
      </c>
      <c r="CX113" s="547">
        <f t="shared" si="81"/>
        <v>0</v>
      </c>
      <c r="CY113" s="611">
        <f t="shared" si="82"/>
        <v>224</v>
      </c>
    </row>
    <row r="114" spans="1:103" s="561" customFormat="1">
      <c r="A114" s="538">
        <v>105</v>
      </c>
      <c r="B114" s="602" t="s">
        <v>944</v>
      </c>
      <c r="C114" s="603" t="s">
        <v>945</v>
      </c>
      <c r="D114" s="541" t="s">
        <v>11</v>
      </c>
      <c r="E114" s="545">
        <v>0</v>
      </c>
      <c r="F114" s="546">
        <v>0</v>
      </c>
      <c r="G114" s="546">
        <v>0</v>
      </c>
      <c r="H114" s="546">
        <v>0</v>
      </c>
      <c r="I114" s="544">
        <f t="shared" si="60"/>
        <v>0</v>
      </c>
      <c r="J114" s="545">
        <v>0</v>
      </c>
      <c r="K114" s="546">
        <v>0</v>
      </c>
      <c r="L114" s="546">
        <v>0</v>
      </c>
      <c r="M114" s="546">
        <v>0</v>
      </c>
      <c r="N114" s="544">
        <f t="shared" si="61"/>
        <v>0</v>
      </c>
      <c r="O114" s="545">
        <v>0</v>
      </c>
      <c r="P114" s="546">
        <v>0</v>
      </c>
      <c r="Q114" s="544">
        <f t="shared" si="62"/>
        <v>0</v>
      </c>
      <c r="R114" s="545">
        <v>0</v>
      </c>
      <c r="S114" s="546">
        <v>0</v>
      </c>
      <c r="T114" s="546">
        <v>0</v>
      </c>
      <c r="U114" s="546">
        <v>0</v>
      </c>
      <c r="V114" s="546">
        <v>0</v>
      </c>
      <c r="W114" s="546">
        <v>0</v>
      </c>
      <c r="X114" s="544">
        <f t="shared" si="63"/>
        <v>0</v>
      </c>
      <c r="Y114" s="545">
        <v>0</v>
      </c>
      <c r="Z114" s="546">
        <v>0</v>
      </c>
      <c r="AA114" s="546">
        <v>23.2</v>
      </c>
      <c r="AB114" s="544">
        <f t="shared" si="53"/>
        <v>23.2</v>
      </c>
      <c r="AC114" s="547">
        <f t="shared" si="76"/>
        <v>23.2</v>
      </c>
      <c r="AD114" s="604" t="s">
        <v>816</v>
      </c>
      <c r="AE114" s="605" t="s">
        <v>816</v>
      </c>
      <c r="AF114" s="606">
        <f t="shared" si="64"/>
        <v>0</v>
      </c>
      <c r="AG114" s="604" t="s">
        <v>816</v>
      </c>
      <c r="AH114" s="605" t="s">
        <v>816</v>
      </c>
      <c r="AI114" s="605" t="s">
        <v>816</v>
      </c>
      <c r="AJ114" s="605" t="s">
        <v>816</v>
      </c>
      <c r="AK114" s="605" t="s">
        <v>816</v>
      </c>
      <c r="AL114" s="605" t="s">
        <v>816</v>
      </c>
      <c r="AM114" s="605" t="s">
        <v>816</v>
      </c>
      <c r="AN114" s="605" t="s">
        <v>816</v>
      </c>
      <c r="AO114" s="605" t="s">
        <v>816</v>
      </c>
      <c r="AP114" s="605" t="s">
        <v>816</v>
      </c>
      <c r="AQ114" s="606">
        <f t="shared" si="65"/>
        <v>0</v>
      </c>
      <c r="AR114" s="604" t="s">
        <v>816</v>
      </c>
      <c r="AS114" s="605" t="s">
        <v>816</v>
      </c>
      <c r="AT114" s="605" t="s">
        <v>816</v>
      </c>
      <c r="AU114" s="606">
        <f t="shared" si="66"/>
        <v>0</v>
      </c>
      <c r="AV114" s="604" t="s">
        <v>816</v>
      </c>
      <c r="AW114" s="605" t="s">
        <v>816</v>
      </c>
      <c r="AX114" s="605" t="s">
        <v>816</v>
      </c>
      <c r="AY114" s="605" t="s">
        <v>816</v>
      </c>
      <c r="AZ114" s="605" t="s">
        <v>816</v>
      </c>
      <c r="BA114" s="606">
        <f t="shared" si="67"/>
        <v>0</v>
      </c>
      <c r="BB114" s="604" t="s">
        <v>816</v>
      </c>
      <c r="BC114" s="605" t="s">
        <v>816</v>
      </c>
      <c r="BD114" s="605" t="s">
        <v>816</v>
      </c>
      <c r="BE114" s="605" t="s">
        <v>816</v>
      </c>
      <c r="BF114" s="605" t="s">
        <v>816</v>
      </c>
      <c r="BG114" s="605" t="s">
        <v>816</v>
      </c>
      <c r="BH114" s="605" t="s">
        <v>816</v>
      </c>
      <c r="BI114" s="606">
        <f t="shared" si="55"/>
        <v>0</v>
      </c>
      <c r="BJ114" s="551">
        <f t="shared" si="77"/>
        <v>0</v>
      </c>
      <c r="BK114" s="607"/>
      <c r="BL114" s="608">
        <v>30</v>
      </c>
      <c r="BM114" s="608"/>
      <c r="BN114" s="608"/>
      <c r="BO114" s="557">
        <f t="shared" si="78"/>
        <v>30</v>
      </c>
      <c r="BP114" s="607"/>
      <c r="BQ114" s="608"/>
      <c r="BR114" s="608"/>
      <c r="BS114" s="557">
        <f t="shared" si="83"/>
        <v>0</v>
      </c>
      <c r="BT114" s="607"/>
      <c r="BU114" s="557">
        <f t="shared" si="68"/>
        <v>0</v>
      </c>
      <c r="BV114" s="607"/>
      <c r="BW114" s="608"/>
      <c r="BX114" s="608"/>
      <c r="BY114" s="608"/>
      <c r="BZ114" s="608"/>
      <c r="CA114" s="608"/>
      <c r="CB114" s="608"/>
      <c r="CC114" s="608"/>
      <c r="CD114" s="608"/>
      <c r="CE114" s="557">
        <f t="shared" si="69"/>
        <v>0</v>
      </c>
      <c r="CF114" s="607"/>
      <c r="CG114" s="608"/>
      <c r="CH114" s="608"/>
      <c r="CI114" s="608"/>
      <c r="CJ114" s="608"/>
      <c r="CK114" s="608"/>
      <c r="CL114" s="608"/>
      <c r="CM114" s="557">
        <f t="shared" si="70"/>
        <v>0</v>
      </c>
      <c r="CN114" s="607"/>
      <c r="CO114" s="609">
        <f t="shared" si="71"/>
        <v>0</v>
      </c>
      <c r="CP114" s="610">
        <f t="shared" si="58"/>
        <v>30</v>
      </c>
      <c r="CQ114" s="545"/>
      <c r="CR114" s="546"/>
      <c r="CS114" s="544">
        <f t="shared" si="79"/>
        <v>0</v>
      </c>
      <c r="CT114" s="545"/>
      <c r="CU114" s="546"/>
      <c r="CV114" s="546"/>
      <c r="CW114" s="544">
        <f t="shared" si="80"/>
        <v>0</v>
      </c>
      <c r="CX114" s="547">
        <f t="shared" si="81"/>
        <v>0</v>
      </c>
      <c r="CY114" s="611">
        <f t="shared" si="82"/>
        <v>53.2</v>
      </c>
    </row>
    <row r="115" spans="1:103" s="561" customFormat="1" hidden="1">
      <c r="A115" s="538">
        <v>106</v>
      </c>
      <c r="B115" s="602" t="s">
        <v>946</v>
      </c>
      <c r="C115" s="603" t="s">
        <v>947</v>
      </c>
      <c r="D115" s="541" t="s">
        <v>829</v>
      </c>
      <c r="E115" s="545">
        <v>0</v>
      </c>
      <c r="F115" s="546">
        <v>0</v>
      </c>
      <c r="G115" s="546">
        <v>0</v>
      </c>
      <c r="H115" s="546">
        <v>0</v>
      </c>
      <c r="I115" s="544">
        <f t="shared" si="60"/>
        <v>0</v>
      </c>
      <c r="J115" s="545">
        <v>0</v>
      </c>
      <c r="K115" s="546">
        <v>0</v>
      </c>
      <c r="L115" s="546">
        <v>0</v>
      </c>
      <c r="M115" s="546">
        <v>0</v>
      </c>
      <c r="N115" s="544">
        <f t="shared" si="61"/>
        <v>0</v>
      </c>
      <c r="O115" s="545">
        <v>0</v>
      </c>
      <c r="P115" s="546">
        <v>0</v>
      </c>
      <c r="Q115" s="544">
        <f t="shared" si="62"/>
        <v>0</v>
      </c>
      <c r="R115" s="545">
        <v>0</v>
      </c>
      <c r="S115" s="546">
        <v>0</v>
      </c>
      <c r="T115" s="546">
        <v>0</v>
      </c>
      <c r="U115" s="546">
        <v>0</v>
      </c>
      <c r="V115" s="546">
        <v>0</v>
      </c>
      <c r="W115" s="546">
        <v>0</v>
      </c>
      <c r="X115" s="544">
        <f t="shared" si="63"/>
        <v>0</v>
      </c>
      <c r="Y115" s="545">
        <v>0</v>
      </c>
      <c r="Z115" s="546">
        <v>0</v>
      </c>
      <c r="AA115" s="546">
        <v>0</v>
      </c>
      <c r="AB115" s="544">
        <f t="shared" si="53"/>
        <v>0</v>
      </c>
      <c r="AC115" s="547">
        <f t="shared" si="76"/>
        <v>0</v>
      </c>
      <c r="AD115" s="604" t="s">
        <v>816</v>
      </c>
      <c r="AE115" s="605" t="s">
        <v>816</v>
      </c>
      <c r="AF115" s="606">
        <f t="shared" si="64"/>
        <v>0</v>
      </c>
      <c r="AG115" s="604" t="s">
        <v>816</v>
      </c>
      <c r="AH115" s="605" t="s">
        <v>816</v>
      </c>
      <c r="AI115" s="605" t="s">
        <v>816</v>
      </c>
      <c r="AJ115" s="605" t="s">
        <v>816</v>
      </c>
      <c r="AK115" s="605" t="s">
        <v>816</v>
      </c>
      <c r="AL115" s="605" t="s">
        <v>816</v>
      </c>
      <c r="AM115" s="605" t="s">
        <v>816</v>
      </c>
      <c r="AN115" s="605" t="s">
        <v>816</v>
      </c>
      <c r="AO115" s="605" t="s">
        <v>816</v>
      </c>
      <c r="AP115" s="605" t="s">
        <v>816</v>
      </c>
      <c r="AQ115" s="606">
        <f t="shared" si="65"/>
        <v>0</v>
      </c>
      <c r="AR115" s="604" t="s">
        <v>816</v>
      </c>
      <c r="AS115" s="605" t="s">
        <v>816</v>
      </c>
      <c r="AT115" s="605" t="s">
        <v>816</v>
      </c>
      <c r="AU115" s="606">
        <f t="shared" si="66"/>
        <v>0</v>
      </c>
      <c r="AV115" s="604" t="s">
        <v>816</v>
      </c>
      <c r="AW115" s="605" t="s">
        <v>816</v>
      </c>
      <c r="AX115" s="605" t="s">
        <v>816</v>
      </c>
      <c r="AY115" s="605" t="s">
        <v>816</v>
      </c>
      <c r="AZ115" s="605" t="s">
        <v>816</v>
      </c>
      <c r="BA115" s="606">
        <f t="shared" si="67"/>
        <v>0</v>
      </c>
      <c r="BB115" s="604" t="s">
        <v>816</v>
      </c>
      <c r="BC115" s="605" t="s">
        <v>816</v>
      </c>
      <c r="BD115" s="605" t="s">
        <v>816</v>
      </c>
      <c r="BE115" s="605" t="s">
        <v>816</v>
      </c>
      <c r="BF115" s="605" t="s">
        <v>816</v>
      </c>
      <c r="BG115" s="605" t="s">
        <v>816</v>
      </c>
      <c r="BH115" s="605" t="s">
        <v>816</v>
      </c>
      <c r="BI115" s="606">
        <f t="shared" si="55"/>
        <v>0</v>
      </c>
      <c r="BJ115" s="551">
        <f t="shared" si="77"/>
        <v>0</v>
      </c>
      <c r="BK115" s="607"/>
      <c r="BL115" s="608"/>
      <c r="BM115" s="608"/>
      <c r="BN115" s="608"/>
      <c r="BO115" s="557">
        <f t="shared" si="78"/>
        <v>0</v>
      </c>
      <c r="BP115" s="607"/>
      <c r="BQ115" s="608"/>
      <c r="BR115" s="608"/>
      <c r="BS115" s="557">
        <f t="shared" si="83"/>
        <v>0</v>
      </c>
      <c r="BT115" s="607"/>
      <c r="BU115" s="557">
        <f t="shared" si="68"/>
        <v>0</v>
      </c>
      <c r="BV115" s="607"/>
      <c r="BW115" s="608"/>
      <c r="BX115" s="608"/>
      <c r="BY115" s="608"/>
      <c r="BZ115" s="608"/>
      <c r="CA115" s="608"/>
      <c r="CB115" s="608"/>
      <c r="CC115" s="608"/>
      <c r="CD115" s="608"/>
      <c r="CE115" s="557">
        <f t="shared" si="69"/>
        <v>0</v>
      </c>
      <c r="CF115" s="607"/>
      <c r="CG115" s="608"/>
      <c r="CH115" s="608"/>
      <c r="CI115" s="608"/>
      <c r="CJ115" s="608"/>
      <c r="CK115" s="608"/>
      <c r="CL115" s="608"/>
      <c r="CM115" s="557">
        <f t="shared" si="70"/>
        <v>0</v>
      </c>
      <c r="CN115" s="607"/>
      <c r="CO115" s="609">
        <f t="shared" si="71"/>
        <v>0</v>
      </c>
      <c r="CP115" s="610">
        <f t="shared" si="58"/>
        <v>0</v>
      </c>
      <c r="CQ115" s="545"/>
      <c r="CR115" s="546"/>
      <c r="CS115" s="544">
        <f t="shared" si="79"/>
        <v>0</v>
      </c>
      <c r="CT115" s="545"/>
      <c r="CU115" s="546"/>
      <c r="CV115" s="546"/>
      <c r="CW115" s="544">
        <f t="shared" si="80"/>
        <v>0</v>
      </c>
      <c r="CX115" s="547">
        <f t="shared" si="81"/>
        <v>0</v>
      </c>
      <c r="CY115" s="611">
        <f t="shared" si="82"/>
        <v>0</v>
      </c>
    </row>
    <row r="116" spans="1:103" s="561" customFormat="1">
      <c r="A116" s="538">
        <v>107</v>
      </c>
      <c r="B116" s="602" t="s">
        <v>98</v>
      </c>
      <c r="C116" s="603" t="s">
        <v>948</v>
      </c>
      <c r="D116" s="541" t="s">
        <v>829</v>
      </c>
      <c r="E116" s="545">
        <v>0</v>
      </c>
      <c r="F116" s="546">
        <v>0</v>
      </c>
      <c r="G116" s="546">
        <v>0</v>
      </c>
      <c r="H116" s="546">
        <v>0</v>
      </c>
      <c r="I116" s="544">
        <f t="shared" si="60"/>
        <v>0</v>
      </c>
      <c r="J116" s="545">
        <v>0</v>
      </c>
      <c r="K116" s="546">
        <v>0</v>
      </c>
      <c r="L116" s="546">
        <v>0</v>
      </c>
      <c r="M116" s="546">
        <v>0</v>
      </c>
      <c r="N116" s="544">
        <f t="shared" si="61"/>
        <v>0</v>
      </c>
      <c r="O116" s="545">
        <v>0</v>
      </c>
      <c r="P116" s="546">
        <v>0</v>
      </c>
      <c r="Q116" s="544">
        <f t="shared" si="62"/>
        <v>0</v>
      </c>
      <c r="R116" s="545">
        <v>0</v>
      </c>
      <c r="S116" s="546">
        <v>0</v>
      </c>
      <c r="T116" s="546">
        <v>0</v>
      </c>
      <c r="U116" s="546">
        <v>0</v>
      </c>
      <c r="V116" s="546">
        <v>0</v>
      </c>
      <c r="W116" s="546">
        <v>0</v>
      </c>
      <c r="X116" s="544">
        <f t="shared" si="63"/>
        <v>0</v>
      </c>
      <c r="Y116" s="545">
        <v>0</v>
      </c>
      <c r="Z116" s="546">
        <v>0</v>
      </c>
      <c r="AA116" s="546">
        <v>576</v>
      </c>
      <c r="AB116" s="544">
        <f t="shared" si="53"/>
        <v>576</v>
      </c>
      <c r="AC116" s="547">
        <f t="shared" si="76"/>
        <v>576</v>
      </c>
      <c r="AD116" s="604" t="s">
        <v>816</v>
      </c>
      <c r="AE116" s="605" t="s">
        <v>816</v>
      </c>
      <c r="AF116" s="606">
        <f t="shared" si="64"/>
        <v>0</v>
      </c>
      <c r="AG116" s="604" t="s">
        <v>816</v>
      </c>
      <c r="AH116" s="605" t="s">
        <v>816</v>
      </c>
      <c r="AI116" s="605" t="s">
        <v>816</v>
      </c>
      <c r="AJ116" s="605" t="s">
        <v>816</v>
      </c>
      <c r="AK116" s="605" t="s">
        <v>816</v>
      </c>
      <c r="AL116" s="605" t="s">
        <v>816</v>
      </c>
      <c r="AM116" s="605" t="s">
        <v>816</v>
      </c>
      <c r="AN116" s="605" t="s">
        <v>816</v>
      </c>
      <c r="AO116" s="605" t="s">
        <v>816</v>
      </c>
      <c r="AP116" s="605" t="s">
        <v>816</v>
      </c>
      <c r="AQ116" s="606">
        <f t="shared" si="65"/>
        <v>0</v>
      </c>
      <c r="AR116" s="604" t="s">
        <v>816</v>
      </c>
      <c r="AS116" s="605" t="s">
        <v>816</v>
      </c>
      <c r="AT116" s="605" t="s">
        <v>816</v>
      </c>
      <c r="AU116" s="606">
        <f t="shared" si="66"/>
        <v>0</v>
      </c>
      <c r="AV116" s="604" t="s">
        <v>816</v>
      </c>
      <c r="AW116" s="605" t="s">
        <v>816</v>
      </c>
      <c r="AX116" s="605" t="s">
        <v>816</v>
      </c>
      <c r="AY116" s="605" t="s">
        <v>816</v>
      </c>
      <c r="AZ116" s="605" t="s">
        <v>816</v>
      </c>
      <c r="BA116" s="606">
        <f t="shared" si="67"/>
        <v>0</v>
      </c>
      <c r="BB116" s="604" t="s">
        <v>816</v>
      </c>
      <c r="BC116" s="605" t="s">
        <v>816</v>
      </c>
      <c r="BD116" s="605" t="s">
        <v>816</v>
      </c>
      <c r="BE116" s="605" t="s">
        <v>816</v>
      </c>
      <c r="BF116" s="605" t="s">
        <v>816</v>
      </c>
      <c r="BG116" s="605" t="s">
        <v>816</v>
      </c>
      <c r="BH116" s="605" t="s">
        <v>816</v>
      </c>
      <c r="BI116" s="606">
        <f t="shared" si="55"/>
        <v>0</v>
      </c>
      <c r="BJ116" s="551">
        <f t="shared" si="77"/>
        <v>0</v>
      </c>
      <c r="BK116" s="607"/>
      <c r="BL116" s="608"/>
      <c r="BM116" s="608"/>
      <c r="BN116" s="608"/>
      <c r="BO116" s="557">
        <f t="shared" si="78"/>
        <v>0</v>
      </c>
      <c r="BP116" s="607"/>
      <c r="BQ116" s="608"/>
      <c r="BR116" s="608"/>
      <c r="BS116" s="557">
        <f t="shared" si="83"/>
        <v>0</v>
      </c>
      <c r="BT116" s="607"/>
      <c r="BU116" s="557">
        <f t="shared" si="68"/>
        <v>0</v>
      </c>
      <c r="BV116" s="607"/>
      <c r="BW116" s="608"/>
      <c r="BX116" s="608"/>
      <c r="BY116" s="608"/>
      <c r="BZ116" s="608"/>
      <c r="CA116" s="608"/>
      <c r="CB116" s="608"/>
      <c r="CC116" s="608"/>
      <c r="CD116" s="608"/>
      <c r="CE116" s="557">
        <f t="shared" si="69"/>
        <v>0</v>
      </c>
      <c r="CF116" s="607"/>
      <c r="CG116" s="608"/>
      <c r="CH116" s="608"/>
      <c r="CI116" s="608"/>
      <c r="CJ116" s="608"/>
      <c r="CK116" s="608"/>
      <c r="CL116" s="608"/>
      <c r="CM116" s="557">
        <f t="shared" si="70"/>
        <v>0</v>
      </c>
      <c r="CN116" s="607"/>
      <c r="CO116" s="609">
        <f t="shared" si="71"/>
        <v>0</v>
      </c>
      <c r="CP116" s="610">
        <f t="shared" si="58"/>
        <v>0</v>
      </c>
      <c r="CQ116" s="545"/>
      <c r="CR116" s="546"/>
      <c r="CS116" s="544">
        <f t="shared" si="79"/>
        <v>0</v>
      </c>
      <c r="CT116" s="545"/>
      <c r="CU116" s="546"/>
      <c r="CV116" s="546"/>
      <c r="CW116" s="544">
        <f t="shared" si="80"/>
        <v>0</v>
      </c>
      <c r="CX116" s="547">
        <f t="shared" si="81"/>
        <v>0</v>
      </c>
      <c r="CY116" s="611">
        <f t="shared" si="82"/>
        <v>576</v>
      </c>
    </row>
    <row r="117" spans="1:103" s="635" customFormat="1">
      <c r="A117" s="617">
        <v>108</v>
      </c>
      <c r="B117" s="618"/>
      <c r="C117" s="619" t="s">
        <v>949</v>
      </c>
      <c r="D117" s="620"/>
      <c r="E117" s="621"/>
      <c r="F117" s="622"/>
      <c r="G117" s="622"/>
      <c r="H117" s="622"/>
      <c r="I117" s="623"/>
      <c r="J117" s="621"/>
      <c r="K117" s="622"/>
      <c r="L117" s="622"/>
      <c r="M117" s="622"/>
      <c r="N117" s="623"/>
      <c r="O117" s="621"/>
      <c r="P117" s="622"/>
      <c r="Q117" s="623"/>
      <c r="R117" s="621"/>
      <c r="S117" s="622"/>
      <c r="T117" s="622"/>
      <c r="U117" s="622"/>
      <c r="V117" s="622"/>
      <c r="W117" s="622"/>
      <c r="X117" s="623"/>
      <c r="Y117" s="621"/>
      <c r="Z117" s="622"/>
      <c r="AA117" s="622"/>
      <c r="AB117" s="623"/>
      <c r="AC117" s="624"/>
      <c r="AD117" s="625"/>
      <c r="AE117" s="626"/>
      <c r="AF117" s="627"/>
      <c r="AG117" s="625"/>
      <c r="AH117" s="626"/>
      <c r="AI117" s="626"/>
      <c r="AJ117" s="626"/>
      <c r="AK117" s="626"/>
      <c r="AL117" s="626"/>
      <c r="AM117" s="626"/>
      <c r="AN117" s="626"/>
      <c r="AO117" s="626"/>
      <c r="AP117" s="626"/>
      <c r="AQ117" s="627"/>
      <c r="AR117" s="625"/>
      <c r="AS117" s="626"/>
      <c r="AT117" s="626"/>
      <c r="AU117" s="627"/>
      <c r="AV117" s="625"/>
      <c r="AW117" s="626"/>
      <c r="AX117" s="626"/>
      <c r="AY117" s="626"/>
      <c r="AZ117" s="626"/>
      <c r="BA117" s="627"/>
      <c r="BB117" s="625"/>
      <c r="BC117" s="626"/>
      <c r="BD117" s="626"/>
      <c r="BE117" s="626"/>
      <c r="BF117" s="626"/>
      <c r="BG117" s="626"/>
      <c r="BH117" s="626"/>
      <c r="BI117" s="627"/>
      <c r="BJ117" s="628"/>
      <c r="BK117" s="629"/>
      <c r="BL117" s="630"/>
      <c r="BM117" s="630"/>
      <c r="BN117" s="630"/>
      <c r="BO117" s="631"/>
      <c r="BP117" s="629"/>
      <c r="BQ117" s="630"/>
      <c r="BR117" s="630"/>
      <c r="BS117" s="631"/>
      <c r="BT117" s="629"/>
      <c r="BU117" s="631"/>
      <c r="BV117" s="629"/>
      <c r="BW117" s="630"/>
      <c r="BX117" s="630"/>
      <c r="BY117" s="630"/>
      <c r="BZ117" s="630"/>
      <c r="CA117" s="630"/>
      <c r="CB117" s="630"/>
      <c r="CC117" s="630"/>
      <c r="CD117" s="630"/>
      <c r="CE117" s="631"/>
      <c r="CF117" s="629"/>
      <c r="CG117" s="630"/>
      <c r="CH117" s="630"/>
      <c r="CI117" s="630"/>
      <c r="CJ117" s="630"/>
      <c r="CK117" s="630"/>
      <c r="CL117" s="630"/>
      <c r="CM117" s="631"/>
      <c r="CN117" s="629"/>
      <c r="CO117" s="632"/>
      <c r="CP117" s="633"/>
      <c r="CQ117" s="621"/>
      <c r="CR117" s="622"/>
      <c r="CS117" s="623"/>
      <c r="CT117" s="621"/>
      <c r="CU117" s="622"/>
      <c r="CV117" s="622"/>
      <c r="CW117" s="623"/>
      <c r="CX117" s="624"/>
      <c r="CY117" s="634"/>
    </row>
    <row r="118" spans="1:103" s="561" customFormat="1" hidden="1">
      <c r="A118" s="538">
        <v>109</v>
      </c>
      <c r="B118" s="602" t="s">
        <v>857</v>
      </c>
      <c r="C118" s="603" t="s">
        <v>858</v>
      </c>
      <c r="D118" s="541" t="s">
        <v>829</v>
      </c>
      <c r="E118" s="545">
        <v>0</v>
      </c>
      <c r="F118" s="546">
        <v>0</v>
      </c>
      <c r="G118" s="546">
        <v>0</v>
      </c>
      <c r="H118" s="546">
        <v>0</v>
      </c>
      <c r="I118" s="544">
        <f t="shared" si="60"/>
        <v>0</v>
      </c>
      <c r="J118" s="545">
        <v>0</v>
      </c>
      <c r="K118" s="546">
        <v>0</v>
      </c>
      <c r="L118" s="546">
        <v>0</v>
      </c>
      <c r="M118" s="546">
        <v>0</v>
      </c>
      <c r="N118" s="544">
        <f t="shared" si="61"/>
        <v>0</v>
      </c>
      <c r="O118" s="545">
        <v>0</v>
      </c>
      <c r="P118" s="546">
        <v>0</v>
      </c>
      <c r="Q118" s="544">
        <f t="shared" si="62"/>
        <v>0</v>
      </c>
      <c r="R118" s="545">
        <v>0</v>
      </c>
      <c r="S118" s="546">
        <v>0</v>
      </c>
      <c r="T118" s="546">
        <v>0</v>
      </c>
      <c r="U118" s="546">
        <v>0</v>
      </c>
      <c r="V118" s="546">
        <v>0</v>
      </c>
      <c r="W118" s="546">
        <v>0</v>
      </c>
      <c r="X118" s="544">
        <f t="shared" si="63"/>
        <v>0</v>
      </c>
      <c r="Y118" s="545">
        <v>0</v>
      </c>
      <c r="Z118" s="546">
        <v>0</v>
      </c>
      <c r="AA118" s="546">
        <v>0</v>
      </c>
      <c r="AB118" s="544">
        <f t="shared" si="53"/>
        <v>0</v>
      </c>
      <c r="AC118" s="547">
        <f t="shared" ref="AC118:AC135" si="84">+IF(D118="",0,I118+N118+Q118+X118+AB118)</f>
        <v>0</v>
      </c>
      <c r="AD118" s="604" t="s">
        <v>816</v>
      </c>
      <c r="AE118" s="605" t="s">
        <v>816</v>
      </c>
      <c r="AF118" s="606">
        <f t="shared" si="64"/>
        <v>0</v>
      </c>
      <c r="AG118" s="604" t="s">
        <v>816</v>
      </c>
      <c r="AH118" s="605" t="s">
        <v>816</v>
      </c>
      <c r="AI118" s="605" t="s">
        <v>816</v>
      </c>
      <c r="AJ118" s="605" t="s">
        <v>816</v>
      </c>
      <c r="AK118" s="605" t="s">
        <v>816</v>
      </c>
      <c r="AL118" s="605" t="s">
        <v>816</v>
      </c>
      <c r="AM118" s="605" t="s">
        <v>816</v>
      </c>
      <c r="AN118" s="605" t="s">
        <v>816</v>
      </c>
      <c r="AO118" s="605" t="s">
        <v>816</v>
      </c>
      <c r="AP118" s="605" t="s">
        <v>816</v>
      </c>
      <c r="AQ118" s="606">
        <f t="shared" si="65"/>
        <v>0</v>
      </c>
      <c r="AR118" s="604" t="s">
        <v>816</v>
      </c>
      <c r="AS118" s="605" t="s">
        <v>816</v>
      </c>
      <c r="AT118" s="605" t="s">
        <v>816</v>
      </c>
      <c r="AU118" s="606">
        <f t="shared" si="66"/>
        <v>0</v>
      </c>
      <c r="AV118" s="604" t="s">
        <v>816</v>
      </c>
      <c r="AW118" s="605" t="s">
        <v>816</v>
      </c>
      <c r="AX118" s="605" t="s">
        <v>816</v>
      </c>
      <c r="AY118" s="605" t="s">
        <v>816</v>
      </c>
      <c r="AZ118" s="605" t="s">
        <v>816</v>
      </c>
      <c r="BA118" s="606">
        <f t="shared" si="67"/>
        <v>0</v>
      </c>
      <c r="BB118" s="604" t="s">
        <v>816</v>
      </c>
      <c r="BC118" s="605" t="s">
        <v>816</v>
      </c>
      <c r="BD118" s="605" t="s">
        <v>816</v>
      </c>
      <c r="BE118" s="605" t="s">
        <v>816</v>
      </c>
      <c r="BF118" s="605" t="s">
        <v>816</v>
      </c>
      <c r="BG118" s="605" t="s">
        <v>816</v>
      </c>
      <c r="BH118" s="605" t="s">
        <v>816</v>
      </c>
      <c r="BI118" s="606">
        <f t="shared" si="55"/>
        <v>0</v>
      </c>
      <c r="BJ118" s="551">
        <f t="shared" ref="BJ118:BJ135" si="85">IF(D118="",0,AF118+AQ118+AU118+BA118+BI118)</f>
        <v>0</v>
      </c>
      <c r="BK118" s="607"/>
      <c r="BL118" s="608"/>
      <c r="BM118" s="608"/>
      <c r="BN118" s="608"/>
      <c r="BO118" s="557">
        <f t="shared" ref="BO118:BO135" si="86">+BK118+BL118+BM118+BN118</f>
        <v>0</v>
      </c>
      <c r="BP118" s="607"/>
      <c r="BQ118" s="608"/>
      <c r="BR118" s="608"/>
      <c r="BS118" s="557">
        <f t="shared" si="83"/>
        <v>0</v>
      </c>
      <c r="BT118" s="607"/>
      <c r="BU118" s="557">
        <f t="shared" si="68"/>
        <v>0</v>
      </c>
      <c r="BV118" s="607"/>
      <c r="BW118" s="608"/>
      <c r="BX118" s="608"/>
      <c r="BY118" s="608"/>
      <c r="BZ118" s="608"/>
      <c r="CA118" s="608"/>
      <c r="CB118" s="608"/>
      <c r="CC118" s="608"/>
      <c r="CD118" s="608"/>
      <c r="CE118" s="557">
        <f t="shared" si="69"/>
        <v>0</v>
      </c>
      <c r="CF118" s="607"/>
      <c r="CG118" s="608"/>
      <c r="CH118" s="608"/>
      <c r="CI118" s="608"/>
      <c r="CJ118" s="608"/>
      <c r="CK118" s="608"/>
      <c r="CL118" s="608"/>
      <c r="CM118" s="557">
        <f t="shared" si="70"/>
        <v>0</v>
      </c>
      <c r="CN118" s="607"/>
      <c r="CO118" s="609">
        <f t="shared" si="71"/>
        <v>0</v>
      </c>
      <c r="CP118" s="610">
        <f t="shared" si="58"/>
        <v>0</v>
      </c>
      <c r="CQ118" s="545"/>
      <c r="CR118" s="546"/>
      <c r="CS118" s="544">
        <f t="shared" ref="CS118:CS135" si="87">+CQ118+CR118</f>
        <v>0</v>
      </c>
      <c r="CT118" s="545"/>
      <c r="CU118" s="546"/>
      <c r="CV118" s="546"/>
      <c r="CW118" s="544">
        <f t="shared" ref="CW118:CW135" si="88">+CT118+CU118+CV118</f>
        <v>0</v>
      </c>
      <c r="CX118" s="547">
        <f t="shared" ref="CX118:CX135" si="89">+CS118+CW118</f>
        <v>0</v>
      </c>
      <c r="CY118" s="611">
        <f t="shared" ref="CY118:CY135" si="90">IF(D118="",0,AC118+BJ118+CP118+CX118)</f>
        <v>0</v>
      </c>
    </row>
    <row r="119" spans="1:103" s="561" customFormat="1" hidden="1">
      <c r="A119" s="538">
        <v>110</v>
      </c>
      <c r="B119" s="602" t="s">
        <v>859</v>
      </c>
      <c r="C119" s="603" t="s">
        <v>860</v>
      </c>
      <c r="D119" s="541" t="s">
        <v>829</v>
      </c>
      <c r="E119" s="545">
        <v>0</v>
      </c>
      <c r="F119" s="546">
        <v>0</v>
      </c>
      <c r="G119" s="546">
        <v>0</v>
      </c>
      <c r="H119" s="546">
        <v>0</v>
      </c>
      <c r="I119" s="544">
        <f t="shared" si="60"/>
        <v>0</v>
      </c>
      <c r="J119" s="545">
        <v>0</v>
      </c>
      <c r="K119" s="546">
        <v>0</v>
      </c>
      <c r="L119" s="546">
        <v>0</v>
      </c>
      <c r="M119" s="546">
        <v>0</v>
      </c>
      <c r="N119" s="544">
        <f t="shared" si="61"/>
        <v>0</v>
      </c>
      <c r="O119" s="545">
        <v>0</v>
      </c>
      <c r="P119" s="546">
        <v>0</v>
      </c>
      <c r="Q119" s="544">
        <f t="shared" si="62"/>
        <v>0</v>
      </c>
      <c r="R119" s="545">
        <v>0</v>
      </c>
      <c r="S119" s="546">
        <v>0</v>
      </c>
      <c r="T119" s="546">
        <v>0</v>
      </c>
      <c r="U119" s="546">
        <v>0</v>
      </c>
      <c r="V119" s="546">
        <v>0</v>
      </c>
      <c r="W119" s="546">
        <v>0</v>
      </c>
      <c r="X119" s="544">
        <f t="shared" si="63"/>
        <v>0</v>
      </c>
      <c r="Y119" s="545">
        <v>0</v>
      </c>
      <c r="Z119" s="546">
        <v>0</v>
      </c>
      <c r="AA119" s="546">
        <v>0</v>
      </c>
      <c r="AB119" s="544">
        <f t="shared" si="53"/>
        <v>0</v>
      </c>
      <c r="AC119" s="547">
        <f t="shared" si="84"/>
        <v>0</v>
      </c>
      <c r="AD119" s="604" t="s">
        <v>816</v>
      </c>
      <c r="AE119" s="605" t="s">
        <v>816</v>
      </c>
      <c r="AF119" s="606">
        <f t="shared" si="64"/>
        <v>0</v>
      </c>
      <c r="AG119" s="604" t="s">
        <v>816</v>
      </c>
      <c r="AH119" s="605" t="s">
        <v>816</v>
      </c>
      <c r="AI119" s="605" t="s">
        <v>816</v>
      </c>
      <c r="AJ119" s="605" t="s">
        <v>816</v>
      </c>
      <c r="AK119" s="605" t="s">
        <v>816</v>
      </c>
      <c r="AL119" s="605" t="s">
        <v>816</v>
      </c>
      <c r="AM119" s="605" t="s">
        <v>816</v>
      </c>
      <c r="AN119" s="605" t="s">
        <v>816</v>
      </c>
      <c r="AO119" s="605" t="s">
        <v>816</v>
      </c>
      <c r="AP119" s="605" t="s">
        <v>816</v>
      </c>
      <c r="AQ119" s="606">
        <f t="shared" si="65"/>
        <v>0</v>
      </c>
      <c r="AR119" s="604" t="s">
        <v>816</v>
      </c>
      <c r="AS119" s="605" t="s">
        <v>816</v>
      </c>
      <c r="AT119" s="605" t="s">
        <v>816</v>
      </c>
      <c r="AU119" s="606">
        <f t="shared" si="66"/>
        <v>0</v>
      </c>
      <c r="AV119" s="604" t="s">
        <v>816</v>
      </c>
      <c r="AW119" s="605" t="s">
        <v>816</v>
      </c>
      <c r="AX119" s="605" t="s">
        <v>816</v>
      </c>
      <c r="AY119" s="605" t="s">
        <v>816</v>
      </c>
      <c r="AZ119" s="605" t="s">
        <v>816</v>
      </c>
      <c r="BA119" s="606">
        <f t="shared" si="67"/>
        <v>0</v>
      </c>
      <c r="BB119" s="604" t="s">
        <v>816</v>
      </c>
      <c r="BC119" s="605" t="s">
        <v>816</v>
      </c>
      <c r="BD119" s="605" t="s">
        <v>816</v>
      </c>
      <c r="BE119" s="605" t="s">
        <v>816</v>
      </c>
      <c r="BF119" s="605" t="s">
        <v>816</v>
      </c>
      <c r="BG119" s="605" t="s">
        <v>816</v>
      </c>
      <c r="BH119" s="605" t="s">
        <v>816</v>
      </c>
      <c r="BI119" s="606">
        <f t="shared" si="55"/>
        <v>0</v>
      </c>
      <c r="BJ119" s="551">
        <f t="shared" si="85"/>
        <v>0</v>
      </c>
      <c r="BK119" s="607"/>
      <c r="BL119" s="608"/>
      <c r="BM119" s="608"/>
      <c r="BN119" s="608"/>
      <c r="BO119" s="557">
        <f t="shared" si="86"/>
        <v>0</v>
      </c>
      <c r="BP119" s="607"/>
      <c r="BQ119" s="608"/>
      <c r="BR119" s="608"/>
      <c r="BS119" s="557">
        <f t="shared" si="83"/>
        <v>0</v>
      </c>
      <c r="BT119" s="607"/>
      <c r="BU119" s="557">
        <f t="shared" si="68"/>
        <v>0</v>
      </c>
      <c r="BV119" s="607"/>
      <c r="BW119" s="608"/>
      <c r="BX119" s="608"/>
      <c r="BY119" s="608"/>
      <c r="BZ119" s="608"/>
      <c r="CA119" s="608"/>
      <c r="CB119" s="608"/>
      <c r="CC119" s="608"/>
      <c r="CD119" s="608"/>
      <c r="CE119" s="557">
        <f t="shared" si="69"/>
        <v>0</v>
      </c>
      <c r="CF119" s="607"/>
      <c r="CG119" s="608"/>
      <c r="CH119" s="608"/>
      <c r="CI119" s="608"/>
      <c r="CJ119" s="608"/>
      <c r="CK119" s="608"/>
      <c r="CL119" s="608"/>
      <c r="CM119" s="557">
        <f t="shared" si="70"/>
        <v>0</v>
      </c>
      <c r="CN119" s="607"/>
      <c r="CO119" s="609">
        <f t="shared" si="71"/>
        <v>0</v>
      </c>
      <c r="CP119" s="610">
        <f t="shared" si="58"/>
        <v>0</v>
      </c>
      <c r="CQ119" s="545"/>
      <c r="CR119" s="546"/>
      <c r="CS119" s="544">
        <f t="shared" si="87"/>
        <v>0</v>
      </c>
      <c r="CT119" s="545"/>
      <c r="CU119" s="546"/>
      <c r="CV119" s="546"/>
      <c r="CW119" s="544">
        <f t="shared" si="88"/>
        <v>0</v>
      </c>
      <c r="CX119" s="547">
        <f t="shared" si="89"/>
        <v>0</v>
      </c>
      <c r="CY119" s="611">
        <f t="shared" si="90"/>
        <v>0</v>
      </c>
    </row>
    <row r="120" spans="1:103" s="561" customFormat="1" hidden="1">
      <c r="A120" s="538">
        <v>111</v>
      </c>
      <c r="B120" s="602" t="s">
        <v>506</v>
      </c>
      <c r="C120" s="603" t="s">
        <v>934</v>
      </c>
      <c r="D120" s="541" t="s">
        <v>827</v>
      </c>
      <c r="E120" s="545">
        <v>0</v>
      </c>
      <c r="F120" s="546">
        <v>0</v>
      </c>
      <c r="G120" s="546">
        <v>0</v>
      </c>
      <c r="H120" s="546">
        <v>0</v>
      </c>
      <c r="I120" s="544">
        <f t="shared" si="60"/>
        <v>0</v>
      </c>
      <c r="J120" s="545">
        <v>0</v>
      </c>
      <c r="K120" s="546">
        <v>0</v>
      </c>
      <c r="L120" s="546">
        <v>0</v>
      </c>
      <c r="M120" s="546">
        <v>0</v>
      </c>
      <c r="N120" s="544">
        <f t="shared" si="61"/>
        <v>0</v>
      </c>
      <c r="O120" s="545">
        <v>0</v>
      </c>
      <c r="P120" s="546">
        <v>0</v>
      </c>
      <c r="Q120" s="544">
        <f t="shared" si="62"/>
        <v>0</v>
      </c>
      <c r="R120" s="545">
        <v>0</v>
      </c>
      <c r="S120" s="546">
        <v>0</v>
      </c>
      <c r="T120" s="546">
        <v>0</v>
      </c>
      <c r="U120" s="546">
        <v>0</v>
      </c>
      <c r="V120" s="546">
        <v>0</v>
      </c>
      <c r="W120" s="546">
        <v>0</v>
      </c>
      <c r="X120" s="544">
        <f t="shared" si="63"/>
        <v>0</v>
      </c>
      <c r="Y120" s="545">
        <v>0</v>
      </c>
      <c r="Z120" s="546">
        <v>0</v>
      </c>
      <c r="AA120" s="546">
        <v>0</v>
      </c>
      <c r="AB120" s="544">
        <f t="shared" si="53"/>
        <v>0</v>
      </c>
      <c r="AC120" s="547">
        <f t="shared" si="84"/>
        <v>0</v>
      </c>
      <c r="AD120" s="604" t="s">
        <v>816</v>
      </c>
      <c r="AE120" s="605" t="s">
        <v>816</v>
      </c>
      <c r="AF120" s="606">
        <f t="shared" si="64"/>
        <v>0</v>
      </c>
      <c r="AG120" s="604" t="s">
        <v>816</v>
      </c>
      <c r="AH120" s="605" t="s">
        <v>816</v>
      </c>
      <c r="AI120" s="605" t="s">
        <v>816</v>
      </c>
      <c r="AJ120" s="605" t="s">
        <v>816</v>
      </c>
      <c r="AK120" s="605" t="s">
        <v>816</v>
      </c>
      <c r="AL120" s="605" t="s">
        <v>816</v>
      </c>
      <c r="AM120" s="605" t="s">
        <v>816</v>
      </c>
      <c r="AN120" s="605" t="s">
        <v>816</v>
      </c>
      <c r="AO120" s="605" t="s">
        <v>816</v>
      </c>
      <c r="AP120" s="605" t="s">
        <v>816</v>
      </c>
      <c r="AQ120" s="606">
        <f t="shared" si="65"/>
        <v>0</v>
      </c>
      <c r="AR120" s="604" t="s">
        <v>816</v>
      </c>
      <c r="AS120" s="605" t="s">
        <v>816</v>
      </c>
      <c r="AT120" s="605" t="s">
        <v>816</v>
      </c>
      <c r="AU120" s="606">
        <f t="shared" si="66"/>
        <v>0</v>
      </c>
      <c r="AV120" s="604" t="s">
        <v>816</v>
      </c>
      <c r="AW120" s="605" t="s">
        <v>816</v>
      </c>
      <c r="AX120" s="605" t="s">
        <v>816</v>
      </c>
      <c r="AY120" s="605" t="s">
        <v>816</v>
      </c>
      <c r="AZ120" s="605" t="s">
        <v>816</v>
      </c>
      <c r="BA120" s="606">
        <f t="shared" si="67"/>
        <v>0</v>
      </c>
      <c r="BB120" s="604" t="s">
        <v>816</v>
      </c>
      <c r="BC120" s="605" t="s">
        <v>816</v>
      </c>
      <c r="BD120" s="605" t="s">
        <v>816</v>
      </c>
      <c r="BE120" s="605" t="s">
        <v>816</v>
      </c>
      <c r="BF120" s="605" t="s">
        <v>816</v>
      </c>
      <c r="BG120" s="605" t="s">
        <v>816</v>
      </c>
      <c r="BH120" s="605" t="s">
        <v>816</v>
      </c>
      <c r="BI120" s="606">
        <f t="shared" si="55"/>
        <v>0</v>
      </c>
      <c r="BJ120" s="551">
        <f t="shared" si="85"/>
        <v>0</v>
      </c>
      <c r="BK120" s="607"/>
      <c r="BL120" s="608"/>
      <c r="BM120" s="608"/>
      <c r="BN120" s="608"/>
      <c r="BO120" s="557">
        <f t="shared" si="86"/>
        <v>0</v>
      </c>
      <c r="BP120" s="607"/>
      <c r="BQ120" s="608"/>
      <c r="BR120" s="608"/>
      <c r="BS120" s="557">
        <f t="shared" si="83"/>
        <v>0</v>
      </c>
      <c r="BT120" s="607"/>
      <c r="BU120" s="557">
        <f t="shared" si="68"/>
        <v>0</v>
      </c>
      <c r="BV120" s="607"/>
      <c r="BW120" s="608"/>
      <c r="BX120" s="608"/>
      <c r="BY120" s="608"/>
      <c r="BZ120" s="608"/>
      <c r="CA120" s="608"/>
      <c r="CB120" s="608"/>
      <c r="CC120" s="608"/>
      <c r="CD120" s="608"/>
      <c r="CE120" s="557">
        <f t="shared" si="69"/>
        <v>0</v>
      </c>
      <c r="CF120" s="607"/>
      <c r="CG120" s="608"/>
      <c r="CH120" s="608"/>
      <c r="CI120" s="608"/>
      <c r="CJ120" s="608"/>
      <c r="CK120" s="608"/>
      <c r="CL120" s="608"/>
      <c r="CM120" s="557">
        <f t="shared" si="70"/>
        <v>0</v>
      </c>
      <c r="CN120" s="607"/>
      <c r="CO120" s="609">
        <f t="shared" si="71"/>
        <v>0</v>
      </c>
      <c r="CP120" s="610">
        <f t="shared" si="58"/>
        <v>0</v>
      </c>
      <c r="CQ120" s="545"/>
      <c r="CR120" s="546"/>
      <c r="CS120" s="544">
        <f t="shared" si="87"/>
        <v>0</v>
      </c>
      <c r="CT120" s="545"/>
      <c r="CU120" s="546"/>
      <c r="CV120" s="546"/>
      <c r="CW120" s="544">
        <f t="shared" si="88"/>
        <v>0</v>
      </c>
      <c r="CX120" s="547">
        <f t="shared" si="89"/>
        <v>0</v>
      </c>
      <c r="CY120" s="611">
        <f t="shared" si="90"/>
        <v>0</v>
      </c>
    </row>
    <row r="121" spans="1:103" s="561" customFormat="1" ht="30" hidden="1">
      <c r="A121" s="538">
        <v>112</v>
      </c>
      <c r="B121" s="602" t="s">
        <v>396</v>
      </c>
      <c r="C121" s="603" t="s">
        <v>863</v>
      </c>
      <c r="D121" s="541" t="s">
        <v>829</v>
      </c>
      <c r="E121" s="545">
        <v>0</v>
      </c>
      <c r="F121" s="546">
        <v>0</v>
      </c>
      <c r="G121" s="546">
        <v>0</v>
      </c>
      <c r="H121" s="546">
        <v>0</v>
      </c>
      <c r="I121" s="544">
        <f t="shared" si="60"/>
        <v>0</v>
      </c>
      <c r="J121" s="545">
        <v>0</v>
      </c>
      <c r="K121" s="546">
        <v>0</v>
      </c>
      <c r="L121" s="546">
        <v>0</v>
      </c>
      <c r="M121" s="546">
        <v>0</v>
      </c>
      <c r="N121" s="544">
        <f t="shared" si="61"/>
        <v>0</v>
      </c>
      <c r="O121" s="545">
        <v>0</v>
      </c>
      <c r="P121" s="546">
        <v>0</v>
      </c>
      <c r="Q121" s="544">
        <f t="shared" si="62"/>
        <v>0</v>
      </c>
      <c r="R121" s="545">
        <v>0</v>
      </c>
      <c r="S121" s="546">
        <v>0</v>
      </c>
      <c r="T121" s="546">
        <v>0</v>
      </c>
      <c r="U121" s="546">
        <v>0</v>
      </c>
      <c r="V121" s="546">
        <v>0</v>
      </c>
      <c r="W121" s="546">
        <v>0</v>
      </c>
      <c r="X121" s="544">
        <f t="shared" si="63"/>
        <v>0</v>
      </c>
      <c r="Y121" s="545">
        <v>0</v>
      </c>
      <c r="Z121" s="546">
        <v>0</v>
      </c>
      <c r="AA121" s="546">
        <v>0</v>
      </c>
      <c r="AB121" s="544">
        <f t="shared" si="53"/>
        <v>0</v>
      </c>
      <c r="AC121" s="547">
        <f t="shared" si="84"/>
        <v>0</v>
      </c>
      <c r="AD121" s="604" t="s">
        <v>816</v>
      </c>
      <c r="AE121" s="605" t="s">
        <v>816</v>
      </c>
      <c r="AF121" s="606">
        <f t="shared" si="64"/>
        <v>0</v>
      </c>
      <c r="AG121" s="604" t="s">
        <v>816</v>
      </c>
      <c r="AH121" s="605" t="s">
        <v>816</v>
      </c>
      <c r="AI121" s="605" t="s">
        <v>816</v>
      </c>
      <c r="AJ121" s="605" t="s">
        <v>816</v>
      </c>
      <c r="AK121" s="605" t="s">
        <v>816</v>
      </c>
      <c r="AL121" s="605" t="s">
        <v>816</v>
      </c>
      <c r="AM121" s="605" t="s">
        <v>816</v>
      </c>
      <c r="AN121" s="605" t="s">
        <v>816</v>
      </c>
      <c r="AO121" s="605" t="s">
        <v>816</v>
      </c>
      <c r="AP121" s="605" t="s">
        <v>816</v>
      </c>
      <c r="AQ121" s="606">
        <f t="shared" si="65"/>
        <v>0</v>
      </c>
      <c r="AR121" s="604" t="s">
        <v>816</v>
      </c>
      <c r="AS121" s="605" t="s">
        <v>816</v>
      </c>
      <c r="AT121" s="605" t="s">
        <v>816</v>
      </c>
      <c r="AU121" s="606">
        <f t="shared" si="66"/>
        <v>0</v>
      </c>
      <c r="AV121" s="604" t="s">
        <v>816</v>
      </c>
      <c r="AW121" s="605" t="s">
        <v>816</v>
      </c>
      <c r="AX121" s="605" t="s">
        <v>816</v>
      </c>
      <c r="AY121" s="605" t="s">
        <v>816</v>
      </c>
      <c r="AZ121" s="605" t="s">
        <v>816</v>
      </c>
      <c r="BA121" s="606">
        <f t="shared" si="67"/>
        <v>0</v>
      </c>
      <c r="BB121" s="604" t="s">
        <v>816</v>
      </c>
      <c r="BC121" s="605" t="s">
        <v>816</v>
      </c>
      <c r="BD121" s="605" t="s">
        <v>816</v>
      </c>
      <c r="BE121" s="605" t="s">
        <v>816</v>
      </c>
      <c r="BF121" s="605" t="s">
        <v>816</v>
      </c>
      <c r="BG121" s="605" t="s">
        <v>816</v>
      </c>
      <c r="BH121" s="605" t="s">
        <v>816</v>
      </c>
      <c r="BI121" s="606">
        <f t="shared" si="55"/>
        <v>0</v>
      </c>
      <c r="BJ121" s="551">
        <f t="shared" si="85"/>
        <v>0</v>
      </c>
      <c r="BK121" s="607"/>
      <c r="BL121" s="608"/>
      <c r="BM121" s="608"/>
      <c r="BN121" s="608"/>
      <c r="BO121" s="557">
        <f t="shared" si="86"/>
        <v>0</v>
      </c>
      <c r="BP121" s="607"/>
      <c r="BQ121" s="608"/>
      <c r="BR121" s="608"/>
      <c r="BS121" s="557">
        <f t="shared" si="83"/>
        <v>0</v>
      </c>
      <c r="BT121" s="607"/>
      <c r="BU121" s="557">
        <f t="shared" si="68"/>
        <v>0</v>
      </c>
      <c r="BV121" s="607"/>
      <c r="BW121" s="608"/>
      <c r="BX121" s="608"/>
      <c r="BY121" s="608"/>
      <c r="BZ121" s="608"/>
      <c r="CA121" s="608"/>
      <c r="CB121" s="608"/>
      <c r="CC121" s="608"/>
      <c r="CD121" s="608"/>
      <c r="CE121" s="557">
        <f t="shared" si="69"/>
        <v>0</v>
      </c>
      <c r="CF121" s="607"/>
      <c r="CG121" s="608"/>
      <c r="CH121" s="608"/>
      <c r="CI121" s="608"/>
      <c r="CJ121" s="608"/>
      <c r="CK121" s="608"/>
      <c r="CL121" s="608"/>
      <c r="CM121" s="557">
        <f t="shared" si="70"/>
        <v>0</v>
      </c>
      <c r="CN121" s="607"/>
      <c r="CO121" s="609">
        <f t="shared" si="71"/>
        <v>0</v>
      </c>
      <c r="CP121" s="610">
        <f t="shared" si="58"/>
        <v>0</v>
      </c>
      <c r="CQ121" s="545"/>
      <c r="CR121" s="546"/>
      <c r="CS121" s="544">
        <f t="shared" si="87"/>
        <v>0</v>
      </c>
      <c r="CT121" s="545"/>
      <c r="CU121" s="546"/>
      <c r="CV121" s="546"/>
      <c r="CW121" s="544">
        <f t="shared" si="88"/>
        <v>0</v>
      </c>
      <c r="CX121" s="547">
        <f t="shared" si="89"/>
        <v>0</v>
      </c>
      <c r="CY121" s="611">
        <f t="shared" si="90"/>
        <v>0</v>
      </c>
    </row>
    <row r="122" spans="1:103" s="561" customFormat="1" ht="30" hidden="1">
      <c r="A122" s="538">
        <v>113</v>
      </c>
      <c r="B122" s="602" t="s">
        <v>935</v>
      </c>
      <c r="C122" s="603" t="s">
        <v>936</v>
      </c>
      <c r="D122" s="541" t="s">
        <v>11</v>
      </c>
      <c r="E122" s="545">
        <v>0</v>
      </c>
      <c r="F122" s="546">
        <v>0</v>
      </c>
      <c r="G122" s="546">
        <v>0</v>
      </c>
      <c r="H122" s="546">
        <v>0</v>
      </c>
      <c r="I122" s="544">
        <f t="shared" si="60"/>
        <v>0</v>
      </c>
      <c r="J122" s="545">
        <v>0</v>
      </c>
      <c r="K122" s="546">
        <v>0</v>
      </c>
      <c r="L122" s="546">
        <v>0</v>
      </c>
      <c r="M122" s="546">
        <v>0</v>
      </c>
      <c r="N122" s="544">
        <f t="shared" si="61"/>
        <v>0</v>
      </c>
      <c r="O122" s="545">
        <v>0</v>
      </c>
      <c r="P122" s="546">
        <v>0</v>
      </c>
      <c r="Q122" s="544">
        <f t="shared" si="62"/>
        <v>0</v>
      </c>
      <c r="R122" s="545">
        <v>0</v>
      </c>
      <c r="S122" s="546">
        <v>0</v>
      </c>
      <c r="T122" s="546">
        <v>0</v>
      </c>
      <c r="U122" s="546">
        <v>0</v>
      </c>
      <c r="V122" s="546">
        <v>0</v>
      </c>
      <c r="W122" s="546">
        <v>0</v>
      </c>
      <c r="X122" s="544">
        <f t="shared" si="63"/>
        <v>0</v>
      </c>
      <c r="Y122" s="545">
        <v>0</v>
      </c>
      <c r="Z122" s="546">
        <v>0</v>
      </c>
      <c r="AA122" s="546">
        <v>0</v>
      </c>
      <c r="AB122" s="544">
        <f t="shared" si="53"/>
        <v>0</v>
      </c>
      <c r="AC122" s="547">
        <f t="shared" si="84"/>
        <v>0</v>
      </c>
      <c r="AD122" s="604" t="s">
        <v>816</v>
      </c>
      <c r="AE122" s="605" t="s">
        <v>816</v>
      </c>
      <c r="AF122" s="606">
        <f t="shared" si="64"/>
        <v>0</v>
      </c>
      <c r="AG122" s="604" t="s">
        <v>816</v>
      </c>
      <c r="AH122" s="605" t="s">
        <v>816</v>
      </c>
      <c r="AI122" s="605" t="s">
        <v>816</v>
      </c>
      <c r="AJ122" s="605" t="s">
        <v>816</v>
      </c>
      <c r="AK122" s="605" t="s">
        <v>816</v>
      </c>
      <c r="AL122" s="605" t="s">
        <v>816</v>
      </c>
      <c r="AM122" s="605" t="s">
        <v>816</v>
      </c>
      <c r="AN122" s="605" t="s">
        <v>816</v>
      </c>
      <c r="AO122" s="605" t="s">
        <v>816</v>
      </c>
      <c r="AP122" s="605" t="s">
        <v>816</v>
      </c>
      <c r="AQ122" s="606">
        <f t="shared" si="65"/>
        <v>0</v>
      </c>
      <c r="AR122" s="604" t="s">
        <v>816</v>
      </c>
      <c r="AS122" s="605" t="s">
        <v>816</v>
      </c>
      <c r="AT122" s="605" t="s">
        <v>816</v>
      </c>
      <c r="AU122" s="606">
        <f t="shared" si="66"/>
        <v>0</v>
      </c>
      <c r="AV122" s="604" t="s">
        <v>816</v>
      </c>
      <c r="AW122" s="605" t="s">
        <v>816</v>
      </c>
      <c r="AX122" s="605" t="s">
        <v>816</v>
      </c>
      <c r="AY122" s="605" t="s">
        <v>816</v>
      </c>
      <c r="AZ122" s="605" t="s">
        <v>816</v>
      </c>
      <c r="BA122" s="606">
        <f t="shared" si="67"/>
        <v>0</v>
      </c>
      <c r="BB122" s="604" t="s">
        <v>816</v>
      </c>
      <c r="BC122" s="605" t="s">
        <v>816</v>
      </c>
      <c r="BD122" s="605" t="s">
        <v>816</v>
      </c>
      <c r="BE122" s="605" t="s">
        <v>816</v>
      </c>
      <c r="BF122" s="605" t="s">
        <v>816</v>
      </c>
      <c r="BG122" s="605" t="s">
        <v>816</v>
      </c>
      <c r="BH122" s="605" t="s">
        <v>816</v>
      </c>
      <c r="BI122" s="606">
        <f t="shared" si="55"/>
        <v>0</v>
      </c>
      <c r="BJ122" s="551">
        <f t="shared" si="85"/>
        <v>0</v>
      </c>
      <c r="BK122" s="607"/>
      <c r="BL122" s="608"/>
      <c r="BM122" s="608"/>
      <c r="BN122" s="608"/>
      <c r="BO122" s="557">
        <f t="shared" si="86"/>
        <v>0</v>
      </c>
      <c r="BP122" s="607"/>
      <c r="BQ122" s="608"/>
      <c r="BR122" s="608"/>
      <c r="BS122" s="557">
        <f t="shared" si="83"/>
        <v>0</v>
      </c>
      <c r="BT122" s="607"/>
      <c r="BU122" s="557">
        <f t="shared" si="68"/>
        <v>0</v>
      </c>
      <c r="BV122" s="607"/>
      <c r="BW122" s="608"/>
      <c r="BX122" s="608"/>
      <c r="BY122" s="608"/>
      <c r="BZ122" s="608"/>
      <c r="CA122" s="608"/>
      <c r="CB122" s="608"/>
      <c r="CC122" s="608"/>
      <c r="CD122" s="608"/>
      <c r="CE122" s="557">
        <f t="shared" si="69"/>
        <v>0</v>
      </c>
      <c r="CF122" s="607"/>
      <c r="CG122" s="608"/>
      <c r="CH122" s="608"/>
      <c r="CI122" s="608"/>
      <c r="CJ122" s="608"/>
      <c r="CK122" s="608"/>
      <c r="CL122" s="608"/>
      <c r="CM122" s="557">
        <f t="shared" si="70"/>
        <v>0</v>
      </c>
      <c r="CN122" s="607"/>
      <c r="CO122" s="609">
        <f t="shared" si="71"/>
        <v>0</v>
      </c>
      <c r="CP122" s="610">
        <f t="shared" si="58"/>
        <v>0</v>
      </c>
      <c r="CQ122" s="545"/>
      <c r="CR122" s="546"/>
      <c r="CS122" s="544">
        <f t="shared" si="87"/>
        <v>0</v>
      </c>
      <c r="CT122" s="545"/>
      <c r="CU122" s="546"/>
      <c r="CV122" s="546"/>
      <c r="CW122" s="544">
        <f t="shared" si="88"/>
        <v>0</v>
      </c>
      <c r="CX122" s="547">
        <f t="shared" si="89"/>
        <v>0</v>
      </c>
      <c r="CY122" s="611">
        <f t="shared" si="90"/>
        <v>0</v>
      </c>
    </row>
    <row r="123" spans="1:103" s="561" customFormat="1" hidden="1">
      <c r="A123" s="538">
        <v>114</v>
      </c>
      <c r="B123" s="602" t="s">
        <v>937</v>
      </c>
      <c r="C123" s="603" t="s">
        <v>938</v>
      </c>
      <c r="D123" s="541" t="s">
        <v>829</v>
      </c>
      <c r="E123" s="545">
        <v>0</v>
      </c>
      <c r="F123" s="546">
        <v>0</v>
      </c>
      <c r="G123" s="546">
        <v>0</v>
      </c>
      <c r="H123" s="546">
        <v>0</v>
      </c>
      <c r="I123" s="544">
        <f t="shared" si="60"/>
        <v>0</v>
      </c>
      <c r="J123" s="545">
        <v>0</v>
      </c>
      <c r="K123" s="546">
        <v>0</v>
      </c>
      <c r="L123" s="546">
        <v>0</v>
      </c>
      <c r="M123" s="546">
        <v>0</v>
      </c>
      <c r="N123" s="544">
        <f t="shared" si="61"/>
        <v>0</v>
      </c>
      <c r="O123" s="545">
        <v>0</v>
      </c>
      <c r="P123" s="546">
        <v>0</v>
      </c>
      <c r="Q123" s="544">
        <f t="shared" si="62"/>
        <v>0</v>
      </c>
      <c r="R123" s="545">
        <v>0</v>
      </c>
      <c r="S123" s="546">
        <v>0</v>
      </c>
      <c r="T123" s="546">
        <v>0</v>
      </c>
      <c r="U123" s="546">
        <v>0</v>
      </c>
      <c r="V123" s="546">
        <v>0</v>
      </c>
      <c r="W123" s="546">
        <v>0</v>
      </c>
      <c r="X123" s="544">
        <f t="shared" si="63"/>
        <v>0</v>
      </c>
      <c r="Y123" s="545">
        <v>0</v>
      </c>
      <c r="Z123" s="546">
        <v>0</v>
      </c>
      <c r="AA123" s="546">
        <v>0</v>
      </c>
      <c r="AB123" s="544">
        <f t="shared" si="53"/>
        <v>0</v>
      </c>
      <c r="AC123" s="547">
        <f t="shared" si="84"/>
        <v>0</v>
      </c>
      <c r="AD123" s="604" t="s">
        <v>816</v>
      </c>
      <c r="AE123" s="605" t="s">
        <v>816</v>
      </c>
      <c r="AF123" s="606">
        <f t="shared" si="64"/>
        <v>0</v>
      </c>
      <c r="AG123" s="604" t="s">
        <v>816</v>
      </c>
      <c r="AH123" s="605" t="s">
        <v>816</v>
      </c>
      <c r="AI123" s="605" t="s">
        <v>816</v>
      </c>
      <c r="AJ123" s="605" t="s">
        <v>816</v>
      </c>
      <c r="AK123" s="605" t="s">
        <v>816</v>
      </c>
      <c r="AL123" s="605" t="s">
        <v>816</v>
      </c>
      <c r="AM123" s="605" t="s">
        <v>816</v>
      </c>
      <c r="AN123" s="605" t="s">
        <v>816</v>
      </c>
      <c r="AO123" s="605" t="s">
        <v>816</v>
      </c>
      <c r="AP123" s="605" t="s">
        <v>816</v>
      </c>
      <c r="AQ123" s="606">
        <f t="shared" si="65"/>
        <v>0</v>
      </c>
      <c r="AR123" s="604" t="s">
        <v>816</v>
      </c>
      <c r="AS123" s="605" t="s">
        <v>816</v>
      </c>
      <c r="AT123" s="605" t="s">
        <v>816</v>
      </c>
      <c r="AU123" s="606">
        <f t="shared" si="66"/>
        <v>0</v>
      </c>
      <c r="AV123" s="604" t="s">
        <v>816</v>
      </c>
      <c r="AW123" s="605" t="s">
        <v>816</v>
      </c>
      <c r="AX123" s="605" t="s">
        <v>816</v>
      </c>
      <c r="AY123" s="605" t="s">
        <v>816</v>
      </c>
      <c r="AZ123" s="605" t="s">
        <v>816</v>
      </c>
      <c r="BA123" s="606">
        <f t="shared" si="67"/>
        <v>0</v>
      </c>
      <c r="BB123" s="604" t="s">
        <v>816</v>
      </c>
      <c r="BC123" s="605" t="s">
        <v>816</v>
      </c>
      <c r="BD123" s="605" t="s">
        <v>816</v>
      </c>
      <c r="BE123" s="605" t="s">
        <v>816</v>
      </c>
      <c r="BF123" s="605" t="s">
        <v>816</v>
      </c>
      <c r="BG123" s="605" t="s">
        <v>816</v>
      </c>
      <c r="BH123" s="605" t="s">
        <v>816</v>
      </c>
      <c r="BI123" s="606">
        <f t="shared" si="55"/>
        <v>0</v>
      </c>
      <c r="BJ123" s="551">
        <f t="shared" si="85"/>
        <v>0</v>
      </c>
      <c r="BK123" s="607"/>
      <c r="BL123" s="608"/>
      <c r="BM123" s="608"/>
      <c r="BN123" s="608"/>
      <c r="BO123" s="557">
        <f t="shared" si="86"/>
        <v>0</v>
      </c>
      <c r="BP123" s="607"/>
      <c r="BQ123" s="608"/>
      <c r="BR123" s="608"/>
      <c r="BS123" s="557">
        <f t="shared" si="83"/>
        <v>0</v>
      </c>
      <c r="BT123" s="607"/>
      <c r="BU123" s="557">
        <f t="shared" si="68"/>
        <v>0</v>
      </c>
      <c r="BV123" s="607"/>
      <c r="BW123" s="608"/>
      <c r="BX123" s="608"/>
      <c r="BY123" s="608"/>
      <c r="BZ123" s="608"/>
      <c r="CA123" s="608"/>
      <c r="CB123" s="608"/>
      <c r="CC123" s="608"/>
      <c r="CD123" s="608"/>
      <c r="CE123" s="557">
        <f t="shared" si="69"/>
        <v>0</v>
      </c>
      <c r="CF123" s="607"/>
      <c r="CG123" s="608"/>
      <c r="CH123" s="608"/>
      <c r="CI123" s="608"/>
      <c r="CJ123" s="608"/>
      <c r="CK123" s="608"/>
      <c r="CL123" s="608"/>
      <c r="CM123" s="557">
        <f t="shared" si="70"/>
        <v>0</v>
      </c>
      <c r="CN123" s="607"/>
      <c r="CO123" s="609">
        <f t="shared" si="71"/>
        <v>0</v>
      </c>
      <c r="CP123" s="610">
        <f t="shared" si="58"/>
        <v>0</v>
      </c>
      <c r="CQ123" s="545"/>
      <c r="CR123" s="546"/>
      <c r="CS123" s="544">
        <f t="shared" si="87"/>
        <v>0</v>
      </c>
      <c r="CT123" s="545"/>
      <c r="CU123" s="546"/>
      <c r="CV123" s="546"/>
      <c r="CW123" s="544">
        <f t="shared" si="88"/>
        <v>0</v>
      </c>
      <c r="CX123" s="547">
        <f t="shared" si="89"/>
        <v>0</v>
      </c>
      <c r="CY123" s="611">
        <f t="shared" si="90"/>
        <v>0</v>
      </c>
    </row>
    <row r="124" spans="1:103" s="561" customFormat="1" hidden="1">
      <c r="A124" s="538">
        <v>115</v>
      </c>
      <c r="B124" s="602" t="s">
        <v>85</v>
      </c>
      <c r="C124" s="603" t="s">
        <v>828</v>
      </c>
      <c r="D124" s="541" t="s">
        <v>829</v>
      </c>
      <c r="E124" s="545">
        <v>0</v>
      </c>
      <c r="F124" s="546">
        <v>0</v>
      </c>
      <c r="G124" s="546">
        <v>0</v>
      </c>
      <c r="H124" s="546">
        <v>0</v>
      </c>
      <c r="I124" s="544">
        <f t="shared" si="60"/>
        <v>0</v>
      </c>
      <c r="J124" s="545">
        <v>0</v>
      </c>
      <c r="K124" s="546">
        <v>0</v>
      </c>
      <c r="L124" s="546">
        <v>0</v>
      </c>
      <c r="M124" s="546">
        <v>0</v>
      </c>
      <c r="N124" s="544">
        <f t="shared" si="61"/>
        <v>0</v>
      </c>
      <c r="O124" s="545">
        <v>0</v>
      </c>
      <c r="P124" s="546">
        <v>0</v>
      </c>
      <c r="Q124" s="544">
        <f t="shared" si="62"/>
        <v>0</v>
      </c>
      <c r="R124" s="545">
        <v>0</v>
      </c>
      <c r="S124" s="546">
        <v>0</v>
      </c>
      <c r="T124" s="546">
        <v>0</v>
      </c>
      <c r="U124" s="546">
        <v>0</v>
      </c>
      <c r="V124" s="546">
        <v>0</v>
      </c>
      <c r="W124" s="546">
        <v>0</v>
      </c>
      <c r="X124" s="544">
        <f t="shared" si="63"/>
        <v>0</v>
      </c>
      <c r="Y124" s="545">
        <v>0</v>
      </c>
      <c r="Z124" s="546">
        <v>0</v>
      </c>
      <c r="AA124" s="546">
        <v>0</v>
      </c>
      <c r="AB124" s="544">
        <f t="shared" si="53"/>
        <v>0</v>
      </c>
      <c r="AC124" s="547">
        <f t="shared" si="84"/>
        <v>0</v>
      </c>
      <c r="AD124" s="604" t="s">
        <v>816</v>
      </c>
      <c r="AE124" s="605" t="s">
        <v>816</v>
      </c>
      <c r="AF124" s="606">
        <f t="shared" si="64"/>
        <v>0</v>
      </c>
      <c r="AG124" s="604" t="s">
        <v>816</v>
      </c>
      <c r="AH124" s="605" t="s">
        <v>816</v>
      </c>
      <c r="AI124" s="605" t="s">
        <v>816</v>
      </c>
      <c r="AJ124" s="605" t="s">
        <v>816</v>
      </c>
      <c r="AK124" s="605" t="s">
        <v>816</v>
      </c>
      <c r="AL124" s="605" t="s">
        <v>816</v>
      </c>
      <c r="AM124" s="605" t="s">
        <v>816</v>
      </c>
      <c r="AN124" s="605" t="s">
        <v>816</v>
      </c>
      <c r="AO124" s="605" t="s">
        <v>816</v>
      </c>
      <c r="AP124" s="605" t="s">
        <v>816</v>
      </c>
      <c r="AQ124" s="606">
        <f t="shared" si="65"/>
        <v>0</v>
      </c>
      <c r="AR124" s="604" t="s">
        <v>816</v>
      </c>
      <c r="AS124" s="605" t="s">
        <v>816</v>
      </c>
      <c r="AT124" s="605" t="s">
        <v>816</v>
      </c>
      <c r="AU124" s="606">
        <f t="shared" si="66"/>
        <v>0</v>
      </c>
      <c r="AV124" s="604" t="s">
        <v>816</v>
      </c>
      <c r="AW124" s="605" t="s">
        <v>816</v>
      </c>
      <c r="AX124" s="605" t="s">
        <v>816</v>
      </c>
      <c r="AY124" s="605" t="s">
        <v>816</v>
      </c>
      <c r="AZ124" s="605" t="s">
        <v>816</v>
      </c>
      <c r="BA124" s="606">
        <f t="shared" si="67"/>
        <v>0</v>
      </c>
      <c r="BB124" s="604" t="s">
        <v>816</v>
      </c>
      <c r="BC124" s="605" t="s">
        <v>816</v>
      </c>
      <c r="BD124" s="605" t="s">
        <v>816</v>
      </c>
      <c r="BE124" s="605" t="s">
        <v>816</v>
      </c>
      <c r="BF124" s="605" t="s">
        <v>816</v>
      </c>
      <c r="BG124" s="605" t="s">
        <v>816</v>
      </c>
      <c r="BH124" s="605" t="s">
        <v>816</v>
      </c>
      <c r="BI124" s="606">
        <f t="shared" si="55"/>
        <v>0</v>
      </c>
      <c r="BJ124" s="551">
        <f t="shared" si="85"/>
        <v>0</v>
      </c>
      <c r="BK124" s="607"/>
      <c r="BL124" s="608"/>
      <c r="BM124" s="608"/>
      <c r="BN124" s="608"/>
      <c r="BO124" s="557">
        <f t="shared" si="86"/>
        <v>0</v>
      </c>
      <c r="BP124" s="607"/>
      <c r="BQ124" s="608"/>
      <c r="BR124" s="608"/>
      <c r="BS124" s="557">
        <f t="shared" si="83"/>
        <v>0</v>
      </c>
      <c r="BT124" s="607"/>
      <c r="BU124" s="557">
        <f t="shared" si="68"/>
        <v>0</v>
      </c>
      <c r="BV124" s="607"/>
      <c r="BW124" s="608"/>
      <c r="BX124" s="608"/>
      <c r="BY124" s="608"/>
      <c r="BZ124" s="608"/>
      <c r="CA124" s="608"/>
      <c r="CB124" s="608"/>
      <c r="CC124" s="608"/>
      <c r="CD124" s="608"/>
      <c r="CE124" s="557">
        <f t="shared" si="69"/>
        <v>0</v>
      </c>
      <c r="CF124" s="607"/>
      <c r="CG124" s="608"/>
      <c r="CH124" s="608"/>
      <c r="CI124" s="608"/>
      <c r="CJ124" s="608"/>
      <c r="CK124" s="608"/>
      <c r="CL124" s="608"/>
      <c r="CM124" s="557">
        <f t="shared" si="70"/>
        <v>0</v>
      </c>
      <c r="CN124" s="607"/>
      <c r="CO124" s="609">
        <f t="shared" si="71"/>
        <v>0</v>
      </c>
      <c r="CP124" s="610">
        <f t="shared" si="58"/>
        <v>0</v>
      </c>
      <c r="CQ124" s="545"/>
      <c r="CR124" s="546"/>
      <c r="CS124" s="544">
        <f t="shared" si="87"/>
        <v>0</v>
      </c>
      <c r="CT124" s="545"/>
      <c r="CU124" s="546"/>
      <c r="CV124" s="546"/>
      <c r="CW124" s="544">
        <f t="shared" si="88"/>
        <v>0</v>
      </c>
      <c r="CX124" s="547">
        <f t="shared" si="89"/>
        <v>0</v>
      </c>
      <c r="CY124" s="611">
        <f t="shared" si="90"/>
        <v>0</v>
      </c>
    </row>
    <row r="125" spans="1:103" s="561" customFormat="1" hidden="1">
      <c r="A125" s="538">
        <v>116</v>
      </c>
      <c r="B125" s="602" t="s">
        <v>93</v>
      </c>
      <c r="C125" s="603" t="s">
        <v>272</v>
      </c>
      <c r="D125" s="541" t="s">
        <v>829</v>
      </c>
      <c r="E125" s="545">
        <v>0</v>
      </c>
      <c r="F125" s="546">
        <v>0</v>
      </c>
      <c r="G125" s="546">
        <v>0</v>
      </c>
      <c r="H125" s="546">
        <v>0</v>
      </c>
      <c r="I125" s="544">
        <f t="shared" si="60"/>
        <v>0</v>
      </c>
      <c r="J125" s="545">
        <v>0</v>
      </c>
      <c r="K125" s="546">
        <v>0</v>
      </c>
      <c r="L125" s="546">
        <v>0</v>
      </c>
      <c r="M125" s="546">
        <v>0</v>
      </c>
      <c r="N125" s="544">
        <f t="shared" si="61"/>
        <v>0</v>
      </c>
      <c r="O125" s="545">
        <v>0</v>
      </c>
      <c r="P125" s="546">
        <v>0</v>
      </c>
      <c r="Q125" s="544">
        <f t="shared" si="62"/>
        <v>0</v>
      </c>
      <c r="R125" s="545">
        <v>0</v>
      </c>
      <c r="S125" s="546">
        <v>0</v>
      </c>
      <c r="T125" s="546">
        <v>0</v>
      </c>
      <c r="U125" s="546">
        <v>0</v>
      </c>
      <c r="V125" s="546">
        <v>0</v>
      </c>
      <c r="W125" s="546">
        <v>0</v>
      </c>
      <c r="X125" s="544">
        <f t="shared" si="63"/>
        <v>0</v>
      </c>
      <c r="Y125" s="545">
        <v>0</v>
      </c>
      <c r="Z125" s="546">
        <v>0</v>
      </c>
      <c r="AA125" s="546">
        <v>0</v>
      </c>
      <c r="AB125" s="544">
        <f t="shared" si="53"/>
        <v>0</v>
      </c>
      <c r="AC125" s="547">
        <f t="shared" si="84"/>
        <v>0</v>
      </c>
      <c r="AD125" s="604" t="s">
        <v>816</v>
      </c>
      <c r="AE125" s="605" t="s">
        <v>816</v>
      </c>
      <c r="AF125" s="606">
        <f t="shared" si="64"/>
        <v>0</v>
      </c>
      <c r="AG125" s="604" t="s">
        <v>816</v>
      </c>
      <c r="AH125" s="605" t="s">
        <v>816</v>
      </c>
      <c r="AI125" s="605" t="s">
        <v>816</v>
      </c>
      <c r="AJ125" s="605" t="s">
        <v>816</v>
      </c>
      <c r="AK125" s="605" t="s">
        <v>816</v>
      </c>
      <c r="AL125" s="605" t="s">
        <v>816</v>
      </c>
      <c r="AM125" s="605" t="s">
        <v>816</v>
      </c>
      <c r="AN125" s="605" t="s">
        <v>816</v>
      </c>
      <c r="AO125" s="605" t="s">
        <v>816</v>
      </c>
      <c r="AP125" s="605" t="s">
        <v>816</v>
      </c>
      <c r="AQ125" s="606">
        <f t="shared" si="65"/>
        <v>0</v>
      </c>
      <c r="AR125" s="604" t="s">
        <v>816</v>
      </c>
      <c r="AS125" s="605" t="s">
        <v>816</v>
      </c>
      <c r="AT125" s="605" t="s">
        <v>816</v>
      </c>
      <c r="AU125" s="606">
        <f t="shared" si="66"/>
        <v>0</v>
      </c>
      <c r="AV125" s="604" t="s">
        <v>816</v>
      </c>
      <c r="AW125" s="605" t="s">
        <v>816</v>
      </c>
      <c r="AX125" s="605" t="s">
        <v>816</v>
      </c>
      <c r="AY125" s="605" t="s">
        <v>816</v>
      </c>
      <c r="AZ125" s="605" t="s">
        <v>816</v>
      </c>
      <c r="BA125" s="606">
        <f t="shared" si="67"/>
        <v>0</v>
      </c>
      <c r="BB125" s="604" t="s">
        <v>816</v>
      </c>
      <c r="BC125" s="605" t="s">
        <v>816</v>
      </c>
      <c r="BD125" s="605" t="s">
        <v>816</v>
      </c>
      <c r="BE125" s="605" t="s">
        <v>816</v>
      </c>
      <c r="BF125" s="605" t="s">
        <v>816</v>
      </c>
      <c r="BG125" s="605" t="s">
        <v>816</v>
      </c>
      <c r="BH125" s="605" t="s">
        <v>816</v>
      </c>
      <c r="BI125" s="606">
        <f t="shared" si="55"/>
        <v>0</v>
      </c>
      <c r="BJ125" s="551">
        <f t="shared" si="85"/>
        <v>0</v>
      </c>
      <c r="BK125" s="607"/>
      <c r="BL125" s="608"/>
      <c r="BM125" s="608"/>
      <c r="BN125" s="608"/>
      <c r="BO125" s="557">
        <f t="shared" si="86"/>
        <v>0</v>
      </c>
      <c r="BP125" s="607"/>
      <c r="BQ125" s="608"/>
      <c r="BR125" s="608"/>
      <c r="BS125" s="557">
        <f t="shared" si="83"/>
        <v>0</v>
      </c>
      <c r="BT125" s="607"/>
      <c r="BU125" s="557">
        <f t="shared" si="68"/>
        <v>0</v>
      </c>
      <c r="BV125" s="607"/>
      <c r="BW125" s="608"/>
      <c r="BX125" s="608"/>
      <c r="BY125" s="608"/>
      <c r="BZ125" s="608"/>
      <c r="CA125" s="608"/>
      <c r="CB125" s="608"/>
      <c r="CC125" s="608"/>
      <c r="CD125" s="608"/>
      <c r="CE125" s="557">
        <f t="shared" si="69"/>
        <v>0</v>
      </c>
      <c r="CF125" s="607"/>
      <c r="CG125" s="608"/>
      <c r="CH125" s="608"/>
      <c r="CI125" s="608"/>
      <c r="CJ125" s="608"/>
      <c r="CK125" s="608"/>
      <c r="CL125" s="608"/>
      <c r="CM125" s="557">
        <f t="shared" si="70"/>
        <v>0</v>
      </c>
      <c r="CN125" s="607"/>
      <c r="CO125" s="609">
        <f t="shared" si="71"/>
        <v>0</v>
      </c>
      <c r="CP125" s="610">
        <f t="shared" si="58"/>
        <v>0</v>
      </c>
      <c r="CQ125" s="545"/>
      <c r="CR125" s="546"/>
      <c r="CS125" s="544">
        <f t="shared" si="87"/>
        <v>0</v>
      </c>
      <c r="CT125" s="545"/>
      <c r="CU125" s="546"/>
      <c r="CV125" s="546"/>
      <c r="CW125" s="544">
        <f t="shared" si="88"/>
        <v>0</v>
      </c>
      <c r="CX125" s="547">
        <f t="shared" si="89"/>
        <v>0</v>
      </c>
      <c r="CY125" s="611">
        <f t="shared" si="90"/>
        <v>0</v>
      </c>
    </row>
    <row r="126" spans="1:103" s="561" customFormat="1" hidden="1">
      <c r="A126" s="538">
        <v>117</v>
      </c>
      <c r="B126" s="602" t="s">
        <v>346</v>
      </c>
      <c r="C126" s="603" t="s">
        <v>220</v>
      </c>
      <c r="D126" s="541" t="s">
        <v>829</v>
      </c>
      <c r="E126" s="545">
        <v>0</v>
      </c>
      <c r="F126" s="546">
        <v>0</v>
      </c>
      <c r="G126" s="546">
        <v>0</v>
      </c>
      <c r="H126" s="546">
        <v>0</v>
      </c>
      <c r="I126" s="544">
        <f t="shared" si="60"/>
        <v>0</v>
      </c>
      <c r="J126" s="545">
        <v>0</v>
      </c>
      <c r="K126" s="546">
        <v>0</v>
      </c>
      <c r="L126" s="546">
        <v>0</v>
      </c>
      <c r="M126" s="546">
        <v>0</v>
      </c>
      <c r="N126" s="544">
        <f t="shared" si="61"/>
        <v>0</v>
      </c>
      <c r="O126" s="545">
        <v>0</v>
      </c>
      <c r="P126" s="546">
        <v>0</v>
      </c>
      <c r="Q126" s="544">
        <f t="shared" si="62"/>
        <v>0</v>
      </c>
      <c r="R126" s="545">
        <v>0</v>
      </c>
      <c r="S126" s="546">
        <v>0</v>
      </c>
      <c r="T126" s="546">
        <v>0</v>
      </c>
      <c r="U126" s="546">
        <v>0</v>
      </c>
      <c r="V126" s="546">
        <v>0</v>
      </c>
      <c r="W126" s="546">
        <v>0</v>
      </c>
      <c r="X126" s="544">
        <f t="shared" si="63"/>
        <v>0</v>
      </c>
      <c r="Y126" s="545">
        <v>0</v>
      </c>
      <c r="Z126" s="546">
        <v>0</v>
      </c>
      <c r="AA126" s="546">
        <v>0</v>
      </c>
      <c r="AB126" s="544">
        <f t="shared" si="53"/>
        <v>0</v>
      </c>
      <c r="AC126" s="547">
        <f t="shared" si="84"/>
        <v>0</v>
      </c>
      <c r="AD126" s="604" t="s">
        <v>816</v>
      </c>
      <c r="AE126" s="605" t="s">
        <v>816</v>
      </c>
      <c r="AF126" s="606">
        <f t="shared" si="64"/>
        <v>0</v>
      </c>
      <c r="AG126" s="604" t="s">
        <v>816</v>
      </c>
      <c r="AH126" s="605" t="s">
        <v>816</v>
      </c>
      <c r="AI126" s="605" t="s">
        <v>816</v>
      </c>
      <c r="AJ126" s="605" t="s">
        <v>816</v>
      </c>
      <c r="AK126" s="605" t="s">
        <v>816</v>
      </c>
      <c r="AL126" s="605" t="s">
        <v>816</v>
      </c>
      <c r="AM126" s="605" t="s">
        <v>816</v>
      </c>
      <c r="AN126" s="605" t="s">
        <v>816</v>
      </c>
      <c r="AO126" s="605" t="s">
        <v>816</v>
      </c>
      <c r="AP126" s="605" t="s">
        <v>816</v>
      </c>
      <c r="AQ126" s="606">
        <f t="shared" si="65"/>
        <v>0</v>
      </c>
      <c r="AR126" s="604" t="s">
        <v>816</v>
      </c>
      <c r="AS126" s="605" t="s">
        <v>816</v>
      </c>
      <c r="AT126" s="605" t="s">
        <v>816</v>
      </c>
      <c r="AU126" s="606">
        <f t="shared" si="66"/>
        <v>0</v>
      </c>
      <c r="AV126" s="604" t="s">
        <v>816</v>
      </c>
      <c r="AW126" s="605" t="s">
        <v>816</v>
      </c>
      <c r="AX126" s="605" t="s">
        <v>816</v>
      </c>
      <c r="AY126" s="605" t="s">
        <v>816</v>
      </c>
      <c r="AZ126" s="605" t="s">
        <v>816</v>
      </c>
      <c r="BA126" s="606">
        <f t="shared" si="67"/>
        <v>0</v>
      </c>
      <c r="BB126" s="604" t="s">
        <v>816</v>
      </c>
      <c r="BC126" s="605" t="s">
        <v>816</v>
      </c>
      <c r="BD126" s="605" t="s">
        <v>816</v>
      </c>
      <c r="BE126" s="605" t="s">
        <v>816</v>
      </c>
      <c r="BF126" s="605" t="s">
        <v>816</v>
      </c>
      <c r="BG126" s="605" t="s">
        <v>816</v>
      </c>
      <c r="BH126" s="605" t="s">
        <v>816</v>
      </c>
      <c r="BI126" s="606">
        <f t="shared" si="55"/>
        <v>0</v>
      </c>
      <c r="BJ126" s="551">
        <f t="shared" si="85"/>
        <v>0</v>
      </c>
      <c r="BK126" s="607"/>
      <c r="BL126" s="608"/>
      <c r="BM126" s="608"/>
      <c r="BN126" s="608"/>
      <c r="BO126" s="557">
        <f t="shared" si="86"/>
        <v>0</v>
      </c>
      <c r="BP126" s="607"/>
      <c r="BQ126" s="608"/>
      <c r="BR126" s="608"/>
      <c r="BS126" s="557">
        <f t="shared" si="83"/>
        <v>0</v>
      </c>
      <c r="BT126" s="607"/>
      <c r="BU126" s="557">
        <f t="shared" si="68"/>
        <v>0</v>
      </c>
      <c r="BV126" s="607"/>
      <c r="BW126" s="608"/>
      <c r="BX126" s="608"/>
      <c r="BY126" s="608"/>
      <c r="BZ126" s="608"/>
      <c r="CA126" s="608"/>
      <c r="CB126" s="608"/>
      <c r="CC126" s="608"/>
      <c r="CD126" s="608"/>
      <c r="CE126" s="557">
        <f t="shared" si="69"/>
        <v>0</v>
      </c>
      <c r="CF126" s="607"/>
      <c r="CG126" s="608"/>
      <c r="CH126" s="608"/>
      <c r="CI126" s="608"/>
      <c r="CJ126" s="608"/>
      <c r="CK126" s="608"/>
      <c r="CL126" s="608"/>
      <c r="CM126" s="557">
        <f t="shared" si="70"/>
        <v>0</v>
      </c>
      <c r="CN126" s="607"/>
      <c r="CO126" s="609">
        <f t="shared" si="71"/>
        <v>0</v>
      </c>
      <c r="CP126" s="610">
        <f t="shared" si="58"/>
        <v>0</v>
      </c>
      <c r="CQ126" s="545"/>
      <c r="CR126" s="546"/>
      <c r="CS126" s="544">
        <f t="shared" si="87"/>
        <v>0</v>
      </c>
      <c r="CT126" s="545"/>
      <c r="CU126" s="546"/>
      <c r="CV126" s="546"/>
      <c r="CW126" s="544">
        <f t="shared" si="88"/>
        <v>0</v>
      </c>
      <c r="CX126" s="547">
        <f t="shared" si="89"/>
        <v>0</v>
      </c>
      <c r="CY126" s="611">
        <f t="shared" si="90"/>
        <v>0</v>
      </c>
    </row>
    <row r="127" spans="1:103" s="561" customFormat="1" hidden="1">
      <c r="A127" s="538">
        <v>118</v>
      </c>
      <c r="B127" s="602" t="s">
        <v>690</v>
      </c>
      <c r="C127" s="603" t="s">
        <v>950</v>
      </c>
      <c r="D127" s="541" t="s">
        <v>78</v>
      </c>
      <c r="E127" s="545">
        <v>0</v>
      </c>
      <c r="F127" s="546">
        <v>0</v>
      </c>
      <c r="G127" s="546">
        <v>0</v>
      </c>
      <c r="H127" s="546">
        <v>0</v>
      </c>
      <c r="I127" s="544">
        <f t="shared" si="60"/>
        <v>0</v>
      </c>
      <c r="J127" s="545">
        <v>0</v>
      </c>
      <c r="K127" s="546">
        <v>0</v>
      </c>
      <c r="L127" s="546">
        <v>0</v>
      </c>
      <c r="M127" s="546">
        <v>0</v>
      </c>
      <c r="N127" s="544">
        <f t="shared" si="61"/>
        <v>0</v>
      </c>
      <c r="O127" s="545">
        <v>0</v>
      </c>
      <c r="P127" s="546">
        <v>0</v>
      </c>
      <c r="Q127" s="544">
        <f t="shared" si="62"/>
        <v>0</v>
      </c>
      <c r="R127" s="545">
        <v>0</v>
      </c>
      <c r="S127" s="546">
        <v>0</v>
      </c>
      <c r="T127" s="546">
        <v>0</v>
      </c>
      <c r="U127" s="546">
        <v>0</v>
      </c>
      <c r="V127" s="546">
        <v>0</v>
      </c>
      <c r="W127" s="546">
        <v>0</v>
      </c>
      <c r="X127" s="544">
        <f t="shared" si="63"/>
        <v>0</v>
      </c>
      <c r="Y127" s="545">
        <v>0</v>
      </c>
      <c r="Z127" s="546">
        <v>0</v>
      </c>
      <c r="AA127" s="546">
        <v>0</v>
      </c>
      <c r="AB127" s="544">
        <f t="shared" si="53"/>
        <v>0</v>
      </c>
      <c r="AC127" s="547">
        <f t="shared" si="84"/>
        <v>0</v>
      </c>
      <c r="AD127" s="604" t="s">
        <v>816</v>
      </c>
      <c r="AE127" s="605" t="s">
        <v>816</v>
      </c>
      <c r="AF127" s="606">
        <f t="shared" si="64"/>
        <v>0</v>
      </c>
      <c r="AG127" s="604" t="s">
        <v>816</v>
      </c>
      <c r="AH127" s="605" t="s">
        <v>816</v>
      </c>
      <c r="AI127" s="605" t="s">
        <v>816</v>
      </c>
      <c r="AJ127" s="605" t="s">
        <v>816</v>
      </c>
      <c r="AK127" s="605" t="s">
        <v>816</v>
      </c>
      <c r="AL127" s="605" t="s">
        <v>816</v>
      </c>
      <c r="AM127" s="605" t="s">
        <v>816</v>
      </c>
      <c r="AN127" s="605" t="s">
        <v>816</v>
      </c>
      <c r="AO127" s="605" t="s">
        <v>816</v>
      </c>
      <c r="AP127" s="605" t="s">
        <v>816</v>
      </c>
      <c r="AQ127" s="606">
        <f t="shared" si="65"/>
        <v>0</v>
      </c>
      <c r="AR127" s="604" t="s">
        <v>816</v>
      </c>
      <c r="AS127" s="605" t="s">
        <v>816</v>
      </c>
      <c r="AT127" s="605" t="s">
        <v>816</v>
      </c>
      <c r="AU127" s="606">
        <f t="shared" si="66"/>
        <v>0</v>
      </c>
      <c r="AV127" s="604" t="s">
        <v>816</v>
      </c>
      <c r="AW127" s="605" t="s">
        <v>816</v>
      </c>
      <c r="AX127" s="605" t="s">
        <v>816</v>
      </c>
      <c r="AY127" s="605" t="s">
        <v>816</v>
      </c>
      <c r="AZ127" s="605" t="s">
        <v>816</v>
      </c>
      <c r="BA127" s="606">
        <f t="shared" si="67"/>
        <v>0</v>
      </c>
      <c r="BB127" s="604" t="s">
        <v>816</v>
      </c>
      <c r="BC127" s="605" t="s">
        <v>816</v>
      </c>
      <c r="BD127" s="605" t="s">
        <v>816</v>
      </c>
      <c r="BE127" s="605" t="s">
        <v>816</v>
      </c>
      <c r="BF127" s="605" t="s">
        <v>816</v>
      </c>
      <c r="BG127" s="605" t="s">
        <v>816</v>
      </c>
      <c r="BH127" s="605" t="s">
        <v>816</v>
      </c>
      <c r="BI127" s="606">
        <f t="shared" si="55"/>
        <v>0</v>
      </c>
      <c r="BJ127" s="551">
        <f t="shared" si="85"/>
        <v>0</v>
      </c>
      <c r="BK127" s="607"/>
      <c r="BL127" s="608"/>
      <c r="BM127" s="608"/>
      <c r="BN127" s="608"/>
      <c r="BO127" s="557">
        <f t="shared" si="86"/>
        <v>0</v>
      </c>
      <c r="BP127" s="607"/>
      <c r="BQ127" s="608"/>
      <c r="BR127" s="608"/>
      <c r="BS127" s="557">
        <f t="shared" si="83"/>
        <v>0</v>
      </c>
      <c r="BT127" s="607"/>
      <c r="BU127" s="557">
        <f t="shared" si="68"/>
        <v>0</v>
      </c>
      <c r="BV127" s="607"/>
      <c r="BW127" s="608"/>
      <c r="BX127" s="608"/>
      <c r="BY127" s="608"/>
      <c r="BZ127" s="608"/>
      <c r="CA127" s="608"/>
      <c r="CB127" s="608"/>
      <c r="CC127" s="608"/>
      <c r="CD127" s="608"/>
      <c r="CE127" s="557">
        <f t="shared" si="69"/>
        <v>0</v>
      </c>
      <c r="CF127" s="607"/>
      <c r="CG127" s="608"/>
      <c r="CH127" s="608"/>
      <c r="CI127" s="608"/>
      <c r="CJ127" s="608"/>
      <c r="CK127" s="608"/>
      <c r="CL127" s="608"/>
      <c r="CM127" s="557">
        <f t="shared" si="70"/>
        <v>0</v>
      </c>
      <c r="CN127" s="607"/>
      <c r="CO127" s="609">
        <f t="shared" si="71"/>
        <v>0</v>
      </c>
      <c r="CP127" s="610">
        <f t="shared" si="58"/>
        <v>0</v>
      </c>
      <c r="CQ127" s="545"/>
      <c r="CR127" s="546"/>
      <c r="CS127" s="544">
        <f t="shared" si="87"/>
        <v>0</v>
      </c>
      <c r="CT127" s="545"/>
      <c r="CU127" s="546"/>
      <c r="CV127" s="546"/>
      <c r="CW127" s="544">
        <f t="shared" si="88"/>
        <v>0</v>
      </c>
      <c r="CX127" s="547">
        <f t="shared" si="89"/>
        <v>0</v>
      </c>
      <c r="CY127" s="611">
        <f t="shared" si="90"/>
        <v>0</v>
      </c>
    </row>
    <row r="128" spans="1:103" s="561" customFormat="1" hidden="1">
      <c r="A128" s="538">
        <v>119</v>
      </c>
      <c r="B128" s="602" t="s">
        <v>691</v>
      </c>
      <c r="C128" s="603" t="s">
        <v>951</v>
      </c>
      <c r="D128" s="541" t="s">
        <v>78</v>
      </c>
      <c r="E128" s="545">
        <v>0</v>
      </c>
      <c r="F128" s="546">
        <v>0</v>
      </c>
      <c r="G128" s="546">
        <v>0</v>
      </c>
      <c r="H128" s="546">
        <v>0</v>
      </c>
      <c r="I128" s="544">
        <f t="shared" si="60"/>
        <v>0</v>
      </c>
      <c r="J128" s="545">
        <v>0</v>
      </c>
      <c r="K128" s="546">
        <v>0</v>
      </c>
      <c r="L128" s="546">
        <v>0</v>
      </c>
      <c r="M128" s="546">
        <v>0</v>
      </c>
      <c r="N128" s="544">
        <f t="shared" si="61"/>
        <v>0</v>
      </c>
      <c r="O128" s="545">
        <v>0</v>
      </c>
      <c r="P128" s="546">
        <v>0</v>
      </c>
      <c r="Q128" s="544">
        <f t="shared" si="62"/>
        <v>0</v>
      </c>
      <c r="R128" s="545">
        <v>0</v>
      </c>
      <c r="S128" s="546">
        <v>0</v>
      </c>
      <c r="T128" s="546">
        <v>0</v>
      </c>
      <c r="U128" s="546">
        <v>0</v>
      </c>
      <c r="V128" s="546">
        <v>0</v>
      </c>
      <c r="W128" s="546">
        <v>0</v>
      </c>
      <c r="X128" s="544">
        <f t="shared" si="63"/>
        <v>0</v>
      </c>
      <c r="Y128" s="545">
        <v>0</v>
      </c>
      <c r="Z128" s="546">
        <v>0</v>
      </c>
      <c r="AA128" s="546">
        <v>0</v>
      </c>
      <c r="AB128" s="544">
        <f t="shared" si="53"/>
        <v>0</v>
      </c>
      <c r="AC128" s="547">
        <f t="shared" si="84"/>
        <v>0</v>
      </c>
      <c r="AD128" s="604" t="s">
        <v>816</v>
      </c>
      <c r="AE128" s="605" t="s">
        <v>816</v>
      </c>
      <c r="AF128" s="606">
        <f t="shared" si="64"/>
        <v>0</v>
      </c>
      <c r="AG128" s="604" t="s">
        <v>816</v>
      </c>
      <c r="AH128" s="605" t="s">
        <v>816</v>
      </c>
      <c r="AI128" s="605" t="s">
        <v>816</v>
      </c>
      <c r="AJ128" s="605" t="s">
        <v>816</v>
      </c>
      <c r="AK128" s="605" t="s">
        <v>816</v>
      </c>
      <c r="AL128" s="605" t="s">
        <v>816</v>
      </c>
      <c r="AM128" s="605" t="s">
        <v>816</v>
      </c>
      <c r="AN128" s="605" t="s">
        <v>816</v>
      </c>
      <c r="AO128" s="605" t="s">
        <v>816</v>
      </c>
      <c r="AP128" s="605" t="s">
        <v>816</v>
      </c>
      <c r="AQ128" s="606">
        <f t="shared" si="65"/>
        <v>0</v>
      </c>
      <c r="AR128" s="604" t="s">
        <v>816</v>
      </c>
      <c r="AS128" s="605" t="s">
        <v>816</v>
      </c>
      <c r="AT128" s="605" t="s">
        <v>816</v>
      </c>
      <c r="AU128" s="606">
        <f t="shared" si="66"/>
        <v>0</v>
      </c>
      <c r="AV128" s="604" t="s">
        <v>816</v>
      </c>
      <c r="AW128" s="605" t="s">
        <v>816</v>
      </c>
      <c r="AX128" s="605" t="s">
        <v>816</v>
      </c>
      <c r="AY128" s="605" t="s">
        <v>816</v>
      </c>
      <c r="AZ128" s="605" t="s">
        <v>816</v>
      </c>
      <c r="BA128" s="606">
        <f t="shared" si="67"/>
        <v>0</v>
      </c>
      <c r="BB128" s="604" t="s">
        <v>816</v>
      </c>
      <c r="BC128" s="605" t="s">
        <v>816</v>
      </c>
      <c r="BD128" s="605" t="s">
        <v>816</v>
      </c>
      <c r="BE128" s="605" t="s">
        <v>816</v>
      </c>
      <c r="BF128" s="605" t="s">
        <v>816</v>
      </c>
      <c r="BG128" s="605" t="s">
        <v>816</v>
      </c>
      <c r="BH128" s="605" t="s">
        <v>816</v>
      </c>
      <c r="BI128" s="606">
        <f t="shared" si="55"/>
        <v>0</v>
      </c>
      <c r="BJ128" s="551">
        <f t="shared" si="85"/>
        <v>0</v>
      </c>
      <c r="BK128" s="607"/>
      <c r="BL128" s="608"/>
      <c r="BM128" s="608"/>
      <c r="BN128" s="608"/>
      <c r="BO128" s="557">
        <f t="shared" si="86"/>
        <v>0</v>
      </c>
      <c r="BP128" s="607"/>
      <c r="BQ128" s="608"/>
      <c r="BR128" s="608"/>
      <c r="BS128" s="557">
        <f t="shared" si="83"/>
        <v>0</v>
      </c>
      <c r="BT128" s="607"/>
      <c r="BU128" s="557">
        <f t="shared" si="68"/>
        <v>0</v>
      </c>
      <c r="BV128" s="607"/>
      <c r="BW128" s="608"/>
      <c r="BX128" s="608"/>
      <c r="BY128" s="608"/>
      <c r="BZ128" s="608"/>
      <c r="CA128" s="608"/>
      <c r="CB128" s="608"/>
      <c r="CC128" s="608"/>
      <c r="CD128" s="608"/>
      <c r="CE128" s="557">
        <f t="shared" si="69"/>
        <v>0</v>
      </c>
      <c r="CF128" s="607"/>
      <c r="CG128" s="608"/>
      <c r="CH128" s="608"/>
      <c r="CI128" s="608"/>
      <c r="CJ128" s="608"/>
      <c r="CK128" s="608"/>
      <c r="CL128" s="608"/>
      <c r="CM128" s="557">
        <f t="shared" si="70"/>
        <v>0</v>
      </c>
      <c r="CN128" s="607"/>
      <c r="CO128" s="609">
        <f t="shared" si="71"/>
        <v>0</v>
      </c>
      <c r="CP128" s="610">
        <f t="shared" si="58"/>
        <v>0</v>
      </c>
      <c r="CQ128" s="545"/>
      <c r="CR128" s="546"/>
      <c r="CS128" s="544">
        <f t="shared" si="87"/>
        <v>0</v>
      </c>
      <c r="CT128" s="545"/>
      <c r="CU128" s="546"/>
      <c r="CV128" s="546"/>
      <c r="CW128" s="544">
        <f t="shared" si="88"/>
        <v>0</v>
      </c>
      <c r="CX128" s="547">
        <f t="shared" si="89"/>
        <v>0</v>
      </c>
      <c r="CY128" s="611">
        <f t="shared" si="90"/>
        <v>0</v>
      </c>
    </row>
    <row r="129" spans="1:103" s="561" customFormat="1" hidden="1">
      <c r="A129" s="538">
        <v>120</v>
      </c>
      <c r="B129" s="602" t="s">
        <v>693</v>
      </c>
      <c r="C129" s="603" t="s">
        <v>952</v>
      </c>
      <c r="D129" s="541" t="s">
        <v>78</v>
      </c>
      <c r="E129" s="545">
        <v>0</v>
      </c>
      <c r="F129" s="546">
        <v>0</v>
      </c>
      <c r="G129" s="546">
        <v>0</v>
      </c>
      <c r="H129" s="546">
        <v>0</v>
      </c>
      <c r="I129" s="544">
        <f t="shared" si="60"/>
        <v>0</v>
      </c>
      <c r="J129" s="545">
        <v>0</v>
      </c>
      <c r="K129" s="546">
        <v>0</v>
      </c>
      <c r="L129" s="546">
        <v>0</v>
      </c>
      <c r="M129" s="546">
        <v>0</v>
      </c>
      <c r="N129" s="544">
        <f t="shared" si="61"/>
        <v>0</v>
      </c>
      <c r="O129" s="545">
        <v>0</v>
      </c>
      <c r="P129" s="546">
        <v>0</v>
      </c>
      <c r="Q129" s="544">
        <f t="shared" si="62"/>
        <v>0</v>
      </c>
      <c r="R129" s="545">
        <v>0</v>
      </c>
      <c r="S129" s="546">
        <v>0</v>
      </c>
      <c r="T129" s="546">
        <v>0</v>
      </c>
      <c r="U129" s="546">
        <v>0</v>
      </c>
      <c r="V129" s="546">
        <v>0</v>
      </c>
      <c r="W129" s="546">
        <v>0</v>
      </c>
      <c r="X129" s="544">
        <f t="shared" si="63"/>
        <v>0</v>
      </c>
      <c r="Y129" s="545">
        <v>0</v>
      </c>
      <c r="Z129" s="546">
        <v>0</v>
      </c>
      <c r="AA129" s="546">
        <v>0</v>
      </c>
      <c r="AB129" s="544">
        <f t="shared" si="53"/>
        <v>0</v>
      </c>
      <c r="AC129" s="547">
        <f t="shared" si="84"/>
        <v>0</v>
      </c>
      <c r="AD129" s="604" t="s">
        <v>816</v>
      </c>
      <c r="AE129" s="605" t="s">
        <v>816</v>
      </c>
      <c r="AF129" s="606">
        <f t="shared" si="64"/>
        <v>0</v>
      </c>
      <c r="AG129" s="604" t="s">
        <v>816</v>
      </c>
      <c r="AH129" s="605" t="s">
        <v>816</v>
      </c>
      <c r="AI129" s="605" t="s">
        <v>816</v>
      </c>
      <c r="AJ129" s="605" t="s">
        <v>816</v>
      </c>
      <c r="AK129" s="605" t="s">
        <v>816</v>
      </c>
      <c r="AL129" s="605" t="s">
        <v>816</v>
      </c>
      <c r="AM129" s="605" t="s">
        <v>816</v>
      </c>
      <c r="AN129" s="605" t="s">
        <v>816</v>
      </c>
      <c r="AO129" s="605" t="s">
        <v>816</v>
      </c>
      <c r="AP129" s="605" t="s">
        <v>816</v>
      </c>
      <c r="AQ129" s="606">
        <f t="shared" si="65"/>
        <v>0</v>
      </c>
      <c r="AR129" s="604" t="s">
        <v>816</v>
      </c>
      <c r="AS129" s="605" t="s">
        <v>816</v>
      </c>
      <c r="AT129" s="605" t="s">
        <v>816</v>
      </c>
      <c r="AU129" s="606">
        <f t="shared" si="66"/>
        <v>0</v>
      </c>
      <c r="AV129" s="604" t="s">
        <v>816</v>
      </c>
      <c r="AW129" s="605" t="s">
        <v>816</v>
      </c>
      <c r="AX129" s="605" t="s">
        <v>816</v>
      </c>
      <c r="AY129" s="605" t="s">
        <v>816</v>
      </c>
      <c r="AZ129" s="605" t="s">
        <v>816</v>
      </c>
      <c r="BA129" s="606">
        <f t="shared" si="67"/>
        <v>0</v>
      </c>
      <c r="BB129" s="604" t="s">
        <v>816</v>
      </c>
      <c r="BC129" s="605" t="s">
        <v>816</v>
      </c>
      <c r="BD129" s="605" t="s">
        <v>816</v>
      </c>
      <c r="BE129" s="605" t="s">
        <v>816</v>
      </c>
      <c r="BF129" s="605" t="s">
        <v>816</v>
      </c>
      <c r="BG129" s="605" t="s">
        <v>816</v>
      </c>
      <c r="BH129" s="605" t="s">
        <v>816</v>
      </c>
      <c r="BI129" s="606">
        <f t="shared" si="55"/>
        <v>0</v>
      </c>
      <c r="BJ129" s="551">
        <f t="shared" si="85"/>
        <v>0</v>
      </c>
      <c r="BK129" s="607"/>
      <c r="BL129" s="608"/>
      <c r="BM129" s="608"/>
      <c r="BN129" s="608"/>
      <c r="BO129" s="557">
        <f t="shared" si="86"/>
        <v>0</v>
      </c>
      <c r="BP129" s="607"/>
      <c r="BQ129" s="608"/>
      <c r="BR129" s="608"/>
      <c r="BS129" s="557">
        <f t="shared" si="83"/>
        <v>0</v>
      </c>
      <c r="BT129" s="607"/>
      <c r="BU129" s="557">
        <f t="shared" si="68"/>
        <v>0</v>
      </c>
      <c r="BV129" s="607"/>
      <c r="BW129" s="608"/>
      <c r="BX129" s="608"/>
      <c r="BY129" s="608"/>
      <c r="BZ129" s="608"/>
      <c r="CA129" s="608"/>
      <c r="CB129" s="608"/>
      <c r="CC129" s="608"/>
      <c r="CD129" s="608"/>
      <c r="CE129" s="557">
        <f t="shared" si="69"/>
        <v>0</v>
      </c>
      <c r="CF129" s="607"/>
      <c r="CG129" s="608"/>
      <c r="CH129" s="608"/>
      <c r="CI129" s="608"/>
      <c r="CJ129" s="608"/>
      <c r="CK129" s="608"/>
      <c r="CL129" s="608"/>
      <c r="CM129" s="557">
        <f t="shared" si="70"/>
        <v>0</v>
      </c>
      <c r="CN129" s="607"/>
      <c r="CO129" s="609">
        <f t="shared" si="71"/>
        <v>0</v>
      </c>
      <c r="CP129" s="610">
        <f t="shared" si="58"/>
        <v>0</v>
      </c>
      <c r="CQ129" s="545"/>
      <c r="CR129" s="546"/>
      <c r="CS129" s="544">
        <f t="shared" si="87"/>
        <v>0</v>
      </c>
      <c r="CT129" s="545"/>
      <c r="CU129" s="546"/>
      <c r="CV129" s="546"/>
      <c r="CW129" s="544">
        <f t="shared" si="88"/>
        <v>0</v>
      </c>
      <c r="CX129" s="547">
        <f t="shared" si="89"/>
        <v>0</v>
      </c>
      <c r="CY129" s="611">
        <f t="shared" si="90"/>
        <v>0</v>
      </c>
    </row>
    <row r="130" spans="1:103" s="561" customFormat="1" hidden="1">
      <c r="A130" s="538">
        <v>121</v>
      </c>
      <c r="B130" s="602" t="s">
        <v>883</v>
      </c>
      <c r="C130" s="603" t="s">
        <v>884</v>
      </c>
      <c r="D130" s="541" t="s">
        <v>78</v>
      </c>
      <c r="E130" s="545">
        <v>0</v>
      </c>
      <c r="F130" s="546">
        <v>0</v>
      </c>
      <c r="G130" s="546">
        <v>0</v>
      </c>
      <c r="H130" s="546">
        <v>0</v>
      </c>
      <c r="I130" s="544">
        <f t="shared" si="60"/>
        <v>0</v>
      </c>
      <c r="J130" s="545">
        <v>0</v>
      </c>
      <c r="K130" s="546">
        <v>0</v>
      </c>
      <c r="L130" s="546">
        <v>0</v>
      </c>
      <c r="M130" s="546">
        <v>0</v>
      </c>
      <c r="N130" s="544">
        <f t="shared" si="61"/>
        <v>0</v>
      </c>
      <c r="O130" s="545">
        <v>0</v>
      </c>
      <c r="P130" s="546">
        <v>0</v>
      </c>
      <c r="Q130" s="544">
        <f t="shared" si="62"/>
        <v>0</v>
      </c>
      <c r="R130" s="545">
        <v>0</v>
      </c>
      <c r="S130" s="546">
        <v>0</v>
      </c>
      <c r="T130" s="546">
        <v>0</v>
      </c>
      <c r="U130" s="546">
        <v>0</v>
      </c>
      <c r="V130" s="546">
        <v>0</v>
      </c>
      <c r="W130" s="546">
        <v>0</v>
      </c>
      <c r="X130" s="544">
        <f t="shared" si="63"/>
        <v>0</v>
      </c>
      <c r="Y130" s="545">
        <v>0</v>
      </c>
      <c r="Z130" s="546">
        <v>0</v>
      </c>
      <c r="AA130" s="546">
        <v>0</v>
      </c>
      <c r="AB130" s="544">
        <f t="shared" si="53"/>
        <v>0</v>
      </c>
      <c r="AC130" s="547">
        <f t="shared" si="84"/>
        <v>0</v>
      </c>
      <c r="AD130" s="604" t="s">
        <v>816</v>
      </c>
      <c r="AE130" s="605" t="s">
        <v>816</v>
      </c>
      <c r="AF130" s="606">
        <f t="shared" si="64"/>
        <v>0</v>
      </c>
      <c r="AG130" s="604" t="s">
        <v>816</v>
      </c>
      <c r="AH130" s="605" t="s">
        <v>816</v>
      </c>
      <c r="AI130" s="605" t="s">
        <v>816</v>
      </c>
      <c r="AJ130" s="605" t="s">
        <v>816</v>
      </c>
      <c r="AK130" s="605" t="s">
        <v>816</v>
      </c>
      <c r="AL130" s="605" t="s">
        <v>816</v>
      </c>
      <c r="AM130" s="605" t="s">
        <v>816</v>
      </c>
      <c r="AN130" s="605" t="s">
        <v>816</v>
      </c>
      <c r="AO130" s="605" t="s">
        <v>816</v>
      </c>
      <c r="AP130" s="605" t="s">
        <v>816</v>
      </c>
      <c r="AQ130" s="606">
        <f t="shared" si="65"/>
        <v>0</v>
      </c>
      <c r="AR130" s="604" t="s">
        <v>816</v>
      </c>
      <c r="AS130" s="605" t="s">
        <v>816</v>
      </c>
      <c r="AT130" s="605" t="s">
        <v>816</v>
      </c>
      <c r="AU130" s="606">
        <f t="shared" si="66"/>
        <v>0</v>
      </c>
      <c r="AV130" s="604" t="s">
        <v>816</v>
      </c>
      <c r="AW130" s="605" t="s">
        <v>816</v>
      </c>
      <c r="AX130" s="605" t="s">
        <v>816</v>
      </c>
      <c r="AY130" s="605" t="s">
        <v>816</v>
      </c>
      <c r="AZ130" s="605" t="s">
        <v>816</v>
      </c>
      <c r="BA130" s="606">
        <f t="shared" si="67"/>
        <v>0</v>
      </c>
      <c r="BB130" s="604" t="s">
        <v>816</v>
      </c>
      <c r="BC130" s="605" t="s">
        <v>816</v>
      </c>
      <c r="BD130" s="605" t="s">
        <v>816</v>
      </c>
      <c r="BE130" s="605" t="s">
        <v>816</v>
      </c>
      <c r="BF130" s="605" t="s">
        <v>816</v>
      </c>
      <c r="BG130" s="605" t="s">
        <v>816</v>
      </c>
      <c r="BH130" s="605" t="s">
        <v>816</v>
      </c>
      <c r="BI130" s="606">
        <f t="shared" si="55"/>
        <v>0</v>
      </c>
      <c r="BJ130" s="551">
        <f t="shared" si="85"/>
        <v>0</v>
      </c>
      <c r="BK130" s="607"/>
      <c r="BL130" s="608"/>
      <c r="BM130" s="608"/>
      <c r="BN130" s="608"/>
      <c r="BO130" s="557">
        <f t="shared" si="86"/>
        <v>0</v>
      </c>
      <c r="BP130" s="607"/>
      <c r="BQ130" s="608"/>
      <c r="BR130" s="608"/>
      <c r="BS130" s="557">
        <f t="shared" si="83"/>
        <v>0</v>
      </c>
      <c r="BT130" s="607"/>
      <c r="BU130" s="557">
        <f t="shared" si="68"/>
        <v>0</v>
      </c>
      <c r="BV130" s="607"/>
      <c r="BW130" s="608"/>
      <c r="BX130" s="608"/>
      <c r="BY130" s="608"/>
      <c r="BZ130" s="608"/>
      <c r="CA130" s="608"/>
      <c r="CB130" s="608"/>
      <c r="CC130" s="608"/>
      <c r="CD130" s="608"/>
      <c r="CE130" s="557">
        <f t="shared" si="69"/>
        <v>0</v>
      </c>
      <c r="CF130" s="607"/>
      <c r="CG130" s="608"/>
      <c r="CH130" s="608"/>
      <c r="CI130" s="608"/>
      <c r="CJ130" s="608"/>
      <c r="CK130" s="608"/>
      <c r="CL130" s="608"/>
      <c r="CM130" s="557">
        <f t="shared" si="70"/>
        <v>0</v>
      </c>
      <c r="CN130" s="607"/>
      <c r="CO130" s="609">
        <f t="shared" si="71"/>
        <v>0</v>
      </c>
      <c r="CP130" s="610">
        <f t="shared" si="58"/>
        <v>0</v>
      </c>
      <c r="CQ130" s="545"/>
      <c r="CR130" s="546"/>
      <c r="CS130" s="544">
        <f t="shared" si="87"/>
        <v>0</v>
      </c>
      <c r="CT130" s="545"/>
      <c r="CU130" s="546"/>
      <c r="CV130" s="546"/>
      <c r="CW130" s="544">
        <f t="shared" si="88"/>
        <v>0</v>
      </c>
      <c r="CX130" s="547">
        <f t="shared" si="89"/>
        <v>0</v>
      </c>
      <c r="CY130" s="611">
        <f t="shared" si="90"/>
        <v>0</v>
      </c>
    </row>
    <row r="131" spans="1:103" s="561" customFormat="1" hidden="1">
      <c r="A131" s="538">
        <v>122</v>
      </c>
      <c r="B131" s="602" t="s">
        <v>359</v>
      </c>
      <c r="C131" s="603" t="s">
        <v>939</v>
      </c>
      <c r="D131" s="541" t="s">
        <v>940</v>
      </c>
      <c r="E131" s="545">
        <v>0</v>
      </c>
      <c r="F131" s="546">
        <v>0</v>
      </c>
      <c r="G131" s="546">
        <v>0</v>
      </c>
      <c r="H131" s="546">
        <v>0</v>
      </c>
      <c r="I131" s="544">
        <f t="shared" si="60"/>
        <v>0</v>
      </c>
      <c r="J131" s="545">
        <v>0</v>
      </c>
      <c r="K131" s="546">
        <v>0</v>
      </c>
      <c r="L131" s="546">
        <v>0</v>
      </c>
      <c r="M131" s="546">
        <v>0</v>
      </c>
      <c r="N131" s="544">
        <f t="shared" si="61"/>
        <v>0</v>
      </c>
      <c r="O131" s="545">
        <v>0</v>
      </c>
      <c r="P131" s="546">
        <v>0</v>
      </c>
      <c r="Q131" s="544">
        <f t="shared" si="62"/>
        <v>0</v>
      </c>
      <c r="R131" s="545">
        <v>0</v>
      </c>
      <c r="S131" s="546">
        <v>0</v>
      </c>
      <c r="T131" s="546">
        <v>0</v>
      </c>
      <c r="U131" s="546">
        <v>0</v>
      </c>
      <c r="V131" s="546">
        <v>0</v>
      </c>
      <c r="W131" s="546">
        <v>0</v>
      </c>
      <c r="X131" s="544">
        <f t="shared" si="63"/>
        <v>0</v>
      </c>
      <c r="Y131" s="545">
        <v>0</v>
      </c>
      <c r="Z131" s="546">
        <v>0</v>
      </c>
      <c r="AA131" s="546">
        <v>0</v>
      </c>
      <c r="AB131" s="544">
        <f t="shared" si="53"/>
        <v>0</v>
      </c>
      <c r="AC131" s="547">
        <f t="shared" si="84"/>
        <v>0</v>
      </c>
      <c r="AD131" s="604" t="s">
        <v>816</v>
      </c>
      <c r="AE131" s="605" t="s">
        <v>816</v>
      </c>
      <c r="AF131" s="606">
        <f t="shared" si="64"/>
        <v>0</v>
      </c>
      <c r="AG131" s="604" t="s">
        <v>816</v>
      </c>
      <c r="AH131" s="605" t="s">
        <v>816</v>
      </c>
      <c r="AI131" s="605" t="s">
        <v>816</v>
      </c>
      <c r="AJ131" s="605" t="s">
        <v>816</v>
      </c>
      <c r="AK131" s="605" t="s">
        <v>816</v>
      </c>
      <c r="AL131" s="605" t="s">
        <v>816</v>
      </c>
      <c r="AM131" s="605" t="s">
        <v>816</v>
      </c>
      <c r="AN131" s="605" t="s">
        <v>816</v>
      </c>
      <c r="AO131" s="605" t="s">
        <v>816</v>
      </c>
      <c r="AP131" s="605" t="s">
        <v>816</v>
      </c>
      <c r="AQ131" s="606">
        <f t="shared" si="65"/>
        <v>0</v>
      </c>
      <c r="AR131" s="604" t="s">
        <v>816</v>
      </c>
      <c r="AS131" s="605" t="s">
        <v>816</v>
      </c>
      <c r="AT131" s="605" t="s">
        <v>816</v>
      </c>
      <c r="AU131" s="606">
        <f t="shared" si="66"/>
        <v>0</v>
      </c>
      <c r="AV131" s="604" t="s">
        <v>816</v>
      </c>
      <c r="AW131" s="605" t="s">
        <v>816</v>
      </c>
      <c r="AX131" s="605" t="s">
        <v>816</v>
      </c>
      <c r="AY131" s="605" t="s">
        <v>816</v>
      </c>
      <c r="AZ131" s="605" t="s">
        <v>816</v>
      </c>
      <c r="BA131" s="606">
        <f t="shared" si="67"/>
        <v>0</v>
      </c>
      <c r="BB131" s="604" t="s">
        <v>816</v>
      </c>
      <c r="BC131" s="605" t="s">
        <v>816</v>
      </c>
      <c r="BD131" s="605" t="s">
        <v>816</v>
      </c>
      <c r="BE131" s="605" t="s">
        <v>816</v>
      </c>
      <c r="BF131" s="605" t="s">
        <v>816</v>
      </c>
      <c r="BG131" s="605" t="s">
        <v>816</v>
      </c>
      <c r="BH131" s="605" t="s">
        <v>816</v>
      </c>
      <c r="BI131" s="606">
        <f t="shared" si="55"/>
        <v>0</v>
      </c>
      <c r="BJ131" s="551">
        <f t="shared" si="85"/>
        <v>0</v>
      </c>
      <c r="BK131" s="607"/>
      <c r="BL131" s="608"/>
      <c r="BM131" s="608"/>
      <c r="BN131" s="608"/>
      <c r="BO131" s="557">
        <f t="shared" si="86"/>
        <v>0</v>
      </c>
      <c r="BP131" s="607"/>
      <c r="BQ131" s="608"/>
      <c r="BR131" s="608"/>
      <c r="BS131" s="557">
        <f t="shared" si="83"/>
        <v>0</v>
      </c>
      <c r="BT131" s="607"/>
      <c r="BU131" s="557">
        <f t="shared" si="68"/>
        <v>0</v>
      </c>
      <c r="BV131" s="607"/>
      <c r="BW131" s="608"/>
      <c r="BX131" s="608"/>
      <c r="BY131" s="608"/>
      <c r="BZ131" s="608"/>
      <c r="CA131" s="608"/>
      <c r="CB131" s="608"/>
      <c r="CC131" s="608"/>
      <c r="CD131" s="608"/>
      <c r="CE131" s="557">
        <f t="shared" si="69"/>
        <v>0</v>
      </c>
      <c r="CF131" s="607"/>
      <c r="CG131" s="608"/>
      <c r="CH131" s="608"/>
      <c r="CI131" s="608"/>
      <c r="CJ131" s="608"/>
      <c r="CK131" s="608"/>
      <c r="CL131" s="608"/>
      <c r="CM131" s="557">
        <f t="shared" si="70"/>
        <v>0</v>
      </c>
      <c r="CN131" s="607"/>
      <c r="CO131" s="609">
        <f t="shared" si="71"/>
        <v>0</v>
      </c>
      <c r="CP131" s="610">
        <f t="shared" si="58"/>
        <v>0</v>
      </c>
      <c r="CQ131" s="545"/>
      <c r="CR131" s="546"/>
      <c r="CS131" s="544">
        <f t="shared" si="87"/>
        <v>0</v>
      </c>
      <c r="CT131" s="545"/>
      <c r="CU131" s="546"/>
      <c r="CV131" s="546"/>
      <c r="CW131" s="544">
        <f t="shared" si="88"/>
        <v>0</v>
      </c>
      <c r="CX131" s="547">
        <f t="shared" si="89"/>
        <v>0</v>
      </c>
      <c r="CY131" s="611">
        <f t="shared" si="90"/>
        <v>0</v>
      </c>
    </row>
    <row r="132" spans="1:103" s="561" customFormat="1" hidden="1">
      <c r="A132" s="538">
        <v>123</v>
      </c>
      <c r="B132" s="602" t="s">
        <v>941</v>
      </c>
      <c r="C132" s="603" t="s">
        <v>942</v>
      </c>
      <c r="D132" s="541" t="s">
        <v>943</v>
      </c>
      <c r="E132" s="545">
        <v>0</v>
      </c>
      <c r="F132" s="546">
        <v>0</v>
      </c>
      <c r="G132" s="546">
        <v>0</v>
      </c>
      <c r="H132" s="546">
        <v>0</v>
      </c>
      <c r="I132" s="544">
        <f t="shared" si="60"/>
        <v>0</v>
      </c>
      <c r="J132" s="545">
        <v>0</v>
      </c>
      <c r="K132" s="546">
        <v>0</v>
      </c>
      <c r="L132" s="546">
        <v>0</v>
      </c>
      <c r="M132" s="546">
        <v>0</v>
      </c>
      <c r="N132" s="544">
        <f t="shared" si="61"/>
        <v>0</v>
      </c>
      <c r="O132" s="545">
        <v>0</v>
      </c>
      <c r="P132" s="546">
        <v>0</v>
      </c>
      <c r="Q132" s="544">
        <f t="shared" si="62"/>
        <v>0</v>
      </c>
      <c r="R132" s="545">
        <v>0</v>
      </c>
      <c r="S132" s="546">
        <v>0</v>
      </c>
      <c r="T132" s="546">
        <v>0</v>
      </c>
      <c r="U132" s="546">
        <v>0</v>
      </c>
      <c r="V132" s="546">
        <v>0</v>
      </c>
      <c r="W132" s="546">
        <v>0</v>
      </c>
      <c r="X132" s="544">
        <f t="shared" si="63"/>
        <v>0</v>
      </c>
      <c r="Y132" s="545">
        <v>0</v>
      </c>
      <c r="Z132" s="546">
        <v>0</v>
      </c>
      <c r="AA132" s="546">
        <v>0</v>
      </c>
      <c r="AB132" s="544">
        <f t="shared" si="53"/>
        <v>0</v>
      </c>
      <c r="AC132" s="547">
        <f t="shared" si="84"/>
        <v>0</v>
      </c>
      <c r="AD132" s="604" t="s">
        <v>816</v>
      </c>
      <c r="AE132" s="605" t="s">
        <v>816</v>
      </c>
      <c r="AF132" s="606">
        <f t="shared" si="64"/>
        <v>0</v>
      </c>
      <c r="AG132" s="604" t="s">
        <v>816</v>
      </c>
      <c r="AH132" s="605" t="s">
        <v>816</v>
      </c>
      <c r="AI132" s="605" t="s">
        <v>816</v>
      </c>
      <c r="AJ132" s="605" t="s">
        <v>816</v>
      </c>
      <c r="AK132" s="605" t="s">
        <v>816</v>
      </c>
      <c r="AL132" s="605" t="s">
        <v>816</v>
      </c>
      <c r="AM132" s="605" t="s">
        <v>816</v>
      </c>
      <c r="AN132" s="605" t="s">
        <v>816</v>
      </c>
      <c r="AO132" s="605" t="s">
        <v>816</v>
      </c>
      <c r="AP132" s="605" t="s">
        <v>816</v>
      </c>
      <c r="AQ132" s="606">
        <f t="shared" si="65"/>
        <v>0</v>
      </c>
      <c r="AR132" s="604" t="s">
        <v>816</v>
      </c>
      <c r="AS132" s="605" t="s">
        <v>816</v>
      </c>
      <c r="AT132" s="605" t="s">
        <v>816</v>
      </c>
      <c r="AU132" s="606">
        <f t="shared" si="66"/>
        <v>0</v>
      </c>
      <c r="AV132" s="604" t="s">
        <v>816</v>
      </c>
      <c r="AW132" s="605" t="s">
        <v>816</v>
      </c>
      <c r="AX132" s="605" t="s">
        <v>816</v>
      </c>
      <c r="AY132" s="605" t="s">
        <v>816</v>
      </c>
      <c r="AZ132" s="605" t="s">
        <v>816</v>
      </c>
      <c r="BA132" s="606">
        <f t="shared" si="67"/>
        <v>0</v>
      </c>
      <c r="BB132" s="604" t="s">
        <v>816</v>
      </c>
      <c r="BC132" s="605" t="s">
        <v>816</v>
      </c>
      <c r="BD132" s="605" t="s">
        <v>816</v>
      </c>
      <c r="BE132" s="605" t="s">
        <v>816</v>
      </c>
      <c r="BF132" s="605" t="s">
        <v>816</v>
      </c>
      <c r="BG132" s="605" t="s">
        <v>816</v>
      </c>
      <c r="BH132" s="605" t="s">
        <v>816</v>
      </c>
      <c r="BI132" s="606">
        <f t="shared" si="55"/>
        <v>0</v>
      </c>
      <c r="BJ132" s="551">
        <f t="shared" si="85"/>
        <v>0</v>
      </c>
      <c r="BK132" s="607"/>
      <c r="BL132" s="608"/>
      <c r="BM132" s="608"/>
      <c r="BN132" s="608"/>
      <c r="BO132" s="557">
        <f t="shared" si="86"/>
        <v>0</v>
      </c>
      <c r="BP132" s="607"/>
      <c r="BQ132" s="608"/>
      <c r="BR132" s="608"/>
      <c r="BS132" s="557">
        <f t="shared" si="83"/>
        <v>0</v>
      </c>
      <c r="BT132" s="607"/>
      <c r="BU132" s="557">
        <f t="shared" si="68"/>
        <v>0</v>
      </c>
      <c r="BV132" s="607"/>
      <c r="BW132" s="608"/>
      <c r="BX132" s="608"/>
      <c r="BY132" s="608"/>
      <c r="BZ132" s="608"/>
      <c r="CA132" s="608"/>
      <c r="CB132" s="608"/>
      <c r="CC132" s="608"/>
      <c r="CD132" s="608"/>
      <c r="CE132" s="557">
        <f t="shared" si="69"/>
        <v>0</v>
      </c>
      <c r="CF132" s="607"/>
      <c r="CG132" s="608"/>
      <c r="CH132" s="608"/>
      <c r="CI132" s="608"/>
      <c r="CJ132" s="608"/>
      <c r="CK132" s="608"/>
      <c r="CL132" s="608"/>
      <c r="CM132" s="557">
        <f t="shared" si="70"/>
        <v>0</v>
      </c>
      <c r="CN132" s="607"/>
      <c r="CO132" s="609">
        <f t="shared" si="71"/>
        <v>0</v>
      </c>
      <c r="CP132" s="610">
        <f t="shared" si="58"/>
        <v>0</v>
      </c>
      <c r="CQ132" s="545"/>
      <c r="CR132" s="546"/>
      <c r="CS132" s="544">
        <f t="shared" si="87"/>
        <v>0</v>
      </c>
      <c r="CT132" s="545"/>
      <c r="CU132" s="546"/>
      <c r="CV132" s="546"/>
      <c r="CW132" s="544">
        <f t="shared" si="88"/>
        <v>0</v>
      </c>
      <c r="CX132" s="547">
        <f t="shared" si="89"/>
        <v>0</v>
      </c>
      <c r="CY132" s="611">
        <f t="shared" si="90"/>
        <v>0</v>
      </c>
    </row>
    <row r="133" spans="1:103" s="561" customFormat="1" hidden="1">
      <c r="A133" s="538">
        <v>124</v>
      </c>
      <c r="B133" s="602" t="s">
        <v>944</v>
      </c>
      <c r="C133" s="603" t="s">
        <v>945</v>
      </c>
      <c r="D133" s="541" t="s">
        <v>11</v>
      </c>
      <c r="E133" s="545">
        <v>0</v>
      </c>
      <c r="F133" s="546">
        <v>0</v>
      </c>
      <c r="G133" s="546">
        <v>0</v>
      </c>
      <c r="H133" s="546">
        <v>0</v>
      </c>
      <c r="I133" s="544">
        <f t="shared" si="60"/>
        <v>0</v>
      </c>
      <c r="J133" s="545">
        <v>0</v>
      </c>
      <c r="K133" s="546">
        <v>0</v>
      </c>
      <c r="L133" s="546">
        <v>0</v>
      </c>
      <c r="M133" s="546">
        <v>0</v>
      </c>
      <c r="N133" s="544">
        <f t="shared" si="61"/>
        <v>0</v>
      </c>
      <c r="O133" s="545">
        <v>0</v>
      </c>
      <c r="P133" s="546">
        <v>0</v>
      </c>
      <c r="Q133" s="544">
        <f t="shared" si="62"/>
        <v>0</v>
      </c>
      <c r="R133" s="545">
        <v>0</v>
      </c>
      <c r="S133" s="546">
        <v>0</v>
      </c>
      <c r="T133" s="546">
        <v>0</v>
      </c>
      <c r="U133" s="546">
        <v>0</v>
      </c>
      <c r="V133" s="546">
        <v>0</v>
      </c>
      <c r="W133" s="546">
        <v>0</v>
      </c>
      <c r="X133" s="544">
        <f t="shared" si="63"/>
        <v>0</v>
      </c>
      <c r="Y133" s="545">
        <v>0</v>
      </c>
      <c r="Z133" s="546">
        <v>0</v>
      </c>
      <c r="AA133" s="546">
        <v>0</v>
      </c>
      <c r="AB133" s="544">
        <f t="shared" si="53"/>
        <v>0</v>
      </c>
      <c r="AC133" s="547">
        <f t="shared" si="84"/>
        <v>0</v>
      </c>
      <c r="AD133" s="604" t="s">
        <v>816</v>
      </c>
      <c r="AE133" s="605" t="s">
        <v>816</v>
      </c>
      <c r="AF133" s="606">
        <f t="shared" si="64"/>
        <v>0</v>
      </c>
      <c r="AG133" s="604" t="s">
        <v>816</v>
      </c>
      <c r="AH133" s="605" t="s">
        <v>816</v>
      </c>
      <c r="AI133" s="605" t="s">
        <v>816</v>
      </c>
      <c r="AJ133" s="605" t="s">
        <v>816</v>
      </c>
      <c r="AK133" s="605" t="s">
        <v>816</v>
      </c>
      <c r="AL133" s="605" t="s">
        <v>816</v>
      </c>
      <c r="AM133" s="605" t="s">
        <v>816</v>
      </c>
      <c r="AN133" s="605" t="s">
        <v>816</v>
      </c>
      <c r="AO133" s="605" t="s">
        <v>816</v>
      </c>
      <c r="AP133" s="605" t="s">
        <v>816</v>
      </c>
      <c r="AQ133" s="606">
        <f t="shared" si="65"/>
        <v>0</v>
      </c>
      <c r="AR133" s="604" t="s">
        <v>816</v>
      </c>
      <c r="AS133" s="605" t="s">
        <v>816</v>
      </c>
      <c r="AT133" s="605" t="s">
        <v>816</v>
      </c>
      <c r="AU133" s="606">
        <f t="shared" si="66"/>
        <v>0</v>
      </c>
      <c r="AV133" s="604" t="s">
        <v>816</v>
      </c>
      <c r="AW133" s="605" t="s">
        <v>816</v>
      </c>
      <c r="AX133" s="605" t="s">
        <v>816</v>
      </c>
      <c r="AY133" s="605" t="s">
        <v>816</v>
      </c>
      <c r="AZ133" s="605" t="s">
        <v>816</v>
      </c>
      <c r="BA133" s="606">
        <f t="shared" si="67"/>
        <v>0</v>
      </c>
      <c r="BB133" s="604" t="s">
        <v>816</v>
      </c>
      <c r="BC133" s="605" t="s">
        <v>816</v>
      </c>
      <c r="BD133" s="605" t="s">
        <v>816</v>
      </c>
      <c r="BE133" s="605" t="s">
        <v>816</v>
      </c>
      <c r="BF133" s="605" t="s">
        <v>816</v>
      </c>
      <c r="BG133" s="605" t="s">
        <v>816</v>
      </c>
      <c r="BH133" s="605" t="s">
        <v>816</v>
      </c>
      <c r="BI133" s="606">
        <f t="shared" si="55"/>
        <v>0</v>
      </c>
      <c r="BJ133" s="551">
        <f t="shared" si="85"/>
        <v>0</v>
      </c>
      <c r="BK133" s="607"/>
      <c r="BL133" s="608"/>
      <c r="BM133" s="608"/>
      <c r="BN133" s="608"/>
      <c r="BO133" s="557">
        <f t="shared" si="86"/>
        <v>0</v>
      </c>
      <c r="BP133" s="607"/>
      <c r="BQ133" s="608"/>
      <c r="BR133" s="608"/>
      <c r="BS133" s="557">
        <f t="shared" si="83"/>
        <v>0</v>
      </c>
      <c r="BT133" s="607"/>
      <c r="BU133" s="557">
        <f t="shared" si="68"/>
        <v>0</v>
      </c>
      <c r="BV133" s="607"/>
      <c r="BW133" s="608"/>
      <c r="BX133" s="608"/>
      <c r="BY133" s="608"/>
      <c r="BZ133" s="608"/>
      <c r="CA133" s="608"/>
      <c r="CB133" s="608"/>
      <c r="CC133" s="608"/>
      <c r="CD133" s="608"/>
      <c r="CE133" s="557">
        <f t="shared" si="69"/>
        <v>0</v>
      </c>
      <c r="CF133" s="607"/>
      <c r="CG133" s="608"/>
      <c r="CH133" s="608"/>
      <c r="CI133" s="608"/>
      <c r="CJ133" s="608"/>
      <c r="CK133" s="608"/>
      <c r="CL133" s="608"/>
      <c r="CM133" s="557">
        <f t="shared" si="70"/>
        <v>0</v>
      </c>
      <c r="CN133" s="607"/>
      <c r="CO133" s="609">
        <f t="shared" si="71"/>
        <v>0</v>
      </c>
      <c r="CP133" s="610">
        <f t="shared" si="58"/>
        <v>0</v>
      </c>
      <c r="CQ133" s="545"/>
      <c r="CR133" s="546"/>
      <c r="CS133" s="544">
        <f t="shared" si="87"/>
        <v>0</v>
      </c>
      <c r="CT133" s="545"/>
      <c r="CU133" s="546"/>
      <c r="CV133" s="546"/>
      <c r="CW133" s="544">
        <f t="shared" si="88"/>
        <v>0</v>
      </c>
      <c r="CX133" s="547">
        <f t="shared" si="89"/>
        <v>0</v>
      </c>
      <c r="CY133" s="611">
        <f t="shared" si="90"/>
        <v>0</v>
      </c>
    </row>
    <row r="134" spans="1:103" s="561" customFormat="1" hidden="1">
      <c r="A134" s="538">
        <v>125</v>
      </c>
      <c r="B134" s="602" t="s">
        <v>946</v>
      </c>
      <c r="C134" s="603" t="s">
        <v>947</v>
      </c>
      <c r="D134" s="541" t="s">
        <v>829</v>
      </c>
      <c r="E134" s="545">
        <v>0</v>
      </c>
      <c r="F134" s="546">
        <v>0</v>
      </c>
      <c r="G134" s="546">
        <v>0</v>
      </c>
      <c r="H134" s="546">
        <v>0</v>
      </c>
      <c r="I134" s="544">
        <f t="shared" si="60"/>
        <v>0</v>
      </c>
      <c r="J134" s="545">
        <v>0</v>
      </c>
      <c r="K134" s="546">
        <v>0</v>
      </c>
      <c r="L134" s="546">
        <v>0</v>
      </c>
      <c r="M134" s="546">
        <v>0</v>
      </c>
      <c r="N134" s="544">
        <f t="shared" si="61"/>
        <v>0</v>
      </c>
      <c r="O134" s="545">
        <v>0</v>
      </c>
      <c r="P134" s="546">
        <v>0</v>
      </c>
      <c r="Q134" s="544">
        <f t="shared" si="62"/>
        <v>0</v>
      </c>
      <c r="R134" s="545">
        <v>0</v>
      </c>
      <c r="S134" s="546">
        <v>0</v>
      </c>
      <c r="T134" s="546">
        <v>0</v>
      </c>
      <c r="U134" s="546">
        <v>0</v>
      </c>
      <c r="V134" s="546">
        <v>0</v>
      </c>
      <c r="W134" s="546">
        <v>0</v>
      </c>
      <c r="X134" s="544">
        <f t="shared" si="63"/>
        <v>0</v>
      </c>
      <c r="Y134" s="545">
        <v>0</v>
      </c>
      <c r="Z134" s="546">
        <v>0</v>
      </c>
      <c r="AA134" s="546">
        <v>0</v>
      </c>
      <c r="AB134" s="544">
        <f t="shared" si="53"/>
        <v>0</v>
      </c>
      <c r="AC134" s="547">
        <f t="shared" si="84"/>
        <v>0</v>
      </c>
      <c r="AD134" s="604" t="s">
        <v>816</v>
      </c>
      <c r="AE134" s="605" t="s">
        <v>816</v>
      </c>
      <c r="AF134" s="606">
        <f t="shared" si="64"/>
        <v>0</v>
      </c>
      <c r="AG134" s="604" t="s">
        <v>816</v>
      </c>
      <c r="AH134" s="605" t="s">
        <v>816</v>
      </c>
      <c r="AI134" s="605" t="s">
        <v>816</v>
      </c>
      <c r="AJ134" s="605" t="s">
        <v>816</v>
      </c>
      <c r="AK134" s="605" t="s">
        <v>816</v>
      </c>
      <c r="AL134" s="605" t="s">
        <v>816</v>
      </c>
      <c r="AM134" s="605" t="s">
        <v>816</v>
      </c>
      <c r="AN134" s="605" t="s">
        <v>816</v>
      </c>
      <c r="AO134" s="605" t="s">
        <v>816</v>
      </c>
      <c r="AP134" s="605" t="s">
        <v>816</v>
      </c>
      <c r="AQ134" s="606">
        <f t="shared" si="65"/>
        <v>0</v>
      </c>
      <c r="AR134" s="604" t="s">
        <v>816</v>
      </c>
      <c r="AS134" s="605" t="s">
        <v>816</v>
      </c>
      <c r="AT134" s="605" t="s">
        <v>816</v>
      </c>
      <c r="AU134" s="606">
        <f t="shared" si="66"/>
        <v>0</v>
      </c>
      <c r="AV134" s="604" t="s">
        <v>816</v>
      </c>
      <c r="AW134" s="605" t="s">
        <v>816</v>
      </c>
      <c r="AX134" s="605" t="s">
        <v>816</v>
      </c>
      <c r="AY134" s="605" t="s">
        <v>816</v>
      </c>
      <c r="AZ134" s="605" t="s">
        <v>816</v>
      </c>
      <c r="BA134" s="606">
        <f t="shared" si="67"/>
        <v>0</v>
      </c>
      <c r="BB134" s="604" t="s">
        <v>816</v>
      </c>
      <c r="BC134" s="605" t="s">
        <v>816</v>
      </c>
      <c r="BD134" s="605" t="s">
        <v>816</v>
      </c>
      <c r="BE134" s="605" t="s">
        <v>816</v>
      </c>
      <c r="BF134" s="605" t="s">
        <v>816</v>
      </c>
      <c r="BG134" s="605" t="s">
        <v>816</v>
      </c>
      <c r="BH134" s="605" t="s">
        <v>816</v>
      </c>
      <c r="BI134" s="606">
        <f t="shared" si="55"/>
        <v>0</v>
      </c>
      <c r="BJ134" s="551">
        <f t="shared" si="85"/>
        <v>0</v>
      </c>
      <c r="BK134" s="607"/>
      <c r="BL134" s="608"/>
      <c r="BM134" s="608"/>
      <c r="BN134" s="608"/>
      <c r="BO134" s="557">
        <f t="shared" si="86"/>
        <v>0</v>
      </c>
      <c r="BP134" s="607"/>
      <c r="BQ134" s="608"/>
      <c r="BR134" s="608"/>
      <c r="BS134" s="557">
        <f t="shared" si="83"/>
        <v>0</v>
      </c>
      <c r="BT134" s="607"/>
      <c r="BU134" s="557">
        <f t="shared" si="68"/>
        <v>0</v>
      </c>
      <c r="BV134" s="607"/>
      <c r="BW134" s="608"/>
      <c r="BX134" s="608"/>
      <c r="BY134" s="608"/>
      <c r="BZ134" s="608"/>
      <c r="CA134" s="608"/>
      <c r="CB134" s="608"/>
      <c r="CC134" s="608"/>
      <c r="CD134" s="608"/>
      <c r="CE134" s="557">
        <f t="shared" si="69"/>
        <v>0</v>
      </c>
      <c r="CF134" s="607"/>
      <c r="CG134" s="608"/>
      <c r="CH134" s="608"/>
      <c r="CI134" s="608"/>
      <c r="CJ134" s="608"/>
      <c r="CK134" s="608"/>
      <c r="CL134" s="608"/>
      <c r="CM134" s="557">
        <f t="shared" si="70"/>
        <v>0</v>
      </c>
      <c r="CN134" s="607"/>
      <c r="CO134" s="609">
        <f t="shared" si="71"/>
        <v>0</v>
      </c>
      <c r="CP134" s="610">
        <f t="shared" si="58"/>
        <v>0</v>
      </c>
      <c r="CQ134" s="545"/>
      <c r="CR134" s="546"/>
      <c r="CS134" s="544">
        <f t="shared" si="87"/>
        <v>0</v>
      </c>
      <c r="CT134" s="545"/>
      <c r="CU134" s="546"/>
      <c r="CV134" s="546"/>
      <c r="CW134" s="544">
        <f t="shared" si="88"/>
        <v>0</v>
      </c>
      <c r="CX134" s="547">
        <f t="shared" si="89"/>
        <v>0</v>
      </c>
      <c r="CY134" s="611">
        <f t="shared" si="90"/>
        <v>0</v>
      </c>
    </row>
    <row r="135" spans="1:103" s="561" customFormat="1" hidden="1">
      <c r="A135" s="538">
        <v>126</v>
      </c>
      <c r="B135" s="602" t="s">
        <v>98</v>
      </c>
      <c r="C135" s="603" t="s">
        <v>948</v>
      </c>
      <c r="D135" s="541" t="s">
        <v>829</v>
      </c>
      <c r="E135" s="545">
        <v>0</v>
      </c>
      <c r="F135" s="546">
        <v>0</v>
      </c>
      <c r="G135" s="546">
        <v>0</v>
      </c>
      <c r="H135" s="546">
        <v>0</v>
      </c>
      <c r="I135" s="544">
        <f t="shared" si="60"/>
        <v>0</v>
      </c>
      <c r="J135" s="545">
        <v>0</v>
      </c>
      <c r="K135" s="546">
        <v>0</v>
      </c>
      <c r="L135" s="546">
        <v>0</v>
      </c>
      <c r="M135" s="546">
        <v>0</v>
      </c>
      <c r="N135" s="544">
        <f t="shared" si="61"/>
        <v>0</v>
      </c>
      <c r="O135" s="545">
        <v>0</v>
      </c>
      <c r="P135" s="546">
        <v>0</v>
      </c>
      <c r="Q135" s="544">
        <f t="shared" si="62"/>
        <v>0</v>
      </c>
      <c r="R135" s="545">
        <v>0</v>
      </c>
      <c r="S135" s="546">
        <v>0</v>
      </c>
      <c r="T135" s="546">
        <v>0</v>
      </c>
      <c r="U135" s="546">
        <v>0</v>
      </c>
      <c r="V135" s="546">
        <v>0</v>
      </c>
      <c r="W135" s="546">
        <v>0</v>
      </c>
      <c r="X135" s="544">
        <f t="shared" si="63"/>
        <v>0</v>
      </c>
      <c r="Y135" s="545">
        <v>0</v>
      </c>
      <c r="Z135" s="546">
        <v>0</v>
      </c>
      <c r="AA135" s="546">
        <v>0</v>
      </c>
      <c r="AB135" s="544">
        <f t="shared" si="53"/>
        <v>0</v>
      </c>
      <c r="AC135" s="547">
        <f t="shared" si="84"/>
        <v>0</v>
      </c>
      <c r="AD135" s="604" t="s">
        <v>816</v>
      </c>
      <c r="AE135" s="605" t="s">
        <v>816</v>
      </c>
      <c r="AF135" s="606">
        <f t="shared" si="64"/>
        <v>0</v>
      </c>
      <c r="AG135" s="604" t="s">
        <v>816</v>
      </c>
      <c r="AH135" s="605" t="s">
        <v>816</v>
      </c>
      <c r="AI135" s="605" t="s">
        <v>816</v>
      </c>
      <c r="AJ135" s="605" t="s">
        <v>816</v>
      </c>
      <c r="AK135" s="605" t="s">
        <v>816</v>
      </c>
      <c r="AL135" s="605" t="s">
        <v>816</v>
      </c>
      <c r="AM135" s="605" t="s">
        <v>816</v>
      </c>
      <c r="AN135" s="605" t="s">
        <v>816</v>
      </c>
      <c r="AO135" s="605" t="s">
        <v>816</v>
      </c>
      <c r="AP135" s="605" t="s">
        <v>816</v>
      </c>
      <c r="AQ135" s="606">
        <f t="shared" si="65"/>
        <v>0</v>
      </c>
      <c r="AR135" s="604" t="s">
        <v>816</v>
      </c>
      <c r="AS135" s="605" t="s">
        <v>816</v>
      </c>
      <c r="AT135" s="605" t="s">
        <v>816</v>
      </c>
      <c r="AU135" s="606">
        <f t="shared" si="66"/>
        <v>0</v>
      </c>
      <c r="AV135" s="604" t="s">
        <v>816</v>
      </c>
      <c r="AW135" s="605" t="s">
        <v>816</v>
      </c>
      <c r="AX135" s="605" t="s">
        <v>816</v>
      </c>
      <c r="AY135" s="605" t="s">
        <v>816</v>
      </c>
      <c r="AZ135" s="605" t="s">
        <v>816</v>
      </c>
      <c r="BA135" s="606">
        <f t="shared" si="67"/>
        <v>0</v>
      </c>
      <c r="BB135" s="604" t="s">
        <v>816</v>
      </c>
      <c r="BC135" s="605" t="s">
        <v>816</v>
      </c>
      <c r="BD135" s="605" t="s">
        <v>816</v>
      </c>
      <c r="BE135" s="605" t="s">
        <v>816</v>
      </c>
      <c r="BF135" s="605" t="s">
        <v>816</v>
      </c>
      <c r="BG135" s="605" t="s">
        <v>816</v>
      </c>
      <c r="BH135" s="605" t="s">
        <v>816</v>
      </c>
      <c r="BI135" s="606">
        <f t="shared" si="55"/>
        <v>0</v>
      </c>
      <c r="BJ135" s="551">
        <f t="shared" si="85"/>
        <v>0</v>
      </c>
      <c r="BK135" s="607"/>
      <c r="BL135" s="608"/>
      <c r="BM135" s="608"/>
      <c r="BN135" s="608"/>
      <c r="BO135" s="557">
        <f t="shared" si="86"/>
        <v>0</v>
      </c>
      <c r="BP135" s="607"/>
      <c r="BQ135" s="608"/>
      <c r="BR135" s="608"/>
      <c r="BS135" s="557">
        <f t="shared" si="83"/>
        <v>0</v>
      </c>
      <c r="BT135" s="607"/>
      <c r="BU135" s="557">
        <f t="shared" si="68"/>
        <v>0</v>
      </c>
      <c r="BV135" s="607"/>
      <c r="BW135" s="608"/>
      <c r="BX135" s="608"/>
      <c r="BY135" s="608"/>
      <c r="BZ135" s="608"/>
      <c r="CA135" s="608"/>
      <c r="CB135" s="608"/>
      <c r="CC135" s="608"/>
      <c r="CD135" s="608"/>
      <c r="CE135" s="557">
        <f t="shared" si="69"/>
        <v>0</v>
      </c>
      <c r="CF135" s="607"/>
      <c r="CG135" s="608"/>
      <c r="CH135" s="608"/>
      <c r="CI135" s="608"/>
      <c r="CJ135" s="608"/>
      <c r="CK135" s="608"/>
      <c r="CL135" s="608"/>
      <c r="CM135" s="557">
        <f t="shared" si="70"/>
        <v>0</v>
      </c>
      <c r="CN135" s="607"/>
      <c r="CO135" s="609">
        <f t="shared" si="71"/>
        <v>0</v>
      </c>
      <c r="CP135" s="610">
        <f t="shared" si="58"/>
        <v>0</v>
      </c>
      <c r="CQ135" s="545"/>
      <c r="CR135" s="546"/>
      <c r="CS135" s="544">
        <f t="shared" si="87"/>
        <v>0</v>
      </c>
      <c r="CT135" s="545"/>
      <c r="CU135" s="546"/>
      <c r="CV135" s="546"/>
      <c r="CW135" s="544">
        <f t="shared" si="88"/>
        <v>0</v>
      </c>
      <c r="CX135" s="547">
        <f t="shared" si="89"/>
        <v>0</v>
      </c>
      <c r="CY135" s="611">
        <f t="shared" si="90"/>
        <v>0</v>
      </c>
    </row>
    <row r="136" spans="1:103" s="601" customFormat="1">
      <c r="A136" s="584">
        <v>127</v>
      </c>
      <c r="B136" s="585"/>
      <c r="C136" s="586" t="s">
        <v>953</v>
      </c>
      <c r="D136" s="587"/>
      <c r="E136" s="588"/>
      <c r="F136" s="589"/>
      <c r="G136" s="589"/>
      <c r="H136" s="589"/>
      <c r="I136" s="590"/>
      <c r="J136" s="588"/>
      <c r="K136" s="589"/>
      <c r="L136" s="589"/>
      <c r="M136" s="589"/>
      <c r="N136" s="590"/>
      <c r="O136" s="588"/>
      <c r="P136" s="589"/>
      <c r="Q136" s="590"/>
      <c r="R136" s="588"/>
      <c r="S136" s="589"/>
      <c r="T136" s="589"/>
      <c r="U136" s="589"/>
      <c r="V136" s="589"/>
      <c r="W136" s="589"/>
      <c r="X136" s="590"/>
      <c r="Y136" s="588"/>
      <c r="Z136" s="589"/>
      <c r="AA136" s="589"/>
      <c r="AB136" s="590"/>
      <c r="AC136" s="591"/>
      <c r="AD136" s="612"/>
      <c r="AE136" s="613"/>
      <c r="AF136" s="614"/>
      <c r="AG136" s="612"/>
      <c r="AH136" s="613"/>
      <c r="AI136" s="613"/>
      <c r="AJ136" s="613"/>
      <c r="AK136" s="613"/>
      <c r="AL136" s="613"/>
      <c r="AM136" s="613"/>
      <c r="AN136" s="613"/>
      <c r="AO136" s="613"/>
      <c r="AP136" s="613"/>
      <c r="AQ136" s="614"/>
      <c r="AR136" s="612"/>
      <c r="AS136" s="613"/>
      <c r="AT136" s="613"/>
      <c r="AU136" s="614"/>
      <c r="AV136" s="612"/>
      <c r="AW136" s="613"/>
      <c r="AX136" s="613"/>
      <c r="AY136" s="613"/>
      <c r="AZ136" s="613"/>
      <c r="BA136" s="614"/>
      <c r="BB136" s="612"/>
      <c r="BC136" s="613"/>
      <c r="BD136" s="613"/>
      <c r="BE136" s="613"/>
      <c r="BF136" s="613"/>
      <c r="BG136" s="613"/>
      <c r="BH136" s="613"/>
      <c r="BI136" s="614"/>
      <c r="BJ136" s="595"/>
      <c r="BK136" s="596"/>
      <c r="BL136" s="597"/>
      <c r="BM136" s="597"/>
      <c r="BN136" s="597"/>
      <c r="BO136" s="598"/>
      <c r="BP136" s="596"/>
      <c r="BQ136" s="597"/>
      <c r="BR136" s="597"/>
      <c r="BS136" s="598"/>
      <c r="BT136" s="596"/>
      <c r="BU136" s="598"/>
      <c r="BV136" s="596"/>
      <c r="BW136" s="597"/>
      <c r="BX136" s="597"/>
      <c r="BY136" s="597"/>
      <c r="BZ136" s="597"/>
      <c r="CA136" s="597"/>
      <c r="CB136" s="597"/>
      <c r="CC136" s="597"/>
      <c r="CD136" s="597"/>
      <c r="CE136" s="598"/>
      <c r="CF136" s="596"/>
      <c r="CG136" s="597"/>
      <c r="CH136" s="597"/>
      <c r="CI136" s="597"/>
      <c r="CJ136" s="597"/>
      <c r="CK136" s="597"/>
      <c r="CL136" s="597"/>
      <c r="CM136" s="598"/>
      <c r="CN136" s="596"/>
      <c r="CO136" s="599"/>
      <c r="CP136" s="600"/>
      <c r="CQ136" s="588"/>
      <c r="CR136" s="589"/>
      <c r="CS136" s="590"/>
      <c r="CT136" s="588"/>
      <c r="CU136" s="589"/>
      <c r="CV136" s="589"/>
      <c r="CW136" s="590"/>
      <c r="CX136" s="591"/>
      <c r="CY136" s="615"/>
    </row>
    <row r="137" spans="1:103" s="561" customFormat="1">
      <c r="A137" s="538">
        <v>128</v>
      </c>
      <c r="B137" s="602" t="s">
        <v>100</v>
      </c>
      <c r="C137" s="603" t="s">
        <v>954</v>
      </c>
      <c r="D137" s="541" t="s">
        <v>11</v>
      </c>
      <c r="E137" s="545">
        <v>0</v>
      </c>
      <c r="F137" s="546">
        <v>0</v>
      </c>
      <c r="G137" s="546">
        <v>0</v>
      </c>
      <c r="H137" s="546">
        <v>0</v>
      </c>
      <c r="I137" s="544">
        <f t="shared" si="60"/>
        <v>0</v>
      </c>
      <c r="J137" s="545">
        <v>222</v>
      </c>
      <c r="K137" s="546">
        <v>18</v>
      </c>
      <c r="L137" s="546">
        <v>0</v>
      </c>
      <c r="M137" s="546">
        <v>0</v>
      </c>
      <c r="N137" s="544">
        <f t="shared" si="61"/>
        <v>240</v>
      </c>
      <c r="O137" s="545">
        <v>0</v>
      </c>
      <c r="P137" s="546">
        <v>0</v>
      </c>
      <c r="Q137" s="544">
        <f t="shared" si="62"/>
        <v>0</v>
      </c>
      <c r="R137" s="545">
        <v>0</v>
      </c>
      <c r="S137" s="546">
        <v>0</v>
      </c>
      <c r="T137" s="546">
        <v>0</v>
      </c>
      <c r="U137" s="546">
        <v>0</v>
      </c>
      <c r="V137" s="546">
        <v>0</v>
      </c>
      <c r="W137" s="546">
        <v>0</v>
      </c>
      <c r="X137" s="544">
        <f t="shared" si="63"/>
        <v>0</v>
      </c>
      <c r="Y137" s="545">
        <v>0</v>
      </c>
      <c r="Z137" s="546">
        <v>0</v>
      </c>
      <c r="AA137" s="546">
        <v>0</v>
      </c>
      <c r="AB137" s="544">
        <f t="shared" si="53"/>
        <v>0</v>
      </c>
      <c r="AC137" s="547">
        <f t="shared" ref="AC137:AC149" si="91">+IF(D137="",0,I137+N137+Q137+X137+AB137)</f>
        <v>240</v>
      </c>
      <c r="AD137" s="604">
        <v>90</v>
      </c>
      <c r="AE137" s="605">
        <v>0</v>
      </c>
      <c r="AF137" s="606">
        <f t="shared" si="64"/>
        <v>90</v>
      </c>
      <c r="AG137" s="604">
        <v>0</v>
      </c>
      <c r="AH137" s="605">
        <v>116</v>
      </c>
      <c r="AI137" s="605">
        <v>349</v>
      </c>
      <c r="AJ137" s="605">
        <v>91</v>
      </c>
      <c r="AK137" s="605">
        <v>126</v>
      </c>
      <c r="AL137" s="605">
        <v>18</v>
      </c>
      <c r="AM137" s="605">
        <v>86</v>
      </c>
      <c r="AN137" s="605">
        <v>1181</v>
      </c>
      <c r="AO137" s="605">
        <v>33</v>
      </c>
      <c r="AP137" s="605">
        <v>0</v>
      </c>
      <c r="AQ137" s="606">
        <f t="shared" si="65"/>
        <v>2000</v>
      </c>
      <c r="AR137" s="604">
        <v>3060</v>
      </c>
      <c r="AS137" s="605">
        <v>0</v>
      </c>
      <c r="AT137" s="605">
        <v>0</v>
      </c>
      <c r="AU137" s="606">
        <f t="shared" si="66"/>
        <v>3060</v>
      </c>
      <c r="AV137" s="604">
        <v>0</v>
      </c>
      <c r="AW137" s="605">
        <v>660</v>
      </c>
      <c r="AX137" s="605">
        <v>0</v>
      </c>
      <c r="AY137" s="605">
        <v>480</v>
      </c>
      <c r="AZ137" s="605">
        <v>0</v>
      </c>
      <c r="BA137" s="606">
        <f t="shared" si="67"/>
        <v>1140</v>
      </c>
      <c r="BB137" s="604">
        <v>0</v>
      </c>
      <c r="BC137" s="605">
        <v>60</v>
      </c>
      <c r="BD137" s="605">
        <v>180</v>
      </c>
      <c r="BE137" s="605">
        <v>584</v>
      </c>
      <c r="BF137" s="605">
        <v>76</v>
      </c>
      <c r="BG137" s="605">
        <v>0</v>
      </c>
      <c r="BH137" s="605">
        <v>0</v>
      </c>
      <c r="BI137" s="606">
        <f t="shared" si="55"/>
        <v>900</v>
      </c>
      <c r="BJ137" s="551">
        <f t="shared" ref="BJ137:BJ149" si="92">IF(D137="",0,AF137+AQ137+AU137+BA137+BI137)</f>
        <v>7190</v>
      </c>
      <c r="BK137" s="607">
        <v>107</v>
      </c>
      <c r="BL137" s="608">
        <v>544</v>
      </c>
      <c r="BM137" s="608">
        <v>45</v>
      </c>
      <c r="BN137" s="608"/>
      <c r="BO137" s="557">
        <f t="shared" ref="BO137:BO149" si="93">+BK137+BL137+BM137+BN137</f>
        <v>696</v>
      </c>
      <c r="BP137" s="607"/>
      <c r="BQ137" s="608">
        <v>44</v>
      </c>
      <c r="BR137" s="608"/>
      <c r="BS137" s="557">
        <f t="shared" si="83"/>
        <v>44</v>
      </c>
      <c r="BT137" s="607">
        <v>24</v>
      </c>
      <c r="BU137" s="557">
        <f t="shared" si="68"/>
        <v>24</v>
      </c>
      <c r="BV137" s="607">
        <v>45</v>
      </c>
      <c r="BW137" s="608">
        <v>171</v>
      </c>
      <c r="BX137" s="608">
        <v>121</v>
      </c>
      <c r="BY137" s="608">
        <v>345</v>
      </c>
      <c r="BZ137" s="608"/>
      <c r="CA137" s="608">
        <v>370</v>
      </c>
      <c r="CB137" s="608"/>
      <c r="CC137" s="608"/>
      <c r="CD137" s="608"/>
      <c r="CE137" s="557">
        <f t="shared" si="69"/>
        <v>1052</v>
      </c>
      <c r="CF137" s="607"/>
      <c r="CG137" s="608">
        <v>343</v>
      </c>
      <c r="CH137" s="608"/>
      <c r="CI137" s="608"/>
      <c r="CJ137" s="608"/>
      <c r="CK137" s="608"/>
      <c r="CL137" s="608"/>
      <c r="CM137" s="557">
        <f t="shared" si="70"/>
        <v>343</v>
      </c>
      <c r="CN137" s="607"/>
      <c r="CO137" s="609">
        <f t="shared" si="71"/>
        <v>0</v>
      </c>
      <c r="CP137" s="610">
        <f t="shared" si="58"/>
        <v>2159</v>
      </c>
      <c r="CQ137" s="545"/>
      <c r="CR137" s="546"/>
      <c r="CS137" s="544">
        <f t="shared" ref="CS137:CS149" si="94">+CQ137+CR137</f>
        <v>0</v>
      </c>
      <c r="CT137" s="545"/>
      <c r="CU137" s="546"/>
      <c r="CV137" s="546"/>
      <c r="CW137" s="544">
        <f t="shared" ref="CW137:CW149" si="95">+CT137+CU137+CV137</f>
        <v>0</v>
      </c>
      <c r="CX137" s="547">
        <f t="shared" ref="CX137:CX149" si="96">+CS137+CW137</f>
        <v>0</v>
      </c>
      <c r="CY137" s="611">
        <f t="shared" ref="CY137:CY149" si="97">IF(D137="",0,AC137+BJ137+CP137+CX137)</f>
        <v>9589</v>
      </c>
    </row>
    <row r="138" spans="1:103" s="561" customFormat="1">
      <c r="A138" s="538">
        <v>129</v>
      </c>
      <c r="B138" s="602" t="s">
        <v>16</v>
      </c>
      <c r="C138" s="603" t="s">
        <v>10</v>
      </c>
      <c r="D138" s="541" t="s">
        <v>829</v>
      </c>
      <c r="E138" s="545">
        <v>0</v>
      </c>
      <c r="F138" s="546">
        <v>0</v>
      </c>
      <c r="G138" s="546">
        <v>0</v>
      </c>
      <c r="H138" s="546">
        <v>0</v>
      </c>
      <c r="I138" s="544">
        <f t="shared" si="60"/>
        <v>0</v>
      </c>
      <c r="J138" s="545">
        <v>0</v>
      </c>
      <c r="K138" s="546">
        <v>0</v>
      </c>
      <c r="L138" s="546">
        <v>0</v>
      </c>
      <c r="M138" s="546">
        <v>0</v>
      </c>
      <c r="N138" s="544">
        <f t="shared" si="61"/>
        <v>0</v>
      </c>
      <c r="O138" s="545">
        <v>0</v>
      </c>
      <c r="P138" s="546">
        <v>0</v>
      </c>
      <c r="Q138" s="544">
        <f t="shared" si="62"/>
        <v>0</v>
      </c>
      <c r="R138" s="545">
        <v>0</v>
      </c>
      <c r="S138" s="546">
        <v>0</v>
      </c>
      <c r="T138" s="546">
        <v>0</v>
      </c>
      <c r="U138" s="546">
        <v>0</v>
      </c>
      <c r="V138" s="546">
        <v>0</v>
      </c>
      <c r="W138" s="546">
        <v>0</v>
      </c>
      <c r="X138" s="544">
        <f t="shared" si="63"/>
        <v>0</v>
      </c>
      <c r="Y138" s="545">
        <v>0</v>
      </c>
      <c r="Z138" s="546">
        <v>0</v>
      </c>
      <c r="AA138" s="546">
        <v>0</v>
      </c>
      <c r="AB138" s="544">
        <f t="shared" si="53"/>
        <v>0</v>
      </c>
      <c r="AC138" s="547">
        <f t="shared" si="91"/>
        <v>0</v>
      </c>
      <c r="AD138" s="604">
        <v>0</v>
      </c>
      <c r="AE138" s="605">
        <v>0</v>
      </c>
      <c r="AF138" s="606">
        <f t="shared" si="64"/>
        <v>0</v>
      </c>
      <c r="AG138" s="604">
        <v>0</v>
      </c>
      <c r="AH138" s="605">
        <v>0</v>
      </c>
      <c r="AI138" s="605">
        <v>0</v>
      </c>
      <c r="AJ138" s="605">
        <v>0</v>
      </c>
      <c r="AK138" s="605">
        <v>0</v>
      </c>
      <c r="AL138" s="605">
        <v>0</v>
      </c>
      <c r="AM138" s="605">
        <v>0</v>
      </c>
      <c r="AN138" s="605">
        <v>0</v>
      </c>
      <c r="AO138" s="605">
        <v>0</v>
      </c>
      <c r="AP138" s="605">
        <v>0</v>
      </c>
      <c r="AQ138" s="606">
        <f t="shared" si="65"/>
        <v>0</v>
      </c>
      <c r="AR138" s="604">
        <v>0</v>
      </c>
      <c r="AS138" s="605">
        <v>0</v>
      </c>
      <c r="AT138" s="605">
        <v>0</v>
      </c>
      <c r="AU138" s="606">
        <f t="shared" si="66"/>
        <v>0</v>
      </c>
      <c r="AV138" s="604">
        <v>0</v>
      </c>
      <c r="AW138" s="605">
        <v>0</v>
      </c>
      <c r="AX138" s="605">
        <v>0</v>
      </c>
      <c r="AY138" s="605">
        <v>0</v>
      </c>
      <c r="AZ138" s="605">
        <v>0</v>
      </c>
      <c r="BA138" s="606">
        <f t="shared" si="67"/>
        <v>0</v>
      </c>
      <c r="BB138" s="604">
        <v>0</v>
      </c>
      <c r="BC138" s="605">
        <v>0</v>
      </c>
      <c r="BD138" s="605">
        <v>0</v>
      </c>
      <c r="BE138" s="605">
        <v>0</v>
      </c>
      <c r="BF138" s="605">
        <v>0</v>
      </c>
      <c r="BG138" s="605">
        <v>0</v>
      </c>
      <c r="BH138" s="605">
        <v>0</v>
      </c>
      <c r="BI138" s="606">
        <f t="shared" si="55"/>
        <v>0</v>
      </c>
      <c r="BJ138" s="551">
        <f t="shared" si="92"/>
        <v>0</v>
      </c>
      <c r="BK138" s="607"/>
      <c r="BL138" s="608">
        <v>6</v>
      </c>
      <c r="BM138" s="608"/>
      <c r="BN138" s="608"/>
      <c r="BO138" s="557">
        <f t="shared" si="93"/>
        <v>6</v>
      </c>
      <c r="BP138" s="607"/>
      <c r="BQ138" s="608"/>
      <c r="BR138" s="608"/>
      <c r="BS138" s="557">
        <f t="shared" si="83"/>
        <v>0</v>
      </c>
      <c r="BT138" s="607"/>
      <c r="BU138" s="557">
        <f t="shared" si="68"/>
        <v>0</v>
      </c>
      <c r="BV138" s="607"/>
      <c r="BW138" s="608"/>
      <c r="BX138" s="608"/>
      <c r="BY138" s="608"/>
      <c r="BZ138" s="608"/>
      <c r="CA138" s="608"/>
      <c r="CB138" s="608"/>
      <c r="CC138" s="608"/>
      <c r="CD138" s="608"/>
      <c r="CE138" s="557">
        <f t="shared" si="69"/>
        <v>0</v>
      </c>
      <c r="CF138" s="607"/>
      <c r="CG138" s="608"/>
      <c r="CH138" s="608"/>
      <c r="CI138" s="608"/>
      <c r="CJ138" s="608"/>
      <c r="CK138" s="608"/>
      <c r="CL138" s="608"/>
      <c r="CM138" s="557">
        <f t="shared" si="70"/>
        <v>0</v>
      </c>
      <c r="CN138" s="607"/>
      <c r="CO138" s="609">
        <f t="shared" si="71"/>
        <v>0</v>
      </c>
      <c r="CP138" s="610">
        <f t="shared" si="58"/>
        <v>6</v>
      </c>
      <c r="CQ138" s="545"/>
      <c r="CR138" s="546"/>
      <c r="CS138" s="544">
        <f t="shared" si="94"/>
        <v>0</v>
      </c>
      <c r="CT138" s="545"/>
      <c r="CU138" s="546"/>
      <c r="CV138" s="546"/>
      <c r="CW138" s="544">
        <f t="shared" si="95"/>
        <v>0</v>
      </c>
      <c r="CX138" s="547">
        <f t="shared" si="96"/>
        <v>0</v>
      </c>
      <c r="CY138" s="611">
        <f t="shared" si="97"/>
        <v>6</v>
      </c>
    </row>
    <row r="139" spans="1:103" s="561" customFormat="1">
      <c r="A139" s="538">
        <v>130</v>
      </c>
      <c r="B139" s="602" t="s">
        <v>955</v>
      </c>
      <c r="C139" s="603" t="s">
        <v>956</v>
      </c>
      <c r="D139" s="541" t="s">
        <v>11</v>
      </c>
      <c r="E139" s="545">
        <v>4606.18</v>
      </c>
      <c r="F139" s="546">
        <v>2013</v>
      </c>
      <c r="G139" s="546">
        <v>540</v>
      </c>
      <c r="H139" s="546">
        <v>5101.08</v>
      </c>
      <c r="I139" s="544">
        <f t="shared" si="60"/>
        <v>12260.26</v>
      </c>
      <c r="J139" s="545">
        <v>6105</v>
      </c>
      <c r="K139" s="546">
        <v>12207</v>
      </c>
      <c r="L139" s="546">
        <v>6102</v>
      </c>
      <c r="M139" s="546">
        <v>6105</v>
      </c>
      <c r="N139" s="544">
        <f t="shared" si="61"/>
        <v>30519</v>
      </c>
      <c r="O139" s="545">
        <v>4596</v>
      </c>
      <c r="P139" s="546">
        <v>6210</v>
      </c>
      <c r="Q139" s="544">
        <f t="shared" si="62"/>
        <v>10806</v>
      </c>
      <c r="R139" s="545">
        <v>1380</v>
      </c>
      <c r="S139" s="546">
        <v>420</v>
      </c>
      <c r="T139" s="546">
        <v>600</v>
      </c>
      <c r="U139" s="546">
        <v>2215.5</v>
      </c>
      <c r="V139" s="546">
        <v>1890</v>
      </c>
      <c r="W139" s="546">
        <v>360</v>
      </c>
      <c r="X139" s="544">
        <f t="shared" si="63"/>
        <v>6865.5</v>
      </c>
      <c r="Y139" s="545">
        <v>3300</v>
      </c>
      <c r="Z139" s="546">
        <v>1680</v>
      </c>
      <c r="AA139" s="546">
        <v>4200</v>
      </c>
      <c r="AB139" s="544">
        <f t="shared" si="53"/>
        <v>9180</v>
      </c>
      <c r="AC139" s="547">
        <f t="shared" si="91"/>
        <v>69630.760000000009</v>
      </c>
      <c r="AD139" s="604">
        <v>4077</v>
      </c>
      <c r="AE139" s="605">
        <v>2700</v>
      </c>
      <c r="AF139" s="606">
        <f t="shared" si="64"/>
        <v>6777</v>
      </c>
      <c r="AG139" s="604">
        <v>1065.6000000000001</v>
      </c>
      <c r="AH139" s="605">
        <v>17506.050000000003</v>
      </c>
      <c r="AI139" s="605">
        <v>2529</v>
      </c>
      <c r="AJ139" s="605">
        <v>110.63999999999999</v>
      </c>
      <c r="AK139" s="605">
        <v>449.99999999999994</v>
      </c>
      <c r="AL139" s="605">
        <v>110.99999999999999</v>
      </c>
      <c r="AM139" s="605">
        <v>2718</v>
      </c>
      <c r="AN139" s="605">
        <v>5233.1699999999992</v>
      </c>
      <c r="AO139" s="605">
        <v>283.71000000000004</v>
      </c>
      <c r="AP139" s="605">
        <v>570.00000000000011</v>
      </c>
      <c r="AQ139" s="606">
        <f t="shared" si="65"/>
        <v>30577.17</v>
      </c>
      <c r="AR139" s="604">
        <v>9444.4199999999983</v>
      </c>
      <c r="AS139" s="605">
        <v>7546.5599999999995</v>
      </c>
      <c r="AT139" s="605">
        <v>1739.9999999999998</v>
      </c>
      <c r="AU139" s="606">
        <f t="shared" si="66"/>
        <v>18730.979999999996</v>
      </c>
      <c r="AV139" s="604">
        <v>66</v>
      </c>
      <c r="AW139" s="605">
        <v>6675.0000000000009</v>
      </c>
      <c r="AX139" s="605">
        <v>150.00000000000003</v>
      </c>
      <c r="AY139" s="605">
        <v>4350</v>
      </c>
      <c r="AZ139" s="605">
        <v>210.00000000000003</v>
      </c>
      <c r="BA139" s="606">
        <f t="shared" si="67"/>
        <v>11451</v>
      </c>
      <c r="BB139" s="604">
        <v>6240</v>
      </c>
      <c r="BC139" s="605">
        <v>165</v>
      </c>
      <c r="BD139" s="605">
        <v>1560</v>
      </c>
      <c r="BE139" s="605">
        <v>4199.9999999999991</v>
      </c>
      <c r="BF139" s="605">
        <v>990</v>
      </c>
      <c r="BG139" s="605">
        <v>165</v>
      </c>
      <c r="BH139" s="605">
        <v>390</v>
      </c>
      <c r="BI139" s="606">
        <f t="shared" si="55"/>
        <v>13710</v>
      </c>
      <c r="BJ139" s="551">
        <f t="shared" si="92"/>
        <v>81246.149999999994</v>
      </c>
      <c r="BK139" s="607">
        <v>6300</v>
      </c>
      <c r="BL139" s="608">
        <v>14100</v>
      </c>
      <c r="BM139" s="608">
        <v>4290</v>
      </c>
      <c r="BN139" s="608">
        <v>567</v>
      </c>
      <c r="BO139" s="557">
        <f t="shared" si="93"/>
        <v>25257</v>
      </c>
      <c r="BP139" s="607">
        <v>1800</v>
      </c>
      <c r="BQ139" s="608">
        <v>1590</v>
      </c>
      <c r="BR139" s="608">
        <v>3210</v>
      </c>
      <c r="BS139" s="557">
        <f t="shared" si="83"/>
        <v>6600</v>
      </c>
      <c r="BT139" s="607">
        <v>2.34</v>
      </c>
      <c r="BU139" s="557">
        <f t="shared" si="68"/>
        <v>2.34</v>
      </c>
      <c r="BV139" s="607">
        <v>810</v>
      </c>
      <c r="BW139" s="608"/>
      <c r="BX139" s="608"/>
      <c r="BY139" s="608">
        <v>1860</v>
      </c>
      <c r="BZ139" s="608">
        <v>1011.51</v>
      </c>
      <c r="CA139" s="608"/>
      <c r="CB139" s="608">
        <v>1200</v>
      </c>
      <c r="CC139" s="608">
        <v>540</v>
      </c>
      <c r="CD139" s="608">
        <v>825</v>
      </c>
      <c r="CE139" s="557">
        <f t="shared" si="69"/>
        <v>6246.51</v>
      </c>
      <c r="CF139" s="607"/>
      <c r="CG139" s="608">
        <v>9450</v>
      </c>
      <c r="CH139" s="608">
        <v>1110</v>
      </c>
      <c r="CI139" s="608">
        <v>540</v>
      </c>
      <c r="CJ139" s="608">
        <v>330</v>
      </c>
      <c r="CK139" s="608">
        <v>330</v>
      </c>
      <c r="CL139" s="608">
        <v>150</v>
      </c>
      <c r="CM139" s="557">
        <f t="shared" si="70"/>
        <v>11910</v>
      </c>
      <c r="CN139" s="607">
        <v>720</v>
      </c>
      <c r="CO139" s="609">
        <f t="shared" si="71"/>
        <v>720</v>
      </c>
      <c r="CP139" s="610">
        <f t="shared" si="58"/>
        <v>50735.850000000006</v>
      </c>
      <c r="CQ139" s="545"/>
      <c r="CR139" s="546"/>
      <c r="CS139" s="544">
        <f t="shared" si="94"/>
        <v>0</v>
      </c>
      <c r="CT139" s="545"/>
      <c r="CU139" s="546"/>
      <c r="CV139" s="546"/>
      <c r="CW139" s="544">
        <f t="shared" si="95"/>
        <v>0</v>
      </c>
      <c r="CX139" s="547">
        <f t="shared" si="96"/>
        <v>0</v>
      </c>
      <c r="CY139" s="611">
        <f t="shared" si="97"/>
        <v>201612.76</v>
      </c>
    </row>
    <row r="140" spans="1:103" s="561" customFormat="1">
      <c r="A140" s="538">
        <v>131</v>
      </c>
      <c r="B140" s="602" t="s">
        <v>957</v>
      </c>
      <c r="C140" s="603" t="s">
        <v>21</v>
      </c>
      <c r="D140" s="541" t="s">
        <v>827</v>
      </c>
      <c r="E140" s="545">
        <v>160</v>
      </c>
      <c r="F140" s="546">
        <v>66</v>
      </c>
      <c r="G140" s="546">
        <v>23</v>
      </c>
      <c r="H140" s="546">
        <v>213</v>
      </c>
      <c r="I140" s="544">
        <f t="shared" si="60"/>
        <v>462</v>
      </c>
      <c r="J140" s="545">
        <v>169.58333333333334</v>
      </c>
      <c r="K140" s="546">
        <v>339.08333333333331</v>
      </c>
      <c r="L140" s="546">
        <v>169.5</v>
      </c>
      <c r="M140" s="546">
        <v>169.58333333333334</v>
      </c>
      <c r="N140" s="544">
        <f t="shared" si="61"/>
        <v>847.75</v>
      </c>
      <c r="O140" s="545">
        <v>127.66666666666667</v>
      </c>
      <c r="P140" s="546">
        <v>172.5</v>
      </c>
      <c r="Q140" s="544">
        <f t="shared" si="62"/>
        <v>300.16666666666669</v>
      </c>
      <c r="R140" s="545">
        <v>57</v>
      </c>
      <c r="S140" s="546">
        <v>18</v>
      </c>
      <c r="T140" s="546">
        <v>24</v>
      </c>
      <c r="U140" s="546">
        <v>63</v>
      </c>
      <c r="V140" s="546">
        <v>54</v>
      </c>
      <c r="W140" s="546">
        <v>9</v>
      </c>
      <c r="X140" s="544">
        <f t="shared" si="63"/>
        <v>225</v>
      </c>
      <c r="Y140" s="545">
        <v>96</v>
      </c>
      <c r="Z140" s="546">
        <v>73</v>
      </c>
      <c r="AA140" s="546">
        <v>121</v>
      </c>
      <c r="AB140" s="544">
        <f t="shared" si="53"/>
        <v>290</v>
      </c>
      <c r="AC140" s="547">
        <f t="shared" si="91"/>
        <v>2124.916666666667</v>
      </c>
      <c r="AD140" s="604">
        <v>113</v>
      </c>
      <c r="AE140" s="605">
        <v>75</v>
      </c>
      <c r="AF140" s="606">
        <f t="shared" si="64"/>
        <v>188</v>
      </c>
      <c r="AG140" s="604">
        <v>30</v>
      </c>
      <c r="AH140" s="605">
        <v>487</v>
      </c>
      <c r="AI140" s="605">
        <v>71</v>
      </c>
      <c r="AJ140" s="605">
        <v>4</v>
      </c>
      <c r="AK140" s="605">
        <v>13</v>
      </c>
      <c r="AL140" s="605">
        <v>4</v>
      </c>
      <c r="AM140" s="605">
        <v>76</v>
      </c>
      <c r="AN140" s="605">
        <v>146</v>
      </c>
      <c r="AO140" s="605">
        <v>8</v>
      </c>
      <c r="AP140" s="605">
        <v>16</v>
      </c>
      <c r="AQ140" s="606">
        <f t="shared" si="65"/>
        <v>855</v>
      </c>
      <c r="AR140" s="604">
        <v>263</v>
      </c>
      <c r="AS140" s="605">
        <v>210</v>
      </c>
      <c r="AT140" s="605">
        <v>49</v>
      </c>
      <c r="AU140" s="606">
        <f t="shared" si="66"/>
        <v>522</v>
      </c>
      <c r="AV140" s="604">
        <v>2</v>
      </c>
      <c r="AW140" s="605">
        <v>185</v>
      </c>
      <c r="AX140" s="605">
        <v>4</v>
      </c>
      <c r="AY140" s="605">
        <v>121</v>
      </c>
      <c r="AZ140" s="605">
        <v>6</v>
      </c>
      <c r="BA140" s="606">
        <f t="shared" si="67"/>
        <v>318</v>
      </c>
      <c r="BB140" s="604">
        <v>174</v>
      </c>
      <c r="BC140" s="605">
        <v>5</v>
      </c>
      <c r="BD140" s="605">
        <v>44</v>
      </c>
      <c r="BE140" s="605">
        <v>117</v>
      </c>
      <c r="BF140" s="605">
        <v>28</v>
      </c>
      <c r="BG140" s="605">
        <v>5</v>
      </c>
      <c r="BH140" s="605">
        <v>11</v>
      </c>
      <c r="BI140" s="606">
        <f t="shared" si="55"/>
        <v>384</v>
      </c>
      <c r="BJ140" s="551">
        <f t="shared" si="92"/>
        <v>2267</v>
      </c>
      <c r="BK140" s="607">
        <v>175</v>
      </c>
      <c r="BL140" s="608">
        <v>392</v>
      </c>
      <c r="BM140" s="608">
        <v>120</v>
      </c>
      <c r="BN140" s="608">
        <v>16</v>
      </c>
      <c r="BO140" s="557">
        <f t="shared" si="93"/>
        <v>703</v>
      </c>
      <c r="BP140" s="607">
        <v>50</v>
      </c>
      <c r="BQ140" s="608">
        <v>45</v>
      </c>
      <c r="BR140" s="608">
        <v>90</v>
      </c>
      <c r="BS140" s="557">
        <f t="shared" si="83"/>
        <v>185</v>
      </c>
      <c r="BT140" s="607"/>
      <c r="BU140" s="557">
        <f t="shared" si="68"/>
        <v>0</v>
      </c>
      <c r="BV140" s="607">
        <v>36.75</v>
      </c>
      <c r="BW140" s="608">
        <v>198</v>
      </c>
      <c r="BX140" s="608">
        <v>136</v>
      </c>
      <c r="BY140" s="608">
        <v>81</v>
      </c>
      <c r="BZ140" s="608">
        <v>45</v>
      </c>
      <c r="CA140" s="608">
        <v>449</v>
      </c>
      <c r="CB140" s="608">
        <v>50</v>
      </c>
      <c r="CC140" s="608">
        <v>23</v>
      </c>
      <c r="CD140" s="608">
        <v>34.28</v>
      </c>
      <c r="CE140" s="557">
        <f t="shared" si="69"/>
        <v>1053.03</v>
      </c>
      <c r="CF140" s="607"/>
      <c r="CG140" s="608">
        <v>393.75</v>
      </c>
      <c r="CH140" s="608">
        <v>46.25</v>
      </c>
      <c r="CI140" s="608">
        <v>22.5</v>
      </c>
      <c r="CJ140" s="608">
        <v>13.75</v>
      </c>
      <c r="CK140" s="608">
        <v>13.75</v>
      </c>
      <c r="CL140" s="608">
        <v>6.25</v>
      </c>
      <c r="CM140" s="557">
        <f t="shared" si="70"/>
        <v>496.25</v>
      </c>
      <c r="CN140" s="607">
        <v>33</v>
      </c>
      <c r="CO140" s="609">
        <f t="shared" si="71"/>
        <v>33</v>
      </c>
      <c r="CP140" s="610">
        <f t="shared" si="58"/>
        <v>2470.2799999999997</v>
      </c>
      <c r="CQ140" s="545"/>
      <c r="CR140" s="546"/>
      <c r="CS140" s="544">
        <f t="shared" si="94"/>
        <v>0</v>
      </c>
      <c r="CT140" s="545"/>
      <c r="CU140" s="546"/>
      <c r="CV140" s="546"/>
      <c r="CW140" s="544">
        <f t="shared" si="95"/>
        <v>0</v>
      </c>
      <c r="CX140" s="547">
        <f t="shared" si="96"/>
        <v>0</v>
      </c>
      <c r="CY140" s="611">
        <f t="shared" si="97"/>
        <v>6862.1966666666667</v>
      </c>
    </row>
    <row r="141" spans="1:103" s="561" customFormat="1">
      <c r="A141" s="538">
        <v>132</v>
      </c>
      <c r="B141" s="602" t="s">
        <v>958</v>
      </c>
      <c r="C141" s="603" t="s">
        <v>959</v>
      </c>
      <c r="D141" s="541" t="s">
        <v>843</v>
      </c>
      <c r="E141" s="545">
        <v>15</v>
      </c>
      <c r="F141" s="546">
        <v>0</v>
      </c>
      <c r="G141" s="546">
        <v>0</v>
      </c>
      <c r="H141" s="546">
        <v>0</v>
      </c>
      <c r="I141" s="544">
        <f t="shared" si="60"/>
        <v>15</v>
      </c>
      <c r="J141" s="545">
        <v>0</v>
      </c>
      <c r="K141" s="546">
        <v>0</v>
      </c>
      <c r="L141" s="546">
        <v>0</v>
      </c>
      <c r="M141" s="546">
        <v>0</v>
      </c>
      <c r="N141" s="544">
        <f t="shared" si="61"/>
        <v>0</v>
      </c>
      <c r="O141" s="545">
        <v>15</v>
      </c>
      <c r="P141" s="546">
        <v>30</v>
      </c>
      <c r="Q141" s="544">
        <f t="shared" si="62"/>
        <v>45</v>
      </c>
      <c r="R141" s="545">
        <v>0</v>
      </c>
      <c r="S141" s="546">
        <v>0</v>
      </c>
      <c r="T141" s="546">
        <v>0</v>
      </c>
      <c r="U141" s="546">
        <v>0</v>
      </c>
      <c r="V141" s="546">
        <v>0</v>
      </c>
      <c r="W141" s="546">
        <v>0</v>
      </c>
      <c r="X141" s="544">
        <f t="shared" si="63"/>
        <v>0</v>
      </c>
      <c r="Y141" s="545">
        <v>4.1399999999999997</v>
      </c>
      <c r="Z141" s="546">
        <v>0</v>
      </c>
      <c r="AA141" s="546">
        <v>0</v>
      </c>
      <c r="AB141" s="544">
        <f t="shared" si="53"/>
        <v>4.1399999999999997</v>
      </c>
      <c r="AC141" s="547">
        <f t="shared" si="91"/>
        <v>64.14</v>
      </c>
      <c r="AD141" s="604">
        <v>0</v>
      </c>
      <c r="AE141" s="605">
        <v>0</v>
      </c>
      <c r="AF141" s="606">
        <f t="shared" si="64"/>
        <v>0</v>
      </c>
      <c r="AG141" s="604">
        <v>0</v>
      </c>
      <c r="AH141" s="605">
        <v>0</v>
      </c>
      <c r="AI141" s="605">
        <v>0</v>
      </c>
      <c r="AJ141" s="605">
        <v>0</v>
      </c>
      <c r="AK141" s="605">
        <v>0</v>
      </c>
      <c r="AL141" s="605">
        <v>0</v>
      </c>
      <c r="AM141" s="605">
        <v>0</v>
      </c>
      <c r="AN141" s="605">
        <v>0</v>
      </c>
      <c r="AO141" s="605">
        <v>0</v>
      </c>
      <c r="AP141" s="605">
        <v>0</v>
      </c>
      <c r="AQ141" s="606">
        <f t="shared" si="65"/>
        <v>0</v>
      </c>
      <c r="AR141" s="604">
        <v>0</v>
      </c>
      <c r="AS141" s="605">
        <v>0</v>
      </c>
      <c r="AT141" s="605">
        <v>0</v>
      </c>
      <c r="AU141" s="606">
        <f t="shared" si="66"/>
        <v>0</v>
      </c>
      <c r="AV141" s="604">
        <v>0</v>
      </c>
      <c r="AW141" s="605">
        <v>0</v>
      </c>
      <c r="AX141" s="605">
        <v>0</v>
      </c>
      <c r="AY141" s="605">
        <v>0</v>
      </c>
      <c r="AZ141" s="605">
        <v>0</v>
      </c>
      <c r="BA141" s="606">
        <f t="shared" si="67"/>
        <v>0</v>
      </c>
      <c r="BB141" s="604">
        <v>0</v>
      </c>
      <c r="BC141" s="605">
        <v>0</v>
      </c>
      <c r="BD141" s="605">
        <v>0</v>
      </c>
      <c r="BE141" s="605">
        <v>0</v>
      </c>
      <c r="BF141" s="605">
        <v>0</v>
      </c>
      <c r="BG141" s="605">
        <v>0</v>
      </c>
      <c r="BH141" s="605">
        <v>0</v>
      </c>
      <c r="BI141" s="606">
        <f t="shared" si="55"/>
        <v>0</v>
      </c>
      <c r="BJ141" s="551">
        <f t="shared" si="92"/>
        <v>0</v>
      </c>
      <c r="BK141" s="607"/>
      <c r="BL141" s="608"/>
      <c r="BM141" s="608"/>
      <c r="BN141" s="608"/>
      <c r="BO141" s="557">
        <f t="shared" si="93"/>
        <v>0</v>
      </c>
      <c r="BP141" s="607"/>
      <c r="BQ141" s="608"/>
      <c r="BR141" s="608"/>
      <c r="BS141" s="557">
        <f t="shared" si="83"/>
        <v>0</v>
      </c>
      <c r="BT141" s="607"/>
      <c r="BU141" s="557">
        <f t="shared" si="68"/>
        <v>0</v>
      </c>
      <c r="BV141" s="607"/>
      <c r="BW141" s="608"/>
      <c r="BX141" s="608"/>
      <c r="BY141" s="608"/>
      <c r="BZ141" s="608"/>
      <c r="CA141" s="608"/>
      <c r="CB141" s="608"/>
      <c r="CC141" s="608"/>
      <c r="CD141" s="608"/>
      <c r="CE141" s="557">
        <f t="shared" si="69"/>
        <v>0</v>
      </c>
      <c r="CF141" s="607"/>
      <c r="CG141" s="608"/>
      <c r="CH141" s="608"/>
      <c r="CI141" s="608"/>
      <c r="CJ141" s="608"/>
      <c r="CK141" s="608"/>
      <c r="CL141" s="608"/>
      <c r="CM141" s="557">
        <f t="shared" si="70"/>
        <v>0</v>
      </c>
      <c r="CN141" s="607"/>
      <c r="CO141" s="609">
        <f t="shared" si="71"/>
        <v>0</v>
      </c>
      <c r="CP141" s="610">
        <f t="shared" si="58"/>
        <v>0</v>
      </c>
      <c r="CQ141" s="545"/>
      <c r="CR141" s="546"/>
      <c r="CS141" s="544">
        <f t="shared" si="94"/>
        <v>0</v>
      </c>
      <c r="CT141" s="545"/>
      <c r="CU141" s="546"/>
      <c r="CV141" s="546"/>
      <c r="CW141" s="544">
        <f t="shared" si="95"/>
        <v>0</v>
      </c>
      <c r="CX141" s="547">
        <f t="shared" si="96"/>
        <v>0</v>
      </c>
      <c r="CY141" s="611">
        <f t="shared" si="97"/>
        <v>64.14</v>
      </c>
    </row>
    <row r="142" spans="1:103" s="561" customFormat="1">
      <c r="A142" s="538">
        <v>133</v>
      </c>
      <c r="B142" s="602" t="s">
        <v>960</v>
      </c>
      <c r="C142" s="603" t="s">
        <v>961</v>
      </c>
      <c r="D142" s="541" t="s">
        <v>827</v>
      </c>
      <c r="E142" s="545">
        <v>0</v>
      </c>
      <c r="F142" s="546">
        <v>0</v>
      </c>
      <c r="G142" s="546">
        <v>0</v>
      </c>
      <c r="H142" s="546">
        <v>0</v>
      </c>
      <c r="I142" s="544">
        <f t="shared" si="60"/>
        <v>0</v>
      </c>
      <c r="J142" s="545">
        <v>0</v>
      </c>
      <c r="K142" s="546">
        <v>0</v>
      </c>
      <c r="L142" s="546">
        <v>0</v>
      </c>
      <c r="M142" s="546">
        <v>0</v>
      </c>
      <c r="N142" s="544">
        <f t="shared" si="61"/>
        <v>0</v>
      </c>
      <c r="O142" s="545">
        <v>0</v>
      </c>
      <c r="P142" s="546">
        <v>0</v>
      </c>
      <c r="Q142" s="544">
        <f t="shared" si="62"/>
        <v>0</v>
      </c>
      <c r="R142" s="545">
        <v>0</v>
      </c>
      <c r="S142" s="546">
        <v>0</v>
      </c>
      <c r="T142" s="546">
        <v>0</v>
      </c>
      <c r="U142" s="546">
        <v>0</v>
      </c>
      <c r="V142" s="546">
        <v>0</v>
      </c>
      <c r="W142" s="546">
        <v>0</v>
      </c>
      <c r="X142" s="544">
        <f t="shared" si="63"/>
        <v>0</v>
      </c>
      <c r="Y142" s="545">
        <v>0</v>
      </c>
      <c r="Z142" s="546">
        <v>0</v>
      </c>
      <c r="AA142" s="546">
        <v>0</v>
      </c>
      <c r="AB142" s="544">
        <f t="shared" si="53"/>
        <v>0</v>
      </c>
      <c r="AC142" s="547">
        <f t="shared" si="91"/>
        <v>0</v>
      </c>
      <c r="AD142" s="604">
        <v>0</v>
      </c>
      <c r="AE142" s="605">
        <v>0</v>
      </c>
      <c r="AF142" s="606">
        <f t="shared" si="64"/>
        <v>0</v>
      </c>
      <c r="AG142" s="604">
        <v>0</v>
      </c>
      <c r="AH142" s="605">
        <v>4</v>
      </c>
      <c r="AI142" s="605">
        <v>0</v>
      </c>
      <c r="AJ142" s="605">
        <v>0</v>
      </c>
      <c r="AK142" s="605">
        <v>0</v>
      </c>
      <c r="AL142" s="605">
        <v>0</v>
      </c>
      <c r="AM142" s="605">
        <v>0</v>
      </c>
      <c r="AN142" s="605">
        <v>2</v>
      </c>
      <c r="AO142" s="605">
        <v>0</v>
      </c>
      <c r="AP142" s="605">
        <v>0</v>
      </c>
      <c r="AQ142" s="606">
        <f t="shared" si="65"/>
        <v>6</v>
      </c>
      <c r="AR142" s="604">
        <v>1</v>
      </c>
      <c r="AS142" s="605">
        <v>1</v>
      </c>
      <c r="AT142" s="605">
        <v>5</v>
      </c>
      <c r="AU142" s="606">
        <f t="shared" si="66"/>
        <v>7</v>
      </c>
      <c r="AV142" s="604">
        <v>0</v>
      </c>
      <c r="AW142" s="605">
        <v>1</v>
      </c>
      <c r="AX142" s="605">
        <v>2</v>
      </c>
      <c r="AY142" s="605">
        <v>4</v>
      </c>
      <c r="AZ142" s="605">
        <v>0</v>
      </c>
      <c r="BA142" s="606">
        <f t="shared" si="67"/>
        <v>7</v>
      </c>
      <c r="BB142" s="604">
        <v>6</v>
      </c>
      <c r="BC142" s="605">
        <v>0</v>
      </c>
      <c r="BD142" s="605">
        <v>4</v>
      </c>
      <c r="BE142" s="605">
        <v>1</v>
      </c>
      <c r="BF142" s="605">
        <v>2</v>
      </c>
      <c r="BG142" s="605">
        <v>0</v>
      </c>
      <c r="BH142" s="605">
        <v>0</v>
      </c>
      <c r="BI142" s="606">
        <f t="shared" si="55"/>
        <v>13</v>
      </c>
      <c r="BJ142" s="551">
        <f t="shared" si="92"/>
        <v>33</v>
      </c>
      <c r="BK142" s="607">
        <v>6</v>
      </c>
      <c r="BL142" s="608">
        <v>17</v>
      </c>
      <c r="BM142" s="608">
        <v>1</v>
      </c>
      <c r="BN142" s="608"/>
      <c r="BO142" s="557">
        <f t="shared" si="93"/>
        <v>24</v>
      </c>
      <c r="BP142" s="607">
        <v>1</v>
      </c>
      <c r="BQ142" s="608"/>
      <c r="BR142" s="608"/>
      <c r="BS142" s="557">
        <f t="shared" si="83"/>
        <v>1</v>
      </c>
      <c r="BT142" s="607"/>
      <c r="BU142" s="557">
        <f t="shared" si="68"/>
        <v>0</v>
      </c>
      <c r="BV142" s="607">
        <v>2</v>
      </c>
      <c r="BW142" s="608">
        <v>18</v>
      </c>
      <c r="BX142" s="608">
        <v>15</v>
      </c>
      <c r="BY142" s="608">
        <v>5</v>
      </c>
      <c r="BZ142" s="608"/>
      <c r="CA142" s="608">
        <v>14</v>
      </c>
      <c r="CB142" s="608"/>
      <c r="CC142" s="608"/>
      <c r="CD142" s="608"/>
      <c r="CE142" s="557">
        <f t="shared" si="69"/>
        <v>54</v>
      </c>
      <c r="CF142" s="607">
        <v>8</v>
      </c>
      <c r="CG142" s="608">
        <v>18</v>
      </c>
      <c r="CH142" s="608"/>
      <c r="CI142" s="608"/>
      <c r="CJ142" s="608"/>
      <c r="CK142" s="608"/>
      <c r="CL142" s="608"/>
      <c r="CM142" s="557">
        <f t="shared" si="70"/>
        <v>26</v>
      </c>
      <c r="CN142" s="607"/>
      <c r="CO142" s="609">
        <f t="shared" si="71"/>
        <v>0</v>
      </c>
      <c r="CP142" s="610">
        <f t="shared" si="58"/>
        <v>105</v>
      </c>
      <c r="CQ142" s="545"/>
      <c r="CR142" s="546"/>
      <c r="CS142" s="544">
        <f t="shared" si="94"/>
        <v>0</v>
      </c>
      <c r="CT142" s="545"/>
      <c r="CU142" s="546"/>
      <c r="CV142" s="546"/>
      <c r="CW142" s="544">
        <f t="shared" si="95"/>
        <v>0</v>
      </c>
      <c r="CX142" s="547">
        <f t="shared" si="96"/>
        <v>0</v>
      </c>
      <c r="CY142" s="611">
        <f t="shared" si="97"/>
        <v>138</v>
      </c>
    </row>
    <row r="143" spans="1:103" s="561" customFormat="1">
      <c r="A143" s="538">
        <v>134</v>
      </c>
      <c r="B143" s="602" t="s">
        <v>962</v>
      </c>
      <c r="C143" s="603" t="s">
        <v>963</v>
      </c>
      <c r="D143" s="541" t="s">
        <v>827</v>
      </c>
      <c r="E143" s="545">
        <v>6</v>
      </c>
      <c r="F143" s="546">
        <v>0</v>
      </c>
      <c r="G143" s="546">
        <v>0</v>
      </c>
      <c r="H143" s="546">
        <v>1</v>
      </c>
      <c r="I143" s="544">
        <f t="shared" si="60"/>
        <v>7</v>
      </c>
      <c r="J143" s="545">
        <v>1</v>
      </c>
      <c r="K143" s="546">
        <v>2</v>
      </c>
      <c r="L143" s="546">
        <v>3</v>
      </c>
      <c r="M143" s="546">
        <v>7</v>
      </c>
      <c r="N143" s="544">
        <f t="shared" si="61"/>
        <v>13</v>
      </c>
      <c r="O143" s="545">
        <v>3</v>
      </c>
      <c r="P143" s="546">
        <v>1</v>
      </c>
      <c r="Q143" s="544">
        <f t="shared" si="62"/>
        <v>4</v>
      </c>
      <c r="R143" s="545">
        <v>0</v>
      </c>
      <c r="S143" s="546">
        <v>0</v>
      </c>
      <c r="T143" s="546">
        <v>0</v>
      </c>
      <c r="U143" s="546">
        <v>1.131</v>
      </c>
      <c r="V143" s="546">
        <v>0</v>
      </c>
      <c r="W143" s="546">
        <v>0</v>
      </c>
      <c r="X143" s="544">
        <f t="shared" si="63"/>
        <v>1.131</v>
      </c>
      <c r="Y143" s="545">
        <v>0</v>
      </c>
      <c r="Z143" s="546">
        <v>0</v>
      </c>
      <c r="AA143" s="546">
        <v>0</v>
      </c>
      <c r="AB143" s="544">
        <f t="shared" si="53"/>
        <v>0</v>
      </c>
      <c r="AC143" s="547">
        <f t="shared" si="91"/>
        <v>25.131</v>
      </c>
      <c r="AD143" s="604">
        <v>0</v>
      </c>
      <c r="AE143" s="605">
        <v>0</v>
      </c>
      <c r="AF143" s="606">
        <f t="shared" si="64"/>
        <v>0</v>
      </c>
      <c r="AG143" s="604">
        <v>0</v>
      </c>
      <c r="AH143" s="605">
        <v>2</v>
      </c>
      <c r="AI143" s="605">
        <v>0</v>
      </c>
      <c r="AJ143" s="605">
        <v>0</v>
      </c>
      <c r="AK143" s="605">
        <v>1</v>
      </c>
      <c r="AL143" s="605">
        <v>1</v>
      </c>
      <c r="AM143" s="605">
        <v>0</v>
      </c>
      <c r="AN143" s="605">
        <v>2</v>
      </c>
      <c r="AO143" s="605">
        <v>1</v>
      </c>
      <c r="AP143" s="605">
        <v>0</v>
      </c>
      <c r="AQ143" s="606">
        <f t="shared" si="65"/>
        <v>7</v>
      </c>
      <c r="AR143" s="604">
        <v>1</v>
      </c>
      <c r="AS143" s="605">
        <v>0</v>
      </c>
      <c r="AT143" s="605">
        <v>0</v>
      </c>
      <c r="AU143" s="606">
        <f t="shared" si="66"/>
        <v>1</v>
      </c>
      <c r="AV143" s="604">
        <v>0</v>
      </c>
      <c r="AW143" s="605">
        <v>0</v>
      </c>
      <c r="AX143" s="605">
        <v>0</v>
      </c>
      <c r="AY143" s="605">
        <v>1</v>
      </c>
      <c r="AZ143" s="605">
        <v>0</v>
      </c>
      <c r="BA143" s="606">
        <f t="shared" si="67"/>
        <v>1</v>
      </c>
      <c r="BB143" s="604">
        <v>0</v>
      </c>
      <c r="BC143" s="605">
        <v>0</v>
      </c>
      <c r="BD143" s="605">
        <v>0</v>
      </c>
      <c r="BE143" s="605">
        <v>0</v>
      </c>
      <c r="BF143" s="605">
        <v>0</v>
      </c>
      <c r="BG143" s="605">
        <v>0</v>
      </c>
      <c r="BH143" s="605">
        <v>0</v>
      </c>
      <c r="BI143" s="606">
        <f t="shared" si="55"/>
        <v>0</v>
      </c>
      <c r="BJ143" s="551">
        <f t="shared" si="92"/>
        <v>9</v>
      </c>
      <c r="BK143" s="607">
        <v>4</v>
      </c>
      <c r="BL143" s="608">
        <v>12</v>
      </c>
      <c r="BM143" s="608">
        <v>36</v>
      </c>
      <c r="BN143" s="608"/>
      <c r="BO143" s="557">
        <f t="shared" si="93"/>
        <v>52</v>
      </c>
      <c r="BP143" s="607">
        <v>3</v>
      </c>
      <c r="BQ143" s="608">
        <v>1</v>
      </c>
      <c r="BR143" s="608"/>
      <c r="BS143" s="557">
        <f t="shared" si="83"/>
        <v>4</v>
      </c>
      <c r="BT143" s="607"/>
      <c r="BU143" s="557">
        <f t="shared" si="68"/>
        <v>0</v>
      </c>
      <c r="BV143" s="607"/>
      <c r="BW143" s="608"/>
      <c r="BX143" s="608"/>
      <c r="BY143" s="608"/>
      <c r="BZ143" s="608"/>
      <c r="CA143" s="608"/>
      <c r="CB143" s="608"/>
      <c r="CC143" s="608"/>
      <c r="CD143" s="608"/>
      <c r="CE143" s="557">
        <f t="shared" si="69"/>
        <v>0</v>
      </c>
      <c r="CF143" s="607"/>
      <c r="CG143" s="608"/>
      <c r="CH143" s="608"/>
      <c r="CI143" s="608"/>
      <c r="CJ143" s="608"/>
      <c r="CK143" s="608"/>
      <c r="CL143" s="608"/>
      <c r="CM143" s="557">
        <f t="shared" si="70"/>
        <v>0</v>
      </c>
      <c r="CN143" s="607"/>
      <c r="CO143" s="609">
        <f t="shared" si="71"/>
        <v>0</v>
      </c>
      <c r="CP143" s="610">
        <f t="shared" si="58"/>
        <v>56</v>
      </c>
      <c r="CQ143" s="545"/>
      <c r="CR143" s="546"/>
      <c r="CS143" s="544">
        <f t="shared" si="94"/>
        <v>0</v>
      </c>
      <c r="CT143" s="545"/>
      <c r="CU143" s="546"/>
      <c r="CV143" s="546"/>
      <c r="CW143" s="544">
        <f t="shared" si="95"/>
        <v>0</v>
      </c>
      <c r="CX143" s="547">
        <f t="shared" si="96"/>
        <v>0</v>
      </c>
      <c r="CY143" s="611">
        <f t="shared" si="97"/>
        <v>90.131</v>
      </c>
    </row>
    <row r="144" spans="1:103" s="561" customFormat="1">
      <c r="A144" s="538">
        <v>135</v>
      </c>
      <c r="B144" s="602" t="s">
        <v>964</v>
      </c>
      <c r="C144" s="603" t="s">
        <v>965</v>
      </c>
      <c r="D144" s="541" t="s">
        <v>827</v>
      </c>
      <c r="E144" s="545">
        <v>0</v>
      </c>
      <c r="F144" s="546">
        <v>0</v>
      </c>
      <c r="G144" s="546">
        <v>0</v>
      </c>
      <c r="H144" s="546">
        <v>0</v>
      </c>
      <c r="I144" s="544">
        <f t="shared" si="60"/>
        <v>0</v>
      </c>
      <c r="J144" s="545">
        <v>0</v>
      </c>
      <c r="K144" s="546">
        <v>0</v>
      </c>
      <c r="L144" s="546">
        <v>0</v>
      </c>
      <c r="M144" s="546">
        <v>0</v>
      </c>
      <c r="N144" s="544">
        <f t="shared" si="61"/>
        <v>0</v>
      </c>
      <c r="O144" s="545">
        <v>0</v>
      </c>
      <c r="P144" s="546">
        <v>0</v>
      </c>
      <c r="Q144" s="544">
        <f t="shared" si="62"/>
        <v>0</v>
      </c>
      <c r="R144" s="545">
        <v>0</v>
      </c>
      <c r="S144" s="546">
        <v>0</v>
      </c>
      <c r="T144" s="546">
        <v>0</v>
      </c>
      <c r="U144" s="546">
        <v>0</v>
      </c>
      <c r="V144" s="546">
        <v>0</v>
      </c>
      <c r="W144" s="546">
        <v>0</v>
      </c>
      <c r="X144" s="544">
        <f t="shared" si="63"/>
        <v>0</v>
      </c>
      <c r="Y144" s="545">
        <v>0</v>
      </c>
      <c r="Z144" s="546">
        <v>0</v>
      </c>
      <c r="AA144" s="546">
        <v>0</v>
      </c>
      <c r="AB144" s="544">
        <f t="shared" si="53"/>
        <v>0</v>
      </c>
      <c r="AC144" s="547">
        <f t="shared" si="91"/>
        <v>0</v>
      </c>
      <c r="AD144" s="604">
        <v>0</v>
      </c>
      <c r="AE144" s="605">
        <v>0</v>
      </c>
      <c r="AF144" s="606">
        <f t="shared" si="64"/>
        <v>0</v>
      </c>
      <c r="AG144" s="604">
        <v>0</v>
      </c>
      <c r="AH144" s="605">
        <v>0</v>
      </c>
      <c r="AI144" s="605">
        <v>0</v>
      </c>
      <c r="AJ144" s="605">
        <v>0</v>
      </c>
      <c r="AK144" s="605">
        <v>0</v>
      </c>
      <c r="AL144" s="605">
        <v>0</v>
      </c>
      <c r="AM144" s="605">
        <v>0</v>
      </c>
      <c r="AN144" s="605">
        <v>0</v>
      </c>
      <c r="AO144" s="605">
        <v>0</v>
      </c>
      <c r="AP144" s="605">
        <v>0</v>
      </c>
      <c r="AQ144" s="606">
        <f t="shared" si="65"/>
        <v>0</v>
      </c>
      <c r="AR144" s="604">
        <v>0</v>
      </c>
      <c r="AS144" s="605">
        <v>0</v>
      </c>
      <c r="AT144" s="605">
        <v>0</v>
      </c>
      <c r="AU144" s="606">
        <f t="shared" si="66"/>
        <v>0</v>
      </c>
      <c r="AV144" s="604">
        <v>0</v>
      </c>
      <c r="AW144" s="605">
        <v>0</v>
      </c>
      <c r="AX144" s="605">
        <v>0</v>
      </c>
      <c r="AY144" s="605">
        <v>0</v>
      </c>
      <c r="AZ144" s="605">
        <v>0</v>
      </c>
      <c r="BA144" s="606">
        <f t="shared" si="67"/>
        <v>0</v>
      </c>
      <c r="BB144" s="604">
        <v>0</v>
      </c>
      <c r="BC144" s="605">
        <v>0</v>
      </c>
      <c r="BD144" s="605">
        <v>0</v>
      </c>
      <c r="BE144" s="605">
        <v>0</v>
      </c>
      <c r="BF144" s="605">
        <v>0</v>
      </c>
      <c r="BG144" s="605">
        <v>0</v>
      </c>
      <c r="BH144" s="605">
        <v>0</v>
      </c>
      <c r="BI144" s="606">
        <f t="shared" si="55"/>
        <v>0</v>
      </c>
      <c r="BJ144" s="551">
        <f t="shared" si="92"/>
        <v>0</v>
      </c>
      <c r="BK144" s="607"/>
      <c r="BL144" s="608"/>
      <c r="BM144" s="608"/>
      <c r="BN144" s="608"/>
      <c r="BO144" s="557">
        <f t="shared" si="93"/>
        <v>0</v>
      </c>
      <c r="BP144" s="607"/>
      <c r="BQ144" s="608">
        <v>4</v>
      </c>
      <c r="BR144" s="608"/>
      <c r="BS144" s="557">
        <f t="shared" si="83"/>
        <v>4</v>
      </c>
      <c r="BT144" s="607"/>
      <c r="BU144" s="557">
        <f t="shared" si="68"/>
        <v>0</v>
      </c>
      <c r="BV144" s="607">
        <v>2</v>
      </c>
      <c r="BW144" s="608"/>
      <c r="BX144" s="608"/>
      <c r="BY144" s="608"/>
      <c r="BZ144" s="608"/>
      <c r="CA144" s="608"/>
      <c r="CB144" s="608"/>
      <c r="CC144" s="608">
        <v>1</v>
      </c>
      <c r="CD144" s="608">
        <v>1</v>
      </c>
      <c r="CE144" s="557">
        <f t="shared" si="69"/>
        <v>4</v>
      </c>
      <c r="CF144" s="607"/>
      <c r="CG144" s="608"/>
      <c r="CH144" s="608"/>
      <c r="CI144" s="608"/>
      <c r="CJ144" s="608"/>
      <c r="CK144" s="608"/>
      <c r="CL144" s="608"/>
      <c r="CM144" s="557">
        <f t="shared" si="70"/>
        <v>0</v>
      </c>
      <c r="CN144" s="607"/>
      <c r="CO144" s="609">
        <f t="shared" si="71"/>
        <v>0</v>
      </c>
      <c r="CP144" s="610">
        <f t="shared" si="58"/>
        <v>8</v>
      </c>
      <c r="CQ144" s="545"/>
      <c r="CR144" s="546"/>
      <c r="CS144" s="544">
        <f t="shared" si="94"/>
        <v>0</v>
      </c>
      <c r="CT144" s="545"/>
      <c r="CU144" s="546"/>
      <c r="CV144" s="546"/>
      <c r="CW144" s="544">
        <f t="shared" si="95"/>
        <v>0</v>
      </c>
      <c r="CX144" s="547">
        <f t="shared" si="96"/>
        <v>0</v>
      </c>
      <c r="CY144" s="611">
        <f t="shared" si="97"/>
        <v>8</v>
      </c>
    </row>
    <row r="145" spans="1:103" s="561" customFormat="1" ht="30">
      <c r="A145" s="538">
        <v>136</v>
      </c>
      <c r="B145" s="602" t="s">
        <v>966</v>
      </c>
      <c r="C145" s="603" t="s">
        <v>967</v>
      </c>
      <c r="D145" s="541" t="s">
        <v>827</v>
      </c>
      <c r="E145" s="545">
        <v>12</v>
      </c>
      <c r="F145" s="546">
        <v>5</v>
      </c>
      <c r="G145" s="546">
        <v>0</v>
      </c>
      <c r="H145" s="546">
        <v>6</v>
      </c>
      <c r="I145" s="544">
        <f t="shared" si="60"/>
        <v>23</v>
      </c>
      <c r="J145" s="545">
        <v>0</v>
      </c>
      <c r="K145" s="546">
        <v>13</v>
      </c>
      <c r="L145" s="546">
        <v>3</v>
      </c>
      <c r="M145" s="546">
        <v>5</v>
      </c>
      <c r="N145" s="544">
        <f t="shared" si="61"/>
        <v>21</v>
      </c>
      <c r="O145" s="545">
        <v>0</v>
      </c>
      <c r="P145" s="546">
        <v>0</v>
      </c>
      <c r="Q145" s="544">
        <f t="shared" si="62"/>
        <v>0</v>
      </c>
      <c r="R145" s="545">
        <v>0</v>
      </c>
      <c r="S145" s="546">
        <v>0</v>
      </c>
      <c r="T145" s="546">
        <v>0</v>
      </c>
      <c r="U145" s="546">
        <v>0</v>
      </c>
      <c r="V145" s="546">
        <v>0</v>
      </c>
      <c r="W145" s="546">
        <v>0</v>
      </c>
      <c r="X145" s="544">
        <f t="shared" si="63"/>
        <v>0</v>
      </c>
      <c r="Y145" s="545">
        <v>0</v>
      </c>
      <c r="Z145" s="546">
        <v>0</v>
      </c>
      <c r="AA145" s="546">
        <v>0</v>
      </c>
      <c r="AB145" s="544">
        <f t="shared" si="53"/>
        <v>0</v>
      </c>
      <c r="AC145" s="547">
        <f t="shared" si="91"/>
        <v>44</v>
      </c>
      <c r="AD145" s="604">
        <v>1</v>
      </c>
      <c r="AE145" s="605">
        <v>1</v>
      </c>
      <c r="AF145" s="606">
        <f t="shared" si="64"/>
        <v>2</v>
      </c>
      <c r="AG145" s="604">
        <v>0</v>
      </c>
      <c r="AH145" s="605">
        <v>24</v>
      </c>
      <c r="AI145" s="605">
        <v>1</v>
      </c>
      <c r="AJ145" s="605">
        <v>0</v>
      </c>
      <c r="AK145" s="605">
        <v>0</v>
      </c>
      <c r="AL145" s="605">
        <v>0</v>
      </c>
      <c r="AM145" s="605">
        <v>1</v>
      </c>
      <c r="AN145" s="605">
        <v>13</v>
      </c>
      <c r="AO145" s="605">
        <v>1</v>
      </c>
      <c r="AP145" s="605">
        <v>0</v>
      </c>
      <c r="AQ145" s="606">
        <f t="shared" si="65"/>
        <v>40</v>
      </c>
      <c r="AR145" s="604">
        <v>4</v>
      </c>
      <c r="AS145" s="605">
        <v>2</v>
      </c>
      <c r="AT145" s="605">
        <v>1</v>
      </c>
      <c r="AU145" s="606">
        <f t="shared" si="66"/>
        <v>7</v>
      </c>
      <c r="AV145" s="604">
        <v>0</v>
      </c>
      <c r="AW145" s="605">
        <v>1</v>
      </c>
      <c r="AX145" s="605">
        <v>1</v>
      </c>
      <c r="AY145" s="605">
        <v>2</v>
      </c>
      <c r="AZ145" s="605">
        <v>0</v>
      </c>
      <c r="BA145" s="606">
        <f t="shared" si="67"/>
        <v>4</v>
      </c>
      <c r="BB145" s="604">
        <v>13</v>
      </c>
      <c r="BC145" s="605">
        <v>1</v>
      </c>
      <c r="BD145" s="605">
        <v>1</v>
      </c>
      <c r="BE145" s="605">
        <v>1</v>
      </c>
      <c r="BF145" s="605">
        <v>1</v>
      </c>
      <c r="BG145" s="605">
        <v>0</v>
      </c>
      <c r="BH145" s="605">
        <v>0</v>
      </c>
      <c r="BI145" s="606">
        <f t="shared" si="55"/>
        <v>17</v>
      </c>
      <c r="BJ145" s="551">
        <f t="shared" si="92"/>
        <v>70</v>
      </c>
      <c r="BK145" s="607">
        <v>9</v>
      </c>
      <c r="BL145" s="608">
        <v>21</v>
      </c>
      <c r="BM145" s="608"/>
      <c r="BN145" s="608"/>
      <c r="BO145" s="557">
        <f t="shared" si="93"/>
        <v>30</v>
      </c>
      <c r="BP145" s="607"/>
      <c r="BQ145" s="608">
        <v>1</v>
      </c>
      <c r="BR145" s="608">
        <v>7</v>
      </c>
      <c r="BS145" s="557">
        <f t="shared" si="83"/>
        <v>8</v>
      </c>
      <c r="BT145" s="607"/>
      <c r="BU145" s="557">
        <f t="shared" si="68"/>
        <v>0</v>
      </c>
      <c r="BV145" s="607"/>
      <c r="BW145" s="608"/>
      <c r="BX145" s="608"/>
      <c r="BY145" s="608"/>
      <c r="BZ145" s="608"/>
      <c r="CA145" s="608"/>
      <c r="CB145" s="608"/>
      <c r="CC145" s="608"/>
      <c r="CD145" s="608"/>
      <c r="CE145" s="557">
        <f t="shared" si="69"/>
        <v>0</v>
      </c>
      <c r="CF145" s="607"/>
      <c r="CG145" s="608"/>
      <c r="CH145" s="608"/>
      <c r="CI145" s="608"/>
      <c r="CJ145" s="608"/>
      <c r="CK145" s="608"/>
      <c r="CL145" s="608"/>
      <c r="CM145" s="557">
        <f t="shared" si="70"/>
        <v>0</v>
      </c>
      <c r="CN145" s="607"/>
      <c r="CO145" s="609">
        <f t="shared" si="71"/>
        <v>0</v>
      </c>
      <c r="CP145" s="610">
        <f t="shared" si="58"/>
        <v>38</v>
      </c>
      <c r="CQ145" s="545"/>
      <c r="CR145" s="546"/>
      <c r="CS145" s="544">
        <f t="shared" si="94"/>
        <v>0</v>
      </c>
      <c r="CT145" s="545"/>
      <c r="CU145" s="546"/>
      <c r="CV145" s="546"/>
      <c r="CW145" s="544">
        <f t="shared" si="95"/>
        <v>0</v>
      </c>
      <c r="CX145" s="547">
        <f t="shared" si="96"/>
        <v>0</v>
      </c>
      <c r="CY145" s="611">
        <f t="shared" si="97"/>
        <v>152</v>
      </c>
    </row>
    <row r="146" spans="1:103" s="561" customFormat="1">
      <c r="A146" s="538">
        <v>137</v>
      </c>
      <c r="B146" s="602" t="s">
        <v>968</v>
      </c>
      <c r="C146" s="603" t="s">
        <v>969</v>
      </c>
      <c r="D146" s="541" t="s">
        <v>843</v>
      </c>
      <c r="E146" s="545">
        <v>0.5625</v>
      </c>
      <c r="F146" s="546">
        <v>0</v>
      </c>
      <c r="G146" s="546">
        <v>0</v>
      </c>
      <c r="H146" s="546">
        <v>0</v>
      </c>
      <c r="I146" s="544">
        <f t="shared" si="60"/>
        <v>0.5625</v>
      </c>
      <c r="J146" s="545">
        <v>1.44</v>
      </c>
      <c r="K146" s="546">
        <v>2.7</v>
      </c>
      <c r="L146" s="546">
        <v>54.193200000000004</v>
      </c>
      <c r="M146" s="546">
        <v>50.863200000000006</v>
      </c>
      <c r="N146" s="544">
        <f t="shared" si="61"/>
        <v>109.19640000000001</v>
      </c>
      <c r="O146" s="545">
        <v>49.544400000000003</v>
      </c>
      <c r="P146" s="546">
        <v>0</v>
      </c>
      <c r="Q146" s="544">
        <f t="shared" si="62"/>
        <v>49.544400000000003</v>
      </c>
      <c r="R146" s="545">
        <v>0</v>
      </c>
      <c r="S146" s="546">
        <v>1.44</v>
      </c>
      <c r="T146" s="546">
        <v>0</v>
      </c>
      <c r="U146" s="546">
        <v>0</v>
      </c>
      <c r="V146" s="546">
        <v>0</v>
      </c>
      <c r="W146" s="546">
        <v>0</v>
      </c>
      <c r="X146" s="544">
        <f t="shared" si="63"/>
        <v>1.44</v>
      </c>
      <c r="Y146" s="545">
        <v>6.464946710584651</v>
      </c>
      <c r="Z146" s="546">
        <v>2.9234467105846509</v>
      </c>
      <c r="AA146" s="546">
        <v>7.5630000000000006</v>
      </c>
      <c r="AB146" s="544">
        <f t="shared" si="53"/>
        <v>16.9513934211693</v>
      </c>
      <c r="AC146" s="547">
        <f t="shared" si="91"/>
        <v>177.69469342116929</v>
      </c>
      <c r="AD146" s="604">
        <v>1</v>
      </c>
      <c r="AE146" s="605">
        <v>1</v>
      </c>
      <c r="AF146" s="606">
        <f t="shared" si="64"/>
        <v>2</v>
      </c>
      <c r="AG146" s="604">
        <v>0</v>
      </c>
      <c r="AH146" s="605">
        <v>2</v>
      </c>
      <c r="AI146" s="605">
        <v>0</v>
      </c>
      <c r="AJ146" s="605">
        <v>0</v>
      </c>
      <c r="AK146" s="605">
        <v>0</v>
      </c>
      <c r="AL146" s="605">
        <v>0</v>
      </c>
      <c r="AM146" s="605">
        <v>0</v>
      </c>
      <c r="AN146" s="605">
        <v>0</v>
      </c>
      <c r="AO146" s="605">
        <v>0</v>
      </c>
      <c r="AP146" s="605">
        <v>0</v>
      </c>
      <c r="AQ146" s="606">
        <f t="shared" si="65"/>
        <v>2</v>
      </c>
      <c r="AR146" s="604">
        <v>2</v>
      </c>
      <c r="AS146" s="605">
        <v>1</v>
      </c>
      <c r="AT146" s="605">
        <v>3</v>
      </c>
      <c r="AU146" s="606">
        <f t="shared" si="66"/>
        <v>6</v>
      </c>
      <c r="AV146" s="604">
        <v>0</v>
      </c>
      <c r="AW146" s="605">
        <v>0</v>
      </c>
      <c r="AX146" s="605">
        <v>0</v>
      </c>
      <c r="AY146" s="605">
        <v>0</v>
      </c>
      <c r="AZ146" s="605">
        <v>0</v>
      </c>
      <c r="BA146" s="606">
        <f t="shared" si="67"/>
        <v>0</v>
      </c>
      <c r="BB146" s="604">
        <v>2</v>
      </c>
      <c r="BC146" s="605">
        <v>0</v>
      </c>
      <c r="BD146" s="605">
        <v>1</v>
      </c>
      <c r="BE146" s="605">
        <v>2</v>
      </c>
      <c r="BF146" s="605">
        <v>0</v>
      </c>
      <c r="BG146" s="605">
        <v>0</v>
      </c>
      <c r="BH146" s="605">
        <v>0</v>
      </c>
      <c r="BI146" s="606">
        <f t="shared" si="55"/>
        <v>5</v>
      </c>
      <c r="BJ146" s="551">
        <f t="shared" si="92"/>
        <v>15</v>
      </c>
      <c r="BK146" s="607">
        <v>7</v>
      </c>
      <c r="BL146" s="608">
        <v>13</v>
      </c>
      <c r="BM146" s="608">
        <v>3</v>
      </c>
      <c r="BN146" s="608"/>
      <c r="BO146" s="557">
        <f t="shared" si="93"/>
        <v>23</v>
      </c>
      <c r="BP146" s="607"/>
      <c r="BQ146" s="608"/>
      <c r="BR146" s="608">
        <v>3</v>
      </c>
      <c r="BS146" s="557">
        <f t="shared" si="83"/>
        <v>3</v>
      </c>
      <c r="BT146" s="607"/>
      <c r="BU146" s="557">
        <f t="shared" si="68"/>
        <v>0</v>
      </c>
      <c r="BV146" s="607"/>
      <c r="BW146" s="608"/>
      <c r="BX146" s="608"/>
      <c r="BY146" s="608"/>
      <c r="BZ146" s="608"/>
      <c r="CA146" s="608"/>
      <c r="CB146" s="608"/>
      <c r="CC146" s="608"/>
      <c r="CD146" s="608"/>
      <c r="CE146" s="557">
        <f t="shared" si="69"/>
        <v>0</v>
      </c>
      <c r="CF146" s="607"/>
      <c r="CG146" s="608"/>
      <c r="CH146" s="608"/>
      <c r="CI146" s="608"/>
      <c r="CJ146" s="608"/>
      <c r="CK146" s="608"/>
      <c r="CL146" s="608"/>
      <c r="CM146" s="557">
        <f t="shared" si="70"/>
        <v>0</v>
      </c>
      <c r="CN146" s="607"/>
      <c r="CO146" s="609">
        <f t="shared" si="71"/>
        <v>0</v>
      </c>
      <c r="CP146" s="610">
        <f t="shared" si="58"/>
        <v>26</v>
      </c>
      <c r="CQ146" s="545"/>
      <c r="CR146" s="546"/>
      <c r="CS146" s="544">
        <f t="shared" si="94"/>
        <v>0</v>
      </c>
      <c r="CT146" s="545"/>
      <c r="CU146" s="546"/>
      <c r="CV146" s="546"/>
      <c r="CW146" s="544">
        <f t="shared" si="95"/>
        <v>0</v>
      </c>
      <c r="CX146" s="547">
        <f t="shared" si="96"/>
        <v>0</v>
      </c>
      <c r="CY146" s="611">
        <f t="shared" si="97"/>
        <v>218.69469342116929</v>
      </c>
    </row>
    <row r="147" spans="1:103" s="561" customFormat="1">
      <c r="A147" s="538">
        <v>138</v>
      </c>
      <c r="B147" s="602" t="s">
        <v>99</v>
      </c>
      <c r="C147" s="603" t="s">
        <v>970</v>
      </c>
      <c r="D147" s="541" t="s">
        <v>827</v>
      </c>
      <c r="E147" s="545">
        <v>2</v>
      </c>
      <c r="F147" s="546">
        <v>2</v>
      </c>
      <c r="G147" s="546">
        <v>0</v>
      </c>
      <c r="H147" s="546">
        <v>4</v>
      </c>
      <c r="I147" s="544">
        <f t="shared" si="60"/>
        <v>8</v>
      </c>
      <c r="J147" s="545">
        <v>0</v>
      </c>
      <c r="K147" s="546">
        <v>0</v>
      </c>
      <c r="L147" s="546">
        <v>0</v>
      </c>
      <c r="M147" s="546">
        <v>0</v>
      </c>
      <c r="N147" s="544">
        <f t="shared" si="61"/>
        <v>0</v>
      </c>
      <c r="O147" s="545">
        <v>1</v>
      </c>
      <c r="P147" s="546">
        <v>2</v>
      </c>
      <c r="Q147" s="544">
        <f t="shared" si="62"/>
        <v>3</v>
      </c>
      <c r="R147" s="545">
        <v>1</v>
      </c>
      <c r="S147" s="546">
        <v>0</v>
      </c>
      <c r="T147" s="546">
        <v>0</v>
      </c>
      <c r="U147" s="546">
        <v>1</v>
      </c>
      <c r="V147" s="546">
        <v>0</v>
      </c>
      <c r="W147" s="546">
        <v>1</v>
      </c>
      <c r="X147" s="544">
        <f t="shared" si="63"/>
        <v>3</v>
      </c>
      <c r="Y147" s="545">
        <v>0</v>
      </c>
      <c r="Z147" s="546">
        <v>0</v>
      </c>
      <c r="AA147" s="546">
        <v>0</v>
      </c>
      <c r="AB147" s="544">
        <f t="shared" si="53"/>
        <v>0</v>
      </c>
      <c r="AC147" s="547">
        <f t="shared" si="91"/>
        <v>14</v>
      </c>
      <c r="AD147" s="604">
        <v>1</v>
      </c>
      <c r="AE147" s="605">
        <v>1</v>
      </c>
      <c r="AF147" s="606">
        <f t="shared" si="64"/>
        <v>2</v>
      </c>
      <c r="AG147" s="604">
        <v>1</v>
      </c>
      <c r="AH147" s="605">
        <v>6</v>
      </c>
      <c r="AI147" s="605">
        <v>1</v>
      </c>
      <c r="AJ147" s="605">
        <v>1</v>
      </c>
      <c r="AK147" s="605">
        <v>1</v>
      </c>
      <c r="AL147" s="605">
        <v>1</v>
      </c>
      <c r="AM147" s="605">
        <v>1</v>
      </c>
      <c r="AN147" s="605">
        <v>2</v>
      </c>
      <c r="AO147" s="605">
        <v>1</v>
      </c>
      <c r="AP147" s="605">
        <v>1</v>
      </c>
      <c r="AQ147" s="606">
        <f t="shared" si="65"/>
        <v>16</v>
      </c>
      <c r="AR147" s="604">
        <v>4</v>
      </c>
      <c r="AS147" s="605">
        <v>3</v>
      </c>
      <c r="AT147" s="605">
        <v>1</v>
      </c>
      <c r="AU147" s="606">
        <f t="shared" si="66"/>
        <v>8</v>
      </c>
      <c r="AV147" s="604">
        <v>0</v>
      </c>
      <c r="AW147" s="605">
        <v>2</v>
      </c>
      <c r="AX147" s="605">
        <v>0</v>
      </c>
      <c r="AY147" s="605">
        <v>1</v>
      </c>
      <c r="AZ147" s="605">
        <v>0</v>
      </c>
      <c r="BA147" s="606">
        <f t="shared" si="67"/>
        <v>3</v>
      </c>
      <c r="BB147" s="604">
        <v>3</v>
      </c>
      <c r="BC147" s="605">
        <v>1</v>
      </c>
      <c r="BD147" s="605">
        <v>1</v>
      </c>
      <c r="BE147" s="605">
        <v>2</v>
      </c>
      <c r="BF147" s="605">
        <v>1</v>
      </c>
      <c r="BG147" s="605">
        <v>1</v>
      </c>
      <c r="BH147" s="605">
        <v>1</v>
      </c>
      <c r="BI147" s="606">
        <f t="shared" si="55"/>
        <v>10</v>
      </c>
      <c r="BJ147" s="551">
        <f t="shared" si="92"/>
        <v>39</v>
      </c>
      <c r="BK147" s="607"/>
      <c r="BL147" s="608"/>
      <c r="BM147" s="608"/>
      <c r="BN147" s="608"/>
      <c r="BO147" s="557">
        <f t="shared" si="93"/>
        <v>0</v>
      </c>
      <c r="BP147" s="607"/>
      <c r="BQ147" s="608"/>
      <c r="BR147" s="608"/>
      <c r="BS147" s="557">
        <f t="shared" si="83"/>
        <v>0</v>
      </c>
      <c r="BT147" s="607"/>
      <c r="BU147" s="557">
        <f t="shared" si="68"/>
        <v>0</v>
      </c>
      <c r="BV147" s="607"/>
      <c r="BW147" s="608"/>
      <c r="BX147" s="608"/>
      <c r="BY147" s="608"/>
      <c r="BZ147" s="608"/>
      <c r="CA147" s="608"/>
      <c r="CB147" s="608"/>
      <c r="CC147" s="608"/>
      <c r="CD147" s="608"/>
      <c r="CE147" s="557">
        <f t="shared" si="69"/>
        <v>0</v>
      </c>
      <c r="CF147" s="607"/>
      <c r="CG147" s="608"/>
      <c r="CH147" s="608"/>
      <c r="CI147" s="608"/>
      <c r="CJ147" s="608"/>
      <c r="CK147" s="608"/>
      <c r="CL147" s="608"/>
      <c r="CM147" s="557">
        <f t="shared" si="70"/>
        <v>0</v>
      </c>
      <c r="CN147" s="607"/>
      <c r="CO147" s="609">
        <f t="shared" si="71"/>
        <v>0</v>
      </c>
      <c r="CP147" s="610">
        <f t="shared" si="58"/>
        <v>0</v>
      </c>
      <c r="CQ147" s="545"/>
      <c r="CR147" s="546"/>
      <c r="CS147" s="544">
        <f t="shared" si="94"/>
        <v>0</v>
      </c>
      <c r="CT147" s="545"/>
      <c r="CU147" s="546"/>
      <c r="CV147" s="546"/>
      <c r="CW147" s="544">
        <f t="shared" si="95"/>
        <v>0</v>
      </c>
      <c r="CX147" s="547">
        <f t="shared" si="96"/>
        <v>0</v>
      </c>
      <c r="CY147" s="611">
        <f t="shared" si="97"/>
        <v>53</v>
      </c>
    </row>
    <row r="148" spans="1:103" s="561" customFormat="1">
      <c r="A148" s="538">
        <v>139</v>
      </c>
      <c r="B148" s="602" t="s">
        <v>101</v>
      </c>
      <c r="C148" s="603" t="s">
        <v>971</v>
      </c>
      <c r="D148" s="541" t="s">
        <v>827</v>
      </c>
      <c r="E148" s="545">
        <v>0</v>
      </c>
      <c r="F148" s="546">
        <v>0</v>
      </c>
      <c r="G148" s="546">
        <v>0</v>
      </c>
      <c r="H148" s="546">
        <v>0</v>
      </c>
      <c r="I148" s="544">
        <f t="shared" si="60"/>
        <v>0</v>
      </c>
      <c r="J148" s="545">
        <v>74</v>
      </c>
      <c r="K148" s="546">
        <v>3</v>
      </c>
      <c r="L148" s="546">
        <v>0</v>
      </c>
      <c r="M148" s="546">
        <v>0</v>
      </c>
      <c r="N148" s="544">
        <f t="shared" si="61"/>
        <v>77</v>
      </c>
      <c r="O148" s="545">
        <v>0</v>
      </c>
      <c r="P148" s="546">
        <v>0</v>
      </c>
      <c r="Q148" s="544">
        <f t="shared" si="62"/>
        <v>0</v>
      </c>
      <c r="R148" s="545">
        <v>0</v>
      </c>
      <c r="S148" s="546">
        <v>0</v>
      </c>
      <c r="T148" s="546">
        <v>0</v>
      </c>
      <c r="U148" s="546">
        <v>0</v>
      </c>
      <c r="V148" s="546">
        <v>0</v>
      </c>
      <c r="W148" s="546">
        <v>0</v>
      </c>
      <c r="X148" s="544">
        <f t="shared" si="63"/>
        <v>0</v>
      </c>
      <c r="Y148" s="545">
        <v>0</v>
      </c>
      <c r="Z148" s="546">
        <v>0</v>
      </c>
      <c r="AA148" s="546">
        <v>0</v>
      </c>
      <c r="AB148" s="544">
        <f t="shared" si="53"/>
        <v>0</v>
      </c>
      <c r="AC148" s="547">
        <f t="shared" si="91"/>
        <v>77</v>
      </c>
      <c r="AD148" s="604">
        <v>25</v>
      </c>
      <c r="AE148" s="605">
        <v>0</v>
      </c>
      <c r="AF148" s="606">
        <f t="shared" si="64"/>
        <v>25</v>
      </c>
      <c r="AG148" s="604">
        <v>0</v>
      </c>
      <c r="AH148" s="605">
        <v>32</v>
      </c>
      <c r="AI148" s="605">
        <v>93</v>
      </c>
      <c r="AJ148" s="605">
        <v>25</v>
      </c>
      <c r="AK148" s="605">
        <v>34</v>
      </c>
      <c r="AL148" s="605">
        <v>6</v>
      </c>
      <c r="AM148" s="605">
        <v>24</v>
      </c>
      <c r="AN148" s="605">
        <v>312</v>
      </c>
      <c r="AO148" s="605">
        <v>10</v>
      </c>
      <c r="AP148" s="605">
        <v>0</v>
      </c>
      <c r="AQ148" s="606">
        <f t="shared" si="65"/>
        <v>536</v>
      </c>
      <c r="AR148" s="604">
        <v>806</v>
      </c>
      <c r="AS148" s="605">
        <v>0</v>
      </c>
      <c r="AT148" s="605">
        <v>0</v>
      </c>
      <c r="AU148" s="606">
        <f t="shared" si="66"/>
        <v>806</v>
      </c>
      <c r="AV148" s="604">
        <v>0</v>
      </c>
      <c r="AW148" s="605">
        <v>175</v>
      </c>
      <c r="AX148" s="605">
        <v>0</v>
      </c>
      <c r="AY148" s="605">
        <v>127</v>
      </c>
      <c r="AZ148" s="605">
        <v>0</v>
      </c>
      <c r="BA148" s="606">
        <f t="shared" si="67"/>
        <v>302</v>
      </c>
      <c r="BB148" s="604">
        <v>0</v>
      </c>
      <c r="BC148" s="605">
        <v>17</v>
      </c>
      <c r="BD148" s="605">
        <v>48</v>
      </c>
      <c r="BE148" s="605">
        <v>155</v>
      </c>
      <c r="BF148" s="605">
        <v>21</v>
      </c>
      <c r="BG148" s="605">
        <v>0</v>
      </c>
      <c r="BH148" s="605">
        <v>0</v>
      </c>
      <c r="BI148" s="606">
        <f t="shared" si="55"/>
        <v>241</v>
      </c>
      <c r="BJ148" s="662">
        <f t="shared" si="92"/>
        <v>1910</v>
      </c>
      <c r="BK148" s="607"/>
      <c r="BL148" s="608"/>
      <c r="BM148" s="608"/>
      <c r="BN148" s="608"/>
      <c r="BO148" s="557">
        <f t="shared" si="93"/>
        <v>0</v>
      </c>
      <c r="BP148" s="607">
        <v>6.0367454068241466</v>
      </c>
      <c r="BQ148" s="608">
        <v>11.548556430446194</v>
      </c>
      <c r="BR148" s="608"/>
      <c r="BS148" s="557">
        <f t="shared" si="83"/>
        <v>17.58530183727034</v>
      </c>
      <c r="BT148" s="607">
        <v>6.2992125984251963</v>
      </c>
      <c r="BU148" s="557">
        <f t="shared" si="68"/>
        <v>6.2992125984251963</v>
      </c>
      <c r="BV148" s="607">
        <v>12.84</v>
      </c>
      <c r="BW148" s="608">
        <v>46</v>
      </c>
      <c r="BX148" s="608">
        <v>32.840000000000003</v>
      </c>
      <c r="BY148" s="608">
        <v>92</v>
      </c>
      <c r="BZ148" s="608"/>
      <c r="CA148" s="608">
        <v>98</v>
      </c>
      <c r="CB148" s="608"/>
      <c r="CC148" s="608"/>
      <c r="CD148" s="608"/>
      <c r="CE148" s="557">
        <f t="shared" si="69"/>
        <v>281.68</v>
      </c>
      <c r="CF148" s="607"/>
      <c r="CG148" s="608">
        <v>91</v>
      </c>
      <c r="CH148" s="608"/>
      <c r="CI148" s="608"/>
      <c r="CJ148" s="608"/>
      <c r="CK148" s="608"/>
      <c r="CL148" s="608"/>
      <c r="CM148" s="557">
        <f t="shared" si="70"/>
        <v>91</v>
      </c>
      <c r="CN148" s="607"/>
      <c r="CO148" s="609">
        <f t="shared" si="71"/>
        <v>0</v>
      </c>
      <c r="CP148" s="610">
        <f t="shared" si="58"/>
        <v>396.56451443569551</v>
      </c>
      <c r="CQ148" s="545"/>
      <c r="CR148" s="546"/>
      <c r="CS148" s="544">
        <f t="shared" si="94"/>
        <v>0</v>
      </c>
      <c r="CT148" s="545"/>
      <c r="CU148" s="546"/>
      <c r="CV148" s="546"/>
      <c r="CW148" s="544">
        <f t="shared" si="95"/>
        <v>0</v>
      </c>
      <c r="CX148" s="547">
        <f t="shared" si="96"/>
        <v>0</v>
      </c>
      <c r="CY148" s="611">
        <f t="shared" si="97"/>
        <v>2383.5645144356954</v>
      </c>
    </row>
    <row r="149" spans="1:103" s="561" customFormat="1" hidden="1">
      <c r="A149" s="538">
        <v>140</v>
      </c>
      <c r="B149" s="602" t="s">
        <v>972</v>
      </c>
      <c r="C149" s="603" t="s">
        <v>681</v>
      </c>
      <c r="D149" s="541" t="s">
        <v>827</v>
      </c>
      <c r="E149" s="545">
        <v>0</v>
      </c>
      <c r="F149" s="546">
        <v>0</v>
      </c>
      <c r="G149" s="546">
        <v>0</v>
      </c>
      <c r="H149" s="546">
        <v>0</v>
      </c>
      <c r="I149" s="544">
        <f t="shared" si="60"/>
        <v>0</v>
      </c>
      <c r="J149" s="545">
        <v>0</v>
      </c>
      <c r="K149" s="546">
        <v>0</v>
      </c>
      <c r="L149" s="546">
        <v>0</v>
      </c>
      <c r="M149" s="546">
        <v>0</v>
      </c>
      <c r="N149" s="544">
        <f t="shared" si="61"/>
        <v>0</v>
      </c>
      <c r="O149" s="545">
        <v>0</v>
      </c>
      <c r="P149" s="546">
        <v>0</v>
      </c>
      <c r="Q149" s="544">
        <f t="shared" si="62"/>
        <v>0</v>
      </c>
      <c r="R149" s="545">
        <v>0</v>
      </c>
      <c r="S149" s="546">
        <v>0</v>
      </c>
      <c r="T149" s="546">
        <v>0</v>
      </c>
      <c r="U149" s="546">
        <v>0</v>
      </c>
      <c r="V149" s="546">
        <v>0</v>
      </c>
      <c r="W149" s="546">
        <v>0</v>
      </c>
      <c r="X149" s="544">
        <f t="shared" si="63"/>
        <v>0</v>
      </c>
      <c r="Y149" s="545">
        <v>0</v>
      </c>
      <c r="Z149" s="546">
        <v>0</v>
      </c>
      <c r="AA149" s="546">
        <v>0</v>
      </c>
      <c r="AB149" s="544">
        <f t="shared" si="53"/>
        <v>0</v>
      </c>
      <c r="AC149" s="547">
        <f t="shared" si="91"/>
        <v>0</v>
      </c>
      <c r="AD149" s="604">
        <v>0</v>
      </c>
      <c r="AE149" s="605">
        <v>0</v>
      </c>
      <c r="AF149" s="606">
        <f t="shared" si="64"/>
        <v>0</v>
      </c>
      <c r="AG149" s="604">
        <v>0</v>
      </c>
      <c r="AH149" s="605">
        <v>0</v>
      </c>
      <c r="AI149" s="605">
        <v>0</v>
      </c>
      <c r="AJ149" s="605">
        <v>0</v>
      </c>
      <c r="AK149" s="605">
        <v>0</v>
      </c>
      <c r="AL149" s="605">
        <v>0</v>
      </c>
      <c r="AM149" s="605">
        <v>0</v>
      </c>
      <c r="AN149" s="605">
        <v>0</v>
      </c>
      <c r="AO149" s="605">
        <v>0</v>
      </c>
      <c r="AP149" s="605">
        <v>0</v>
      </c>
      <c r="AQ149" s="606">
        <f t="shared" si="65"/>
        <v>0</v>
      </c>
      <c r="AR149" s="604">
        <v>0</v>
      </c>
      <c r="AS149" s="605">
        <v>0</v>
      </c>
      <c r="AT149" s="605">
        <v>0</v>
      </c>
      <c r="AU149" s="606">
        <f t="shared" si="66"/>
        <v>0</v>
      </c>
      <c r="AV149" s="604">
        <v>0</v>
      </c>
      <c r="AW149" s="605">
        <v>0</v>
      </c>
      <c r="AX149" s="605">
        <v>0</v>
      </c>
      <c r="AY149" s="605">
        <v>0</v>
      </c>
      <c r="AZ149" s="605">
        <v>0</v>
      </c>
      <c r="BA149" s="606">
        <f t="shared" si="67"/>
        <v>0</v>
      </c>
      <c r="BB149" s="604">
        <v>0</v>
      </c>
      <c r="BC149" s="605">
        <v>0</v>
      </c>
      <c r="BD149" s="605">
        <v>0</v>
      </c>
      <c r="BE149" s="605">
        <v>0</v>
      </c>
      <c r="BF149" s="605">
        <v>0</v>
      </c>
      <c r="BG149" s="605">
        <v>0</v>
      </c>
      <c r="BH149" s="605">
        <v>0</v>
      </c>
      <c r="BI149" s="606">
        <f t="shared" si="55"/>
        <v>0</v>
      </c>
      <c r="BJ149" s="551">
        <f t="shared" si="92"/>
        <v>0</v>
      </c>
      <c r="BK149" s="607"/>
      <c r="BL149" s="608"/>
      <c r="BM149" s="608"/>
      <c r="BN149" s="608"/>
      <c r="BO149" s="557">
        <f t="shared" si="93"/>
        <v>0</v>
      </c>
      <c r="BP149" s="607"/>
      <c r="BQ149" s="608"/>
      <c r="BR149" s="608"/>
      <c r="BS149" s="557">
        <f t="shared" si="83"/>
        <v>0</v>
      </c>
      <c r="BT149" s="607"/>
      <c r="BU149" s="557">
        <f t="shared" si="68"/>
        <v>0</v>
      </c>
      <c r="BV149" s="607"/>
      <c r="BW149" s="608"/>
      <c r="BX149" s="608"/>
      <c r="BY149" s="608"/>
      <c r="BZ149" s="608"/>
      <c r="CA149" s="608"/>
      <c r="CB149" s="608"/>
      <c r="CC149" s="608"/>
      <c r="CD149" s="608"/>
      <c r="CE149" s="557">
        <f t="shared" si="69"/>
        <v>0</v>
      </c>
      <c r="CF149" s="607"/>
      <c r="CG149" s="608"/>
      <c r="CH149" s="608"/>
      <c r="CI149" s="608"/>
      <c r="CJ149" s="608"/>
      <c r="CK149" s="608"/>
      <c r="CL149" s="608"/>
      <c r="CM149" s="557">
        <f t="shared" si="70"/>
        <v>0</v>
      </c>
      <c r="CN149" s="607"/>
      <c r="CO149" s="609">
        <f t="shared" si="71"/>
        <v>0</v>
      </c>
      <c r="CP149" s="610">
        <f t="shared" ref="CP149:CP183" si="98">+IF(D149="",0,CO149+CM149+CE149+BU149+BS149+BO149)</f>
        <v>0</v>
      </c>
      <c r="CQ149" s="545"/>
      <c r="CR149" s="546"/>
      <c r="CS149" s="544">
        <f t="shared" si="94"/>
        <v>0</v>
      </c>
      <c r="CT149" s="545"/>
      <c r="CU149" s="546"/>
      <c r="CV149" s="546"/>
      <c r="CW149" s="544">
        <f t="shared" si="95"/>
        <v>0</v>
      </c>
      <c r="CX149" s="547">
        <f t="shared" si="96"/>
        <v>0</v>
      </c>
      <c r="CY149" s="611">
        <f t="shared" si="97"/>
        <v>0</v>
      </c>
    </row>
    <row r="150" spans="1:103" s="601" customFormat="1">
      <c r="A150" s="584">
        <v>141</v>
      </c>
      <c r="B150" s="585"/>
      <c r="C150" s="586" t="s">
        <v>973</v>
      </c>
      <c r="D150" s="587"/>
      <c r="E150" s="588"/>
      <c r="F150" s="589"/>
      <c r="G150" s="589"/>
      <c r="H150" s="589"/>
      <c r="I150" s="590"/>
      <c r="J150" s="588"/>
      <c r="K150" s="589"/>
      <c r="L150" s="589"/>
      <c r="M150" s="589"/>
      <c r="N150" s="590"/>
      <c r="O150" s="588"/>
      <c r="P150" s="589"/>
      <c r="Q150" s="590"/>
      <c r="R150" s="588"/>
      <c r="S150" s="589"/>
      <c r="T150" s="589"/>
      <c r="U150" s="589"/>
      <c r="V150" s="589"/>
      <c r="W150" s="589"/>
      <c r="X150" s="590"/>
      <c r="Y150" s="588"/>
      <c r="Z150" s="589"/>
      <c r="AA150" s="589"/>
      <c r="AB150" s="590"/>
      <c r="AC150" s="591"/>
      <c r="AD150" s="612"/>
      <c r="AE150" s="613"/>
      <c r="AF150" s="614"/>
      <c r="AG150" s="612"/>
      <c r="AH150" s="613"/>
      <c r="AI150" s="613"/>
      <c r="AJ150" s="613"/>
      <c r="AK150" s="613"/>
      <c r="AL150" s="613"/>
      <c r="AM150" s="613"/>
      <c r="AN150" s="613"/>
      <c r="AO150" s="613"/>
      <c r="AP150" s="613"/>
      <c r="AQ150" s="614"/>
      <c r="AR150" s="612"/>
      <c r="AS150" s="613"/>
      <c r="AT150" s="613"/>
      <c r="AU150" s="614"/>
      <c r="AV150" s="612"/>
      <c r="AW150" s="613"/>
      <c r="AX150" s="613"/>
      <c r="AY150" s="613"/>
      <c r="AZ150" s="613"/>
      <c r="BA150" s="614"/>
      <c r="BB150" s="612"/>
      <c r="BC150" s="613"/>
      <c r="BD150" s="613"/>
      <c r="BE150" s="613"/>
      <c r="BF150" s="613"/>
      <c r="BG150" s="613"/>
      <c r="BH150" s="613"/>
      <c r="BI150" s="614"/>
      <c r="BJ150" s="595"/>
      <c r="BK150" s="596"/>
      <c r="BL150" s="597"/>
      <c r="BM150" s="597"/>
      <c r="BN150" s="597"/>
      <c r="BO150" s="598"/>
      <c r="BP150" s="596"/>
      <c r="BQ150" s="597"/>
      <c r="BR150" s="597"/>
      <c r="BS150" s="598"/>
      <c r="BT150" s="596"/>
      <c r="BU150" s="598"/>
      <c r="BV150" s="596"/>
      <c r="BW150" s="597"/>
      <c r="BX150" s="597"/>
      <c r="BY150" s="597"/>
      <c r="BZ150" s="597"/>
      <c r="CA150" s="597"/>
      <c r="CB150" s="597"/>
      <c r="CC150" s="597"/>
      <c r="CD150" s="597"/>
      <c r="CE150" s="598"/>
      <c r="CF150" s="596"/>
      <c r="CG150" s="597"/>
      <c r="CH150" s="597"/>
      <c r="CI150" s="597"/>
      <c r="CJ150" s="597"/>
      <c r="CK150" s="597"/>
      <c r="CL150" s="597"/>
      <c r="CM150" s="598"/>
      <c r="CN150" s="596"/>
      <c r="CO150" s="599"/>
      <c r="CP150" s="600"/>
      <c r="CQ150" s="588"/>
      <c r="CR150" s="589"/>
      <c r="CS150" s="590"/>
      <c r="CT150" s="588"/>
      <c r="CU150" s="589"/>
      <c r="CV150" s="589"/>
      <c r="CW150" s="590"/>
      <c r="CX150" s="591"/>
      <c r="CY150" s="615"/>
    </row>
    <row r="151" spans="1:103" s="561" customFormat="1" hidden="1">
      <c r="A151" s="538">
        <v>142</v>
      </c>
      <c r="B151" s="602" t="s">
        <v>974</v>
      </c>
      <c r="C151" s="603" t="s">
        <v>975</v>
      </c>
      <c r="D151" s="541" t="s">
        <v>843</v>
      </c>
      <c r="E151" s="545">
        <v>0</v>
      </c>
      <c r="F151" s="546">
        <v>0</v>
      </c>
      <c r="G151" s="546">
        <v>0</v>
      </c>
      <c r="H151" s="546">
        <v>0</v>
      </c>
      <c r="I151" s="544">
        <f t="shared" ref="I151:I183" si="99">+IF(D151="", "",SUM(E151:H151))</f>
        <v>0</v>
      </c>
      <c r="J151" s="545">
        <v>0</v>
      </c>
      <c r="K151" s="546">
        <v>0</v>
      </c>
      <c r="L151" s="546">
        <v>0</v>
      </c>
      <c r="M151" s="546">
        <v>0</v>
      </c>
      <c r="N151" s="544">
        <f t="shared" ref="N151:N183" si="100">+IF(A151="", "",SUM(J151:M151))</f>
        <v>0</v>
      </c>
      <c r="O151" s="545">
        <v>0</v>
      </c>
      <c r="P151" s="546">
        <v>0</v>
      </c>
      <c r="Q151" s="544">
        <f t="shared" ref="Q151:Q183" si="101">+IF(D151="", "",SUM(O151:P151))</f>
        <v>0</v>
      </c>
      <c r="R151" s="545">
        <v>0</v>
      </c>
      <c r="S151" s="546">
        <v>0</v>
      </c>
      <c r="T151" s="546">
        <v>0</v>
      </c>
      <c r="U151" s="546">
        <v>0</v>
      </c>
      <c r="V151" s="546">
        <v>0</v>
      </c>
      <c r="W151" s="546">
        <v>0</v>
      </c>
      <c r="X151" s="544">
        <f t="shared" ref="X151:X183" si="102">+IF(D151="", "",SUM(R151:W151))</f>
        <v>0</v>
      </c>
      <c r="Y151" s="545">
        <v>0</v>
      </c>
      <c r="Z151" s="546">
        <v>0</v>
      </c>
      <c r="AA151" s="546">
        <v>0</v>
      </c>
      <c r="AB151" s="544">
        <f t="shared" ref="AB151:AB182" si="103">+IF(D151="", "",SUM(Y151:AA151))</f>
        <v>0</v>
      </c>
      <c r="AC151" s="547">
        <f t="shared" ref="AC151:AC183" si="104">+IF(D151="",0,I151+N151+Q151+X151+AB151)</f>
        <v>0</v>
      </c>
      <c r="AD151" s="604" t="s">
        <v>816</v>
      </c>
      <c r="AE151" s="605" t="s">
        <v>816</v>
      </c>
      <c r="AF151" s="606">
        <f t="shared" ref="AF151:AF183" si="105">SUM(AD151:AE151)</f>
        <v>0</v>
      </c>
      <c r="AG151" s="604" t="s">
        <v>816</v>
      </c>
      <c r="AH151" s="605" t="s">
        <v>816</v>
      </c>
      <c r="AI151" s="605" t="s">
        <v>816</v>
      </c>
      <c r="AJ151" s="605" t="s">
        <v>816</v>
      </c>
      <c r="AK151" s="605" t="s">
        <v>816</v>
      </c>
      <c r="AL151" s="605" t="s">
        <v>816</v>
      </c>
      <c r="AM151" s="605" t="s">
        <v>816</v>
      </c>
      <c r="AN151" s="605" t="s">
        <v>816</v>
      </c>
      <c r="AO151" s="605" t="s">
        <v>816</v>
      </c>
      <c r="AP151" s="605" t="s">
        <v>816</v>
      </c>
      <c r="AQ151" s="606">
        <f t="shared" ref="AQ151:AQ183" si="106">SUM(AG151:AP151)</f>
        <v>0</v>
      </c>
      <c r="AR151" s="604" t="s">
        <v>816</v>
      </c>
      <c r="AS151" s="605" t="s">
        <v>816</v>
      </c>
      <c r="AT151" s="605" t="s">
        <v>816</v>
      </c>
      <c r="AU151" s="606">
        <f t="shared" ref="AU151:AU183" si="107">SUM(AR151:AT151)</f>
        <v>0</v>
      </c>
      <c r="AV151" s="604" t="s">
        <v>816</v>
      </c>
      <c r="AW151" s="605" t="s">
        <v>816</v>
      </c>
      <c r="AX151" s="605" t="s">
        <v>816</v>
      </c>
      <c r="AY151" s="605" t="s">
        <v>816</v>
      </c>
      <c r="AZ151" s="605" t="s">
        <v>816</v>
      </c>
      <c r="BA151" s="606">
        <f t="shared" ref="BA151:BA183" si="108">SUM(AV151:AZ151)</f>
        <v>0</v>
      </c>
      <c r="BB151" s="604" t="s">
        <v>816</v>
      </c>
      <c r="BC151" s="605" t="s">
        <v>816</v>
      </c>
      <c r="BD151" s="605" t="s">
        <v>816</v>
      </c>
      <c r="BE151" s="605" t="s">
        <v>816</v>
      </c>
      <c r="BF151" s="605" t="s">
        <v>816</v>
      </c>
      <c r="BG151" s="605" t="s">
        <v>816</v>
      </c>
      <c r="BH151" s="605" t="s">
        <v>816</v>
      </c>
      <c r="BI151" s="606">
        <f t="shared" ref="BI151:BI183" si="109">SUM(BB151:BH151)</f>
        <v>0</v>
      </c>
      <c r="BJ151" s="551">
        <f t="shared" ref="BJ151:BJ183" si="110">IF(D151="",0,AF151+AQ151+AU151+BA151+BI151)</f>
        <v>0</v>
      </c>
      <c r="BK151" s="607"/>
      <c r="BL151" s="608"/>
      <c r="BM151" s="608"/>
      <c r="BN151" s="608"/>
      <c r="BO151" s="557">
        <f t="shared" ref="BO151:BO183" si="111">+BK151+BL151+BM151+BN151</f>
        <v>0</v>
      </c>
      <c r="BP151" s="607"/>
      <c r="BQ151" s="608"/>
      <c r="BR151" s="608"/>
      <c r="BS151" s="557">
        <f t="shared" si="83"/>
        <v>0</v>
      </c>
      <c r="BT151" s="607"/>
      <c r="BU151" s="557">
        <f t="shared" ref="BU151:BU183" si="112">+BT151</f>
        <v>0</v>
      </c>
      <c r="BV151" s="607"/>
      <c r="BW151" s="608"/>
      <c r="BX151" s="608"/>
      <c r="BY151" s="608"/>
      <c r="BZ151" s="608"/>
      <c r="CA151" s="608"/>
      <c r="CB151" s="608"/>
      <c r="CC151" s="608"/>
      <c r="CD151" s="608"/>
      <c r="CE151" s="557">
        <f t="shared" ref="CE151:CE183" si="113">+SUM(BV151:CD151)</f>
        <v>0</v>
      </c>
      <c r="CF151" s="607"/>
      <c r="CG151" s="608"/>
      <c r="CH151" s="608"/>
      <c r="CI151" s="608"/>
      <c r="CJ151" s="608"/>
      <c r="CK151" s="608"/>
      <c r="CL151" s="608"/>
      <c r="CM151" s="557">
        <f t="shared" ref="CM151:CM183" si="114">+SUM(CF151:CL151)</f>
        <v>0</v>
      </c>
      <c r="CN151" s="607"/>
      <c r="CO151" s="609">
        <f t="shared" ref="CO151:CO181" si="115">+CN151</f>
        <v>0</v>
      </c>
      <c r="CP151" s="610">
        <f t="shared" si="98"/>
        <v>0</v>
      </c>
      <c r="CQ151" s="545"/>
      <c r="CR151" s="546"/>
      <c r="CS151" s="544">
        <f t="shared" ref="CS151:CS183" si="116">+CQ151+CR151</f>
        <v>0</v>
      </c>
      <c r="CT151" s="545"/>
      <c r="CU151" s="546"/>
      <c r="CV151" s="546"/>
      <c r="CW151" s="544">
        <f t="shared" ref="CW151:CW183" si="117">+CT151+CU151+CV151</f>
        <v>0</v>
      </c>
      <c r="CX151" s="547">
        <f t="shared" ref="CX151:CX183" si="118">+CS151+CW151</f>
        <v>0</v>
      </c>
      <c r="CY151" s="611">
        <f t="shared" ref="CY151:CY183" si="119">IF(D151="",0,AC151+BJ151+CP151+CX151)</f>
        <v>0</v>
      </c>
    </row>
    <row r="152" spans="1:103" s="561" customFormat="1" ht="30" hidden="1">
      <c r="A152" s="538">
        <v>143</v>
      </c>
      <c r="B152" s="602" t="s">
        <v>976</v>
      </c>
      <c r="C152" s="603" t="s">
        <v>977</v>
      </c>
      <c r="D152" s="541" t="s">
        <v>940</v>
      </c>
      <c r="E152" s="545">
        <v>0</v>
      </c>
      <c r="F152" s="546">
        <v>0</v>
      </c>
      <c r="G152" s="546">
        <v>0</v>
      </c>
      <c r="H152" s="546">
        <v>0</v>
      </c>
      <c r="I152" s="544">
        <f t="shared" si="99"/>
        <v>0</v>
      </c>
      <c r="J152" s="545">
        <v>0</v>
      </c>
      <c r="K152" s="546">
        <v>0</v>
      </c>
      <c r="L152" s="546">
        <v>0</v>
      </c>
      <c r="M152" s="546">
        <v>0</v>
      </c>
      <c r="N152" s="544">
        <f t="shared" si="100"/>
        <v>0</v>
      </c>
      <c r="O152" s="545">
        <v>0</v>
      </c>
      <c r="P152" s="546">
        <v>0</v>
      </c>
      <c r="Q152" s="544">
        <f t="shared" si="101"/>
        <v>0</v>
      </c>
      <c r="R152" s="545">
        <v>0</v>
      </c>
      <c r="S152" s="546">
        <v>0</v>
      </c>
      <c r="T152" s="546">
        <v>0</v>
      </c>
      <c r="U152" s="546">
        <v>0</v>
      </c>
      <c r="V152" s="546">
        <v>0</v>
      </c>
      <c r="W152" s="546">
        <v>0</v>
      </c>
      <c r="X152" s="544">
        <f t="shared" si="102"/>
        <v>0</v>
      </c>
      <c r="Y152" s="545">
        <v>0</v>
      </c>
      <c r="Z152" s="546">
        <v>0</v>
      </c>
      <c r="AA152" s="546">
        <v>0</v>
      </c>
      <c r="AB152" s="544">
        <f t="shared" si="103"/>
        <v>0</v>
      </c>
      <c r="AC152" s="547">
        <f t="shared" si="104"/>
        <v>0</v>
      </c>
      <c r="AD152" s="604" t="s">
        <v>816</v>
      </c>
      <c r="AE152" s="605" t="s">
        <v>816</v>
      </c>
      <c r="AF152" s="606">
        <f t="shared" si="105"/>
        <v>0</v>
      </c>
      <c r="AG152" s="604" t="s">
        <v>816</v>
      </c>
      <c r="AH152" s="605" t="s">
        <v>816</v>
      </c>
      <c r="AI152" s="605" t="s">
        <v>816</v>
      </c>
      <c r="AJ152" s="605" t="s">
        <v>816</v>
      </c>
      <c r="AK152" s="605" t="s">
        <v>816</v>
      </c>
      <c r="AL152" s="605" t="s">
        <v>816</v>
      </c>
      <c r="AM152" s="605" t="s">
        <v>816</v>
      </c>
      <c r="AN152" s="605" t="s">
        <v>816</v>
      </c>
      <c r="AO152" s="605" t="s">
        <v>816</v>
      </c>
      <c r="AP152" s="605" t="s">
        <v>816</v>
      </c>
      <c r="AQ152" s="606">
        <f t="shared" si="106"/>
        <v>0</v>
      </c>
      <c r="AR152" s="604" t="s">
        <v>816</v>
      </c>
      <c r="AS152" s="605" t="s">
        <v>816</v>
      </c>
      <c r="AT152" s="605" t="s">
        <v>816</v>
      </c>
      <c r="AU152" s="606">
        <f t="shared" si="107"/>
        <v>0</v>
      </c>
      <c r="AV152" s="604" t="s">
        <v>816</v>
      </c>
      <c r="AW152" s="605" t="s">
        <v>816</v>
      </c>
      <c r="AX152" s="605" t="s">
        <v>816</v>
      </c>
      <c r="AY152" s="605" t="s">
        <v>816</v>
      </c>
      <c r="AZ152" s="605" t="s">
        <v>816</v>
      </c>
      <c r="BA152" s="606">
        <f t="shared" si="108"/>
        <v>0</v>
      </c>
      <c r="BB152" s="604" t="s">
        <v>816</v>
      </c>
      <c r="BC152" s="605" t="s">
        <v>816</v>
      </c>
      <c r="BD152" s="605" t="s">
        <v>816</v>
      </c>
      <c r="BE152" s="605" t="s">
        <v>816</v>
      </c>
      <c r="BF152" s="605" t="s">
        <v>816</v>
      </c>
      <c r="BG152" s="605" t="s">
        <v>816</v>
      </c>
      <c r="BH152" s="605" t="s">
        <v>816</v>
      </c>
      <c r="BI152" s="606">
        <f t="shared" si="109"/>
        <v>0</v>
      </c>
      <c r="BJ152" s="551">
        <f t="shared" si="110"/>
        <v>0</v>
      </c>
      <c r="BK152" s="607"/>
      <c r="BL152" s="608"/>
      <c r="BM152" s="608"/>
      <c r="BN152" s="608"/>
      <c r="BO152" s="557">
        <f t="shared" si="111"/>
        <v>0</v>
      </c>
      <c r="BP152" s="607"/>
      <c r="BQ152" s="608"/>
      <c r="BR152" s="608"/>
      <c r="BS152" s="557">
        <f t="shared" si="83"/>
        <v>0</v>
      </c>
      <c r="BT152" s="607"/>
      <c r="BU152" s="557">
        <f t="shared" si="112"/>
        <v>0</v>
      </c>
      <c r="BV152" s="607"/>
      <c r="BW152" s="608"/>
      <c r="BX152" s="608"/>
      <c r="BY152" s="608"/>
      <c r="BZ152" s="608"/>
      <c r="CA152" s="608"/>
      <c r="CB152" s="608"/>
      <c r="CC152" s="608"/>
      <c r="CD152" s="608"/>
      <c r="CE152" s="557">
        <f t="shared" si="113"/>
        <v>0</v>
      </c>
      <c r="CF152" s="607"/>
      <c r="CG152" s="608"/>
      <c r="CH152" s="608"/>
      <c r="CI152" s="608"/>
      <c r="CJ152" s="608"/>
      <c r="CK152" s="608"/>
      <c r="CL152" s="608"/>
      <c r="CM152" s="557">
        <f t="shared" si="114"/>
        <v>0</v>
      </c>
      <c r="CN152" s="607"/>
      <c r="CO152" s="609">
        <f t="shared" si="115"/>
        <v>0</v>
      </c>
      <c r="CP152" s="610">
        <f t="shared" si="98"/>
        <v>0</v>
      </c>
      <c r="CQ152" s="545"/>
      <c r="CR152" s="546"/>
      <c r="CS152" s="544">
        <f t="shared" si="116"/>
        <v>0</v>
      </c>
      <c r="CT152" s="545"/>
      <c r="CU152" s="546"/>
      <c r="CV152" s="546"/>
      <c r="CW152" s="544">
        <f t="shared" si="117"/>
        <v>0</v>
      </c>
      <c r="CX152" s="547">
        <f t="shared" si="118"/>
        <v>0</v>
      </c>
      <c r="CY152" s="611">
        <f t="shared" si="119"/>
        <v>0</v>
      </c>
    </row>
    <row r="153" spans="1:103" s="561" customFormat="1" hidden="1">
      <c r="A153" s="538">
        <v>144</v>
      </c>
      <c r="B153" s="602" t="s">
        <v>346</v>
      </c>
      <c r="C153" s="603" t="s">
        <v>220</v>
      </c>
      <c r="D153" s="541" t="s">
        <v>829</v>
      </c>
      <c r="E153" s="545">
        <v>0</v>
      </c>
      <c r="F153" s="546">
        <v>0</v>
      </c>
      <c r="G153" s="546">
        <v>0</v>
      </c>
      <c r="H153" s="546">
        <v>0</v>
      </c>
      <c r="I153" s="544">
        <f t="shared" si="99"/>
        <v>0</v>
      </c>
      <c r="J153" s="545">
        <v>0</v>
      </c>
      <c r="K153" s="546">
        <v>0</v>
      </c>
      <c r="L153" s="546">
        <v>0</v>
      </c>
      <c r="M153" s="546">
        <v>0</v>
      </c>
      <c r="N153" s="544">
        <f t="shared" si="100"/>
        <v>0</v>
      </c>
      <c r="O153" s="545">
        <v>0</v>
      </c>
      <c r="P153" s="546">
        <v>0</v>
      </c>
      <c r="Q153" s="544">
        <f t="shared" si="101"/>
        <v>0</v>
      </c>
      <c r="R153" s="545">
        <v>0</v>
      </c>
      <c r="S153" s="546">
        <v>0</v>
      </c>
      <c r="T153" s="546">
        <v>0</v>
      </c>
      <c r="U153" s="546">
        <v>0</v>
      </c>
      <c r="V153" s="546">
        <v>0</v>
      </c>
      <c r="W153" s="546">
        <v>0</v>
      </c>
      <c r="X153" s="544">
        <f t="shared" si="102"/>
        <v>0</v>
      </c>
      <c r="Y153" s="545">
        <v>0</v>
      </c>
      <c r="Z153" s="546">
        <v>0</v>
      </c>
      <c r="AA153" s="546">
        <v>0</v>
      </c>
      <c r="AB153" s="544">
        <f t="shared" si="103"/>
        <v>0</v>
      </c>
      <c r="AC153" s="547">
        <f t="shared" si="104"/>
        <v>0</v>
      </c>
      <c r="AD153" s="604" t="s">
        <v>816</v>
      </c>
      <c r="AE153" s="605" t="s">
        <v>816</v>
      </c>
      <c r="AF153" s="606">
        <f t="shared" si="105"/>
        <v>0</v>
      </c>
      <c r="AG153" s="604" t="s">
        <v>816</v>
      </c>
      <c r="AH153" s="605" t="s">
        <v>816</v>
      </c>
      <c r="AI153" s="605" t="s">
        <v>816</v>
      </c>
      <c r="AJ153" s="605" t="s">
        <v>816</v>
      </c>
      <c r="AK153" s="605" t="s">
        <v>816</v>
      </c>
      <c r="AL153" s="605" t="s">
        <v>816</v>
      </c>
      <c r="AM153" s="605" t="s">
        <v>816</v>
      </c>
      <c r="AN153" s="605" t="s">
        <v>816</v>
      </c>
      <c r="AO153" s="605" t="s">
        <v>816</v>
      </c>
      <c r="AP153" s="605" t="s">
        <v>816</v>
      </c>
      <c r="AQ153" s="606">
        <f t="shared" si="106"/>
        <v>0</v>
      </c>
      <c r="AR153" s="604" t="s">
        <v>816</v>
      </c>
      <c r="AS153" s="605" t="s">
        <v>816</v>
      </c>
      <c r="AT153" s="605" t="s">
        <v>816</v>
      </c>
      <c r="AU153" s="606">
        <f t="shared" si="107"/>
        <v>0</v>
      </c>
      <c r="AV153" s="604" t="s">
        <v>816</v>
      </c>
      <c r="AW153" s="605" t="s">
        <v>816</v>
      </c>
      <c r="AX153" s="605" t="s">
        <v>816</v>
      </c>
      <c r="AY153" s="605" t="s">
        <v>816</v>
      </c>
      <c r="AZ153" s="605" t="s">
        <v>816</v>
      </c>
      <c r="BA153" s="606">
        <f t="shared" si="108"/>
        <v>0</v>
      </c>
      <c r="BB153" s="604" t="s">
        <v>816</v>
      </c>
      <c r="BC153" s="605" t="s">
        <v>816</v>
      </c>
      <c r="BD153" s="605" t="s">
        <v>816</v>
      </c>
      <c r="BE153" s="605" t="s">
        <v>816</v>
      </c>
      <c r="BF153" s="605" t="s">
        <v>816</v>
      </c>
      <c r="BG153" s="605" t="s">
        <v>816</v>
      </c>
      <c r="BH153" s="605" t="s">
        <v>816</v>
      </c>
      <c r="BI153" s="606">
        <f t="shared" si="109"/>
        <v>0</v>
      </c>
      <c r="BJ153" s="551">
        <f t="shared" si="110"/>
        <v>0</v>
      </c>
      <c r="BK153" s="607"/>
      <c r="BL153" s="608"/>
      <c r="BM153" s="608"/>
      <c r="BN153" s="608"/>
      <c r="BO153" s="557">
        <f t="shared" si="111"/>
        <v>0</v>
      </c>
      <c r="BP153" s="607"/>
      <c r="BQ153" s="608"/>
      <c r="BR153" s="608"/>
      <c r="BS153" s="557">
        <f t="shared" si="83"/>
        <v>0</v>
      </c>
      <c r="BT153" s="607"/>
      <c r="BU153" s="557">
        <f t="shared" si="112"/>
        <v>0</v>
      </c>
      <c r="BV153" s="607"/>
      <c r="BW153" s="608"/>
      <c r="BX153" s="608"/>
      <c r="BY153" s="608"/>
      <c r="BZ153" s="608"/>
      <c r="CA153" s="608"/>
      <c r="CB153" s="608"/>
      <c r="CC153" s="608"/>
      <c r="CD153" s="608"/>
      <c r="CE153" s="557">
        <f t="shared" si="113"/>
        <v>0</v>
      </c>
      <c r="CF153" s="607"/>
      <c r="CG153" s="608"/>
      <c r="CH153" s="608"/>
      <c r="CI153" s="608"/>
      <c r="CJ153" s="608"/>
      <c r="CK153" s="608"/>
      <c r="CL153" s="608"/>
      <c r="CM153" s="557">
        <f t="shared" si="114"/>
        <v>0</v>
      </c>
      <c r="CN153" s="607"/>
      <c r="CO153" s="609">
        <f t="shared" si="115"/>
        <v>0</v>
      </c>
      <c r="CP153" s="610">
        <f t="shared" si="98"/>
        <v>0</v>
      </c>
      <c r="CQ153" s="545"/>
      <c r="CR153" s="546"/>
      <c r="CS153" s="544">
        <f t="shared" si="116"/>
        <v>0</v>
      </c>
      <c r="CT153" s="545"/>
      <c r="CU153" s="546"/>
      <c r="CV153" s="546"/>
      <c r="CW153" s="544">
        <f t="shared" si="117"/>
        <v>0</v>
      </c>
      <c r="CX153" s="547">
        <f t="shared" si="118"/>
        <v>0</v>
      </c>
      <c r="CY153" s="611">
        <f t="shared" si="119"/>
        <v>0</v>
      </c>
    </row>
    <row r="154" spans="1:103" s="561" customFormat="1" hidden="1">
      <c r="A154" s="538">
        <v>145</v>
      </c>
      <c r="B154" s="602" t="s">
        <v>978</v>
      </c>
      <c r="C154" s="603" t="s">
        <v>979</v>
      </c>
      <c r="D154" s="541" t="s">
        <v>829</v>
      </c>
      <c r="E154" s="545">
        <v>0</v>
      </c>
      <c r="F154" s="546">
        <v>0</v>
      </c>
      <c r="G154" s="546">
        <v>0</v>
      </c>
      <c r="H154" s="546">
        <v>0</v>
      </c>
      <c r="I154" s="544">
        <f t="shared" si="99"/>
        <v>0</v>
      </c>
      <c r="J154" s="545">
        <v>0</v>
      </c>
      <c r="K154" s="546">
        <v>0</v>
      </c>
      <c r="L154" s="546">
        <v>0</v>
      </c>
      <c r="M154" s="546">
        <v>0</v>
      </c>
      <c r="N154" s="544">
        <f t="shared" si="100"/>
        <v>0</v>
      </c>
      <c r="O154" s="545">
        <v>0</v>
      </c>
      <c r="P154" s="546">
        <v>0</v>
      </c>
      <c r="Q154" s="544">
        <f t="shared" si="101"/>
        <v>0</v>
      </c>
      <c r="R154" s="545">
        <v>0</v>
      </c>
      <c r="S154" s="546">
        <v>0</v>
      </c>
      <c r="T154" s="546">
        <v>0</v>
      </c>
      <c r="U154" s="546">
        <v>0</v>
      </c>
      <c r="V154" s="546">
        <v>0</v>
      </c>
      <c r="W154" s="546">
        <v>0</v>
      </c>
      <c r="X154" s="544">
        <f t="shared" si="102"/>
        <v>0</v>
      </c>
      <c r="Y154" s="545">
        <v>0</v>
      </c>
      <c r="Z154" s="546">
        <v>0</v>
      </c>
      <c r="AA154" s="546">
        <v>0</v>
      </c>
      <c r="AB154" s="544">
        <f t="shared" si="103"/>
        <v>0</v>
      </c>
      <c r="AC154" s="547">
        <f t="shared" si="104"/>
        <v>0</v>
      </c>
      <c r="AD154" s="604" t="s">
        <v>816</v>
      </c>
      <c r="AE154" s="605" t="s">
        <v>816</v>
      </c>
      <c r="AF154" s="606">
        <f t="shared" si="105"/>
        <v>0</v>
      </c>
      <c r="AG154" s="604" t="s">
        <v>816</v>
      </c>
      <c r="AH154" s="605" t="s">
        <v>816</v>
      </c>
      <c r="AI154" s="605" t="s">
        <v>816</v>
      </c>
      <c r="AJ154" s="605" t="s">
        <v>816</v>
      </c>
      <c r="AK154" s="605" t="s">
        <v>816</v>
      </c>
      <c r="AL154" s="605" t="s">
        <v>816</v>
      </c>
      <c r="AM154" s="605" t="s">
        <v>816</v>
      </c>
      <c r="AN154" s="605" t="s">
        <v>816</v>
      </c>
      <c r="AO154" s="605" t="s">
        <v>816</v>
      </c>
      <c r="AP154" s="605" t="s">
        <v>816</v>
      </c>
      <c r="AQ154" s="606">
        <f t="shared" si="106"/>
        <v>0</v>
      </c>
      <c r="AR154" s="604" t="s">
        <v>816</v>
      </c>
      <c r="AS154" s="605" t="s">
        <v>816</v>
      </c>
      <c r="AT154" s="605" t="s">
        <v>816</v>
      </c>
      <c r="AU154" s="606">
        <f t="shared" si="107"/>
        <v>0</v>
      </c>
      <c r="AV154" s="604" t="s">
        <v>816</v>
      </c>
      <c r="AW154" s="605" t="s">
        <v>816</v>
      </c>
      <c r="AX154" s="605" t="s">
        <v>816</v>
      </c>
      <c r="AY154" s="605" t="s">
        <v>816</v>
      </c>
      <c r="AZ154" s="605" t="s">
        <v>816</v>
      </c>
      <c r="BA154" s="606">
        <f t="shared" si="108"/>
        <v>0</v>
      </c>
      <c r="BB154" s="604" t="s">
        <v>816</v>
      </c>
      <c r="BC154" s="605" t="s">
        <v>816</v>
      </c>
      <c r="BD154" s="605" t="s">
        <v>816</v>
      </c>
      <c r="BE154" s="605" t="s">
        <v>816</v>
      </c>
      <c r="BF154" s="605" t="s">
        <v>816</v>
      </c>
      <c r="BG154" s="605" t="s">
        <v>816</v>
      </c>
      <c r="BH154" s="605" t="s">
        <v>816</v>
      </c>
      <c r="BI154" s="606">
        <f t="shared" si="109"/>
        <v>0</v>
      </c>
      <c r="BJ154" s="551">
        <f t="shared" si="110"/>
        <v>0</v>
      </c>
      <c r="BK154" s="607"/>
      <c r="BL154" s="608"/>
      <c r="BM154" s="608"/>
      <c r="BN154" s="608"/>
      <c r="BO154" s="557">
        <f t="shared" si="111"/>
        <v>0</v>
      </c>
      <c r="BP154" s="607"/>
      <c r="BQ154" s="608"/>
      <c r="BR154" s="608"/>
      <c r="BS154" s="557">
        <f t="shared" si="83"/>
        <v>0</v>
      </c>
      <c r="BT154" s="607"/>
      <c r="BU154" s="557">
        <f t="shared" si="112"/>
        <v>0</v>
      </c>
      <c r="BV154" s="607"/>
      <c r="BW154" s="608"/>
      <c r="BX154" s="608"/>
      <c r="BY154" s="608"/>
      <c r="BZ154" s="608"/>
      <c r="CA154" s="608"/>
      <c r="CB154" s="608"/>
      <c r="CC154" s="608"/>
      <c r="CD154" s="608"/>
      <c r="CE154" s="557">
        <f t="shared" si="113"/>
        <v>0</v>
      </c>
      <c r="CF154" s="607"/>
      <c r="CG154" s="608"/>
      <c r="CH154" s="608"/>
      <c r="CI154" s="608"/>
      <c r="CJ154" s="608"/>
      <c r="CK154" s="608"/>
      <c r="CL154" s="608"/>
      <c r="CM154" s="557">
        <f t="shared" si="114"/>
        <v>0</v>
      </c>
      <c r="CN154" s="607"/>
      <c r="CO154" s="609">
        <f t="shared" si="115"/>
        <v>0</v>
      </c>
      <c r="CP154" s="610">
        <f t="shared" si="98"/>
        <v>0</v>
      </c>
      <c r="CQ154" s="545"/>
      <c r="CR154" s="546"/>
      <c r="CS154" s="544">
        <f t="shared" si="116"/>
        <v>0</v>
      </c>
      <c r="CT154" s="545"/>
      <c r="CU154" s="546"/>
      <c r="CV154" s="546"/>
      <c r="CW154" s="544">
        <f t="shared" si="117"/>
        <v>0</v>
      </c>
      <c r="CX154" s="547">
        <f t="shared" si="118"/>
        <v>0</v>
      </c>
      <c r="CY154" s="611">
        <f t="shared" si="119"/>
        <v>0</v>
      </c>
    </row>
    <row r="155" spans="1:103" s="561" customFormat="1" hidden="1">
      <c r="A155" s="538">
        <v>146</v>
      </c>
      <c r="B155" s="602" t="s">
        <v>93</v>
      </c>
      <c r="C155" s="603" t="s">
        <v>272</v>
      </c>
      <c r="D155" s="541" t="s">
        <v>829</v>
      </c>
      <c r="E155" s="545">
        <v>0</v>
      </c>
      <c r="F155" s="546">
        <v>0</v>
      </c>
      <c r="G155" s="546">
        <v>0</v>
      </c>
      <c r="H155" s="546">
        <v>0</v>
      </c>
      <c r="I155" s="544">
        <f t="shared" si="99"/>
        <v>0</v>
      </c>
      <c r="J155" s="545">
        <v>0</v>
      </c>
      <c r="K155" s="546">
        <v>0</v>
      </c>
      <c r="L155" s="546">
        <v>0</v>
      </c>
      <c r="M155" s="546">
        <v>0</v>
      </c>
      <c r="N155" s="544">
        <f t="shared" si="100"/>
        <v>0</v>
      </c>
      <c r="O155" s="545">
        <v>0</v>
      </c>
      <c r="P155" s="546">
        <v>0</v>
      </c>
      <c r="Q155" s="544">
        <f t="shared" si="101"/>
        <v>0</v>
      </c>
      <c r="R155" s="545">
        <v>0</v>
      </c>
      <c r="S155" s="546">
        <v>0</v>
      </c>
      <c r="T155" s="546">
        <v>0</v>
      </c>
      <c r="U155" s="546">
        <v>0</v>
      </c>
      <c r="V155" s="546">
        <v>0</v>
      </c>
      <c r="W155" s="546">
        <v>0</v>
      </c>
      <c r="X155" s="544">
        <f t="shared" si="102"/>
        <v>0</v>
      </c>
      <c r="Y155" s="545">
        <v>0</v>
      </c>
      <c r="Z155" s="546">
        <v>0</v>
      </c>
      <c r="AA155" s="546">
        <v>0</v>
      </c>
      <c r="AB155" s="544">
        <f t="shared" si="103"/>
        <v>0</v>
      </c>
      <c r="AC155" s="547">
        <f t="shared" si="104"/>
        <v>0</v>
      </c>
      <c r="AD155" s="604" t="s">
        <v>816</v>
      </c>
      <c r="AE155" s="605" t="s">
        <v>816</v>
      </c>
      <c r="AF155" s="606">
        <f t="shared" si="105"/>
        <v>0</v>
      </c>
      <c r="AG155" s="604" t="s">
        <v>816</v>
      </c>
      <c r="AH155" s="605" t="s">
        <v>816</v>
      </c>
      <c r="AI155" s="605" t="s">
        <v>816</v>
      </c>
      <c r="AJ155" s="605" t="s">
        <v>816</v>
      </c>
      <c r="AK155" s="605" t="s">
        <v>816</v>
      </c>
      <c r="AL155" s="605" t="s">
        <v>816</v>
      </c>
      <c r="AM155" s="605" t="s">
        <v>816</v>
      </c>
      <c r="AN155" s="605" t="s">
        <v>816</v>
      </c>
      <c r="AO155" s="605" t="s">
        <v>816</v>
      </c>
      <c r="AP155" s="605" t="s">
        <v>816</v>
      </c>
      <c r="AQ155" s="606">
        <f t="shared" si="106"/>
        <v>0</v>
      </c>
      <c r="AR155" s="604" t="s">
        <v>816</v>
      </c>
      <c r="AS155" s="605" t="s">
        <v>816</v>
      </c>
      <c r="AT155" s="605" t="s">
        <v>816</v>
      </c>
      <c r="AU155" s="606">
        <f t="shared" si="107"/>
        <v>0</v>
      </c>
      <c r="AV155" s="604" t="s">
        <v>816</v>
      </c>
      <c r="AW155" s="605" t="s">
        <v>816</v>
      </c>
      <c r="AX155" s="605" t="s">
        <v>816</v>
      </c>
      <c r="AY155" s="605" t="s">
        <v>816</v>
      </c>
      <c r="AZ155" s="605" t="s">
        <v>816</v>
      </c>
      <c r="BA155" s="606">
        <f t="shared" si="108"/>
        <v>0</v>
      </c>
      <c r="BB155" s="604" t="s">
        <v>816</v>
      </c>
      <c r="BC155" s="605" t="s">
        <v>816</v>
      </c>
      <c r="BD155" s="605" t="s">
        <v>816</v>
      </c>
      <c r="BE155" s="605" t="s">
        <v>816</v>
      </c>
      <c r="BF155" s="605" t="s">
        <v>816</v>
      </c>
      <c r="BG155" s="605" t="s">
        <v>816</v>
      </c>
      <c r="BH155" s="605" t="s">
        <v>816</v>
      </c>
      <c r="BI155" s="606">
        <f t="shared" si="109"/>
        <v>0</v>
      </c>
      <c r="BJ155" s="551">
        <f t="shared" si="110"/>
        <v>0</v>
      </c>
      <c r="BK155" s="607"/>
      <c r="BL155" s="608"/>
      <c r="BM155" s="608"/>
      <c r="BN155" s="608"/>
      <c r="BO155" s="557">
        <f t="shared" si="111"/>
        <v>0</v>
      </c>
      <c r="BP155" s="607"/>
      <c r="BQ155" s="608"/>
      <c r="BR155" s="608"/>
      <c r="BS155" s="557">
        <f t="shared" si="83"/>
        <v>0</v>
      </c>
      <c r="BT155" s="607"/>
      <c r="BU155" s="557">
        <f t="shared" si="112"/>
        <v>0</v>
      </c>
      <c r="BV155" s="607"/>
      <c r="BW155" s="608"/>
      <c r="BX155" s="608"/>
      <c r="BY155" s="608"/>
      <c r="BZ155" s="608"/>
      <c r="CA155" s="608"/>
      <c r="CB155" s="608"/>
      <c r="CC155" s="608"/>
      <c r="CD155" s="608"/>
      <c r="CE155" s="557">
        <f t="shared" si="113"/>
        <v>0</v>
      </c>
      <c r="CF155" s="607"/>
      <c r="CG155" s="608"/>
      <c r="CH155" s="608"/>
      <c r="CI155" s="608"/>
      <c r="CJ155" s="608"/>
      <c r="CK155" s="608"/>
      <c r="CL155" s="608"/>
      <c r="CM155" s="557">
        <f t="shared" si="114"/>
        <v>0</v>
      </c>
      <c r="CN155" s="607"/>
      <c r="CO155" s="609">
        <f t="shared" si="115"/>
        <v>0</v>
      </c>
      <c r="CP155" s="610">
        <f t="shared" si="98"/>
        <v>0</v>
      </c>
      <c r="CQ155" s="545"/>
      <c r="CR155" s="546"/>
      <c r="CS155" s="544">
        <f t="shared" si="116"/>
        <v>0</v>
      </c>
      <c r="CT155" s="545"/>
      <c r="CU155" s="546"/>
      <c r="CV155" s="546"/>
      <c r="CW155" s="544">
        <f t="shared" si="117"/>
        <v>0</v>
      </c>
      <c r="CX155" s="547">
        <f t="shared" si="118"/>
        <v>0</v>
      </c>
      <c r="CY155" s="611">
        <f t="shared" si="119"/>
        <v>0</v>
      </c>
    </row>
    <row r="156" spans="1:103" s="561" customFormat="1" hidden="1">
      <c r="A156" s="538">
        <v>147</v>
      </c>
      <c r="B156" s="602" t="s">
        <v>16</v>
      </c>
      <c r="C156" s="603" t="s">
        <v>10</v>
      </c>
      <c r="D156" s="541" t="s">
        <v>829</v>
      </c>
      <c r="E156" s="545">
        <v>0</v>
      </c>
      <c r="F156" s="546">
        <v>0</v>
      </c>
      <c r="G156" s="546">
        <v>0</v>
      </c>
      <c r="H156" s="546">
        <v>0</v>
      </c>
      <c r="I156" s="544">
        <f t="shared" si="99"/>
        <v>0</v>
      </c>
      <c r="J156" s="545">
        <v>0</v>
      </c>
      <c r="K156" s="546">
        <v>0</v>
      </c>
      <c r="L156" s="546">
        <v>0</v>
      </c>
      <c r="M156" s="546">
        <v>0</v>
      </c>
      <c r="N156" s="544">
        <f t="shared" si="100"/>
        <v>0</v>
      </c>
      <c r="O156" s="545">
        <v>0</v>
      </c>
      <c r="P156" s="546">
        <v>0</v>
      </c>
      <c r="Q156" s="544">
        <f t="shared" si="101"/>
        <v>0</v>
      </c>
      <c r="R156" s="545">
        <v>0</v>
      </c>
      <c r="S156" s="546">
        <v>0</v>
      </c>
      <c r="T156" s="546">
        <v>0</v>
      </c>
      <c r="U156" s="546">
        <v>0</v>
      </c>
      <c r="V156" s="546">
        <v>0</v>
      </c>
      <c r="W156" s="546">
        <v>0</v>
      </c>
      <c r="X156" s="544">
        <f t="shared" si="102"/>
        <v>0</v>
      </c>
      <c r="Y156" s="545">
        <v>0</v>
      </c>
      <c r="Z156" s="546">
        <v>0</v>
      </c>
      <c r="AA156" s="546">
        <v>0</v>
      </c>
      <c r="AB156" s="544">
        <f t="shared" si="103"/>
        <v>0</v>
      </c>
      <c r="AC156" s="547">
        <f t="shared" si="104"/>
        <v>0</v>
      </c>
      <c r="AD156" s="604" t="s">
        <v>816</v>
      </c>
      <c r="AE156" s="605" t="s">
        <v>816</v>
      </c>
      <c r="AF156" s="606">
        <f t="shared" si="105"/>
        <v>0</v>
      </c>
      <c r="AG156" s="604" t="s">
        <v>816</v>
      </c>
      <c r="AH156" s="605" t="s">
        <v>816</v>
      </c>
      <c r="AI156" s="605" t="s">
        <v>816</v>
      </c>
      <c r="AJ156" s="605" t="s">
        <v>816</v>
      </c>
      <c r="AK156" s="605" t="s">
        <v>816</v>
      </c>
      <c r="AL156" s="605" t="s">
        <v>816</v>
      </c>
      <c r="AM156" s="605" t="s">
        <v>816</v>
      </c>
      <c r="AN156" s="605" t="s">
        <v>816</v>
      </c>
      <c r="AO156" s="605" t="s">
        <v>816</v>
      </c>
      <c r="AP156" s="605" t="s">
        <v>816</v>
      </c>
      <c r="AQ156" s="606">
        <f t="shared" si="106"/>
        <v>0</v>
      </c>
      <c r="AR156" s="604" t="s">
        <v>816</v>
      </c>
      <c r="AS156" s="605" t="s">
        <v>816</v>
      </c>
      <c r="AT156" s="605" t="s">
        <v>816</v>
      </c>
      <c r="AU156" s="606">
        <f t="shared" si="107"/>
        <v>0</v>
      </c>
      <c r="AV156" s="604" t="s">
        <v>816</v>
      </c>
      <c r="AW156" s="605" t="s">
        <v>816</v>
      </c>
      <c r="AX156" s="605" t="s">
        <v>816</v>
      </c>
      <c r="AY156" s="605" t="s">
        <v>816</v>
      </c>
      <c r="AZ156" s="605" t="s">
        <v>816</v>
      </c>
      <c r="BA156" s="606">
        <f t="shared" si="108"/>
        <v>0</v>
      </c>
      <c r="BB156" s="604" t="s">
        <v>816</v>
      </c>
      <c r="BC156" s="605" t="s">
        <v>816</v>
      </c>
      <c r="BD156" s="605" t="s">
        <v>816</v>
      </c>
      <c r="BE156" s="605" t="s">
        <v>816</v>
      </c>
      <c r="BF156" s="605" t="s">
        <v>816</v>
      </c>
      <c r="BG156" s="605" t="s">
        <v>816</v>
      </c>
      <c r="BH156" s="605" t="s">
        <v>816</v>
      </c>
      <c r="BI156" s="606">
        <f t="shared" si="109"/>
        <v>0</v>
      </c>
      <c r="BJ156" s="551">
        <f t="shared" si="110"/>
        <v>0</v>
      </c>
      <c r="BK156" s="607"/>
      <c r="BL156" s="608"/>
      <c r="BM156" s="608"/>
      <c r="BN156" s="608"/>
      <c r="BO156" s="557">
        <f t="shared" si="111"/>
        <v>0</v>
      </c>
      <c r="BP156" s="607"/>
      <c r="BQ156" s="608"/>
      <c r="BR156" s="608"/>
      <c r="BS156" s="557">
        <f t="shared" si="83"/>
        <v>0</v>
      </c>
      <c r="BT156" s="607"/>
      <c r="BU156" s="557">
        <f t="shared" si="112"/>
        <v>0</v>
      </c>
      <c r="BV156" s="607"/>
      <c r="BW156" s="608"/>
      <c r="BX156" s="608"/>
      <c r="BY156" s="608"/>
      <c r="BZ156" s="608"/>
      <c r="CA156" s="608"/>
      <c r="CB156" s="608"/>
      <c r="CC156" s="608"/>
      <c r="CD156" s="608"/>
      <c r="CE156" s="557">
        <f t="shared" si="113"/>
        <v>0</v>
      </c>
      <c r="CF156" s="607"/>
      <c r="CG156" s="608"/>
      <c r="CH156" s="608"/>
      <c r="CI156" s="608"/>
      <c r="CJ156" s="608"/>
      <c r="CK156" s="608"/>
      <c r="CL156" s="608"/>
      <c r="CM156" s="557">
        <f t="shared" si="114"/>
        <v>0</v>
      </c>
      <c r="CN156" s="607"/>
      <c r="CO156" s="609">
        <f t="shared" si="115"/>
        <v>0</v>
      </c>
      <c r="CP156" s="610">
        <f t="shared" si="98"/>
        <v>0</v>
      </c>
      <c r="CQ156" s="545"/>
      <c r="CR156" s="546"/>
      <c r="CS156" s="544">
        <f t="shared" si="116"/>
        <v>0</v>
      </c>
      <c r="CT156" s="545"/>
      <c r="CU156" s="546"/>
      <c r="CV156" s="546"/>
      <c r="CW156" s="544">
        <f t="shared" si="117"/>
        <v>0</v>
      </c>
      <c r="CX156" s="547">
        <f t="shared" si="118"/>
        <v>0</v>
      </c>
      <c r="CY156" s="611">
        <f t="shared" si="119"/>
        <v>0</v>
      </c>
    </row>
    <row r="157" spans="1:103" s="561" customFormat="1" hidden="1">
      <c r="A157" s="538">
        <v>148</v>
      </c>
      <c r="B157" s="602" t="s">
        <v>889</v>
      </c>
      <c r="C157" s="603" t="s">
        <v>890</v>
      </c>
      <c r="D157" s="541" t="s">
        <v>829</v>
      </c>
      <c r="E157" s="545">
        <v>0</v>
      </c>
      <c r="F157" s="546">
        <v>0</v>
      </c>
      <c r="G157" s="546">
        <v>0</v>
      </c>
      <c r="H157" s="546">
        <v>0</v>
      </c>
      <c r="I157" s="544">
        <f t="shared" si="99"/>
        <v>0</v>
      </c>
      <c r="J157" s="545">
        <v>0</v>
      </c>
      <c r="K157" s="546">
        <v>0</v>
      </c>
      <c r="L157" s="546">
        <v>0</v>
      </c>
      <c r="M157" s="546">
        <v>0</v>
      </c>
      <c r="N157" s="544">
        <f t="shared" si="100"/>
        <v>0</v>
      </c>
      <c r="O157" s="545">
        <v>0</v>
      </c>
      <c r="P157" s="546">
        <v>0</v>
      </c>
      <c r="Q157" s="544">
        <f t="shared" si="101"/>
        <v>0</v>
      </c>
      <c r="R157" s="545">
        <v>0</v>
      </c>
      <c r="S157" s="546">
        <v>0</v>
      </c>
      <c r="T157" s="546">
        <v>0</v>
      </c>
      <c r="U157" s="546">
        <v>0</v>
      </c>
      <c r="V157" s="546">
        <v>0</v>
      </c>
      <c r="W157" s="546">
        <v>0</v>
      </c>
      <c r="X157" s="544">
        <f t="shared" si="102"/>
        <v>0</v>
      </c>
      <c r="Y157" s="545">
        <v>0</v>
      </c>
      <c r="Z157" s="546">
        <v>0</v>
      </c>
      <c r="AA157" s="546">
        <v>0</v>
      </c>
      <c r="AB157" s="544">
        <f t="shared" si="103"/>
        <v>0</v>
      </c>
      <c r="AC157" s="547">
        <f t="shared" si="104"/>
        <v>0</v>
      </c>
      <c r="AD157" s="604" t="s">
        <v>816</v>
      </c>
      <c r="AE157" s="605" t="s">
        <v>816</v>
      </c>
      <c r="AF157" s="606">
        <f t="shared" si="105"/>
        <v>0</v>
      </c>
      <c r="AG157" s="604" t="s">
        <v>816</v>
      </c>
      <c r="AH157" s="605" t="s">
        <v>816</v>
      </c>
      <c r="AI157" s="605" t="s">
        <v>816</v>
      </c>
      <c r="AJ157" s="605" t="s">
        <v>816</v>
      </c>
      <c r="AK157" s="605" t="s">
        <v>816</v>
      </c>
      <c r="AL157" s="605" t="s">
        <v>816</v>
      </c>
      <c r="AM157" s="605" t="s">
        <v>816</v>
      </c>
      <c r="AN157" s="605" t="s">
        <v>816</v>
      </c>
      <c r="AO157" s="605" t="s">
        <v>816</v>
      </c>
      <c r="AP157" s="605" t="s">
        <v>816</v>
      </c>
      <c r="AQ157" s="606">
        <f t="shared" si="106"/>
        <v>0</v>
      </c>
      <c r="AR157" s="604" t="s">
        <v>816</v>
      </c>
      <c r="AS157" s="605" t="s">
        <v>816</v>
      </c>
      <c r="AT157" s="605" t="s">
        <v>816</v>
      </c>
      <c r="AU157" s="606">
        <f t="shared" si="107"/>
        <v>0</v>
      </c>
      <c r="AV157" s="604" t="s">
        <v>816</v>
      </c>
      <c r="AW157" s="605" t="s">
        <v>816</v>
      </c>
      <c r="AX157" s="605" t="s">
        <v>816</v>
      </c>
      <c r="AY157" s="605" t="s">
        <v>816</v>
      </c>
      <c r="AZ157" s="605" t="s">
        <v>816</v>
      </c>
      <c r="BA157" s="606">
        <f t="shared" si="108"/>
        <v>0</v>
      </c>
      <c r="BB157" s="604" t="s">
        <v>816</v>
      </c>
      <c r="BC157" s="605" t="s">
        <v>816</v>
      </c>
      <c r="BD157" s="605" t="s">
        <v>816</v>
      </c>
      <c r="BE157" s="605" t="s">
        <v>816</v>
      </c>
      <c r="BF157" s="605" t="s">
        <v>816</v>
      </c>
      <c r="BG157" s="605" t="s">
        <v>816</v>
      </c>
      <c r="BH157" s="605" t="s">
        <v>816</v>
      </c>
      <c r="BI157" s="606">
        <f t="shared" si="109"/>
        <v>0</v>
      </c>
      <c r="BJ157" s="551">
        <f t="shared" si="110"/>
        <v>0</v>
      </c>
      <c r="BK157" s="607"/>
      <c r="BL157" s="608"/>
      <c r="BM157" s="608"/>
      <c r="BN157" s="608"/>
      <c r="BO157" s="557">
        <f t="shared" si="111"/>
        <v>0</v>
      </c>
      <c r="BP157" s="607"/>
      <c r="BQ157" s="608"/>
      <c r="BR157" s="608"/>
      <c r="BS157" s="557">
        <f t="shared" si="83"/>
        <v>0</v>
      </c>
      <c r="BT157" s="607"/>
      <c r="BU157" s="557">
        <f t="shared" si="112"/>
        <v>0</v>
      </c>
      <c r="BV157" s="607"/>
      <c r="BW157" s="608"/>
      <c r="BX157" s="608"/>
      <c r="BY157" s="608"/>
      <c r="BZ157" s="608"/>
      <c r="CA157" s="608"/>
      <c r="CB157" s="608"/>
      <c r="CC157" s="608"/>
      <c r="CD157" s="608"/>
      <c r="CE157" s="557">
        <f t="shared" si="113"/>
        <v>0</v>
      </c>
      <c r="CF157" s="607"/>
      <c r="CG157" s="608"/>
      <c r="CH157" s="608"/>
      <c r="CI157" s="608"/>
      <c r="CJ157" s="608"/>
      <c r="CK157" s="608"/>
      <c r="CL157" s="608"/>
      <c r="CM157" s="557">
        <f t="shared" si="114"/>
        <v>0</v>
      </c>
      <c r="CN157" s="607"/>
      <c r="CO157" s="609">
        <f t="shared" si="115"/>
        <v>0</v>
      </c>
      <c r="CP157" s="610">
        <f t="shared" si="98"/>
        <v>0</v>
      </c>
      <c r="CQ157" s="545"/>
      <c r="CR157" s="546"/>
      <c r="CS157" s="544">
        <f t="shared" si="116"/>
        <v>0</v>
      </c>
      <c r="CT157" s="545"/>
      <c r="CU157" s="546"/>
      <c r="CV157" s="546"/>
      <c r="CW157" s="544">
        <f t="shared" si="117"/>
        <v>0</v>
      </c>
      <c r="CX157" s="547">
        <f t="shared" si="118"/>
        <v>0</v>
      </c>
      <c r="CY157" s="611">
        <f t="shared" si="119"/>
        <v>0</v>
      </c>
    </row>
    <row r="158" spans="1:103" s="561" customFormat="1">
      <c r="A158" s="538">
        <v>149</v>
      </c>
      <c r="B158" s="602" t="s">
        <v>9</v>
      </c>
      <c r="C158" s="603" t="s">
        <v>4</v>
      </c>
      <c r="D158" s="541" t="s">
        <v>829</v>
      </c>
      <c r="E158" s="545">
        <v>0</v>
      </c>
      <c r="F158" s="546">
        <v>14.467180000000001</v>
      </c>
      <c r="G158" s="546">
        <v>22.639500000000002</v>
      </c>
      <c r="H158" s="546">
        <v>45.553300000000007</v>
      </c>
      <c r="I158" s="544">
        <f t="shared" si="99"/>
        <v>82.659980000000019</v>
      </c>
      <c r="J158" s="545">
        <v>0</v>
      </c>
      <c r="K158" s="546">
        <v>0</v>
      </c>
      <c r="L158" s="546">
        <v>0</v>
      </c>
      <c r="M158" s="546">
        <v>0</v>
      </c>
      <c r="N158" s="544">
        <f t="shared" si="100"/>
        <v>0</v>
      </c>
      <c r="O158" s="545">
        <v>0</v>
      </c>
      <c r="P158" s="546">
        <v>0</v>
      </c>
      <c r="Q158" s="544">
        <f t="shared" si="101"/>
        <v>0</v>
      </c>
      <c r="R158" s="545">
        <v>0</v>
      </c>
      <c r="S158" s="546">
        <v>18.2</v>
      </c>
      <c r="T158" s="546">
        <v>26</v>
      </c>
      <c r="U158" s="546">
        <v>94.9</v>
      </c>
      <c r="V158" s="546">
        <v>81.900000000000006</v>
      </c>
      <c r="W158" s="546">
        <v>0</v>
      </c>
      <c r="X158" s="544">
        <f t="shared" si="102"/>
        <v>221.00000000000003</v>
      </c>
      <c r="Y158" s="545">
        <v>64.520560000000017</v>
      </c>
      <c r="Z158" s="546">
        <v>4.7793199999999993</v>
      </c>
      <c r="AA158" s="546">
        <v>0</v>
      </c>
      <c r="AB158" s="544">
        <f t="shared" si="103"/>
        <v>69.299880000000016</v>
      </c>
      <c r="AC158" s="547">
        <f t="shared" si="104"/>
        <v>372.95986000000005</v>
      </c>
      <c r="AD158" s="604" t="s">
        <v>816</v>
      </c>
      <c r="AE158" s="605" t="s">
        <v>816</v>
      </c>
      <c r="AF158" s="606">
        <f t="shared" si="105"/>
        <v>0</v>
      </c>
      <c r="AG158" s="604" t="s">
        <v>816</v>
      </c>
      <c r="AH158" s="605" t="s">
        <v>816</v>
      </c>
      <c r="AI158" s="605" t="s">
        <v>816</v>
      </c>
      <c r="AJ158" s="605" t="s">
        <v>816</v>
      </c>
      <c r="AK158" s="605" t="s">
        <v>816</v>
      </c>
      <c r="AL158" s="605" t="s">
        <v>816</v>
      </c>
      <c r="AM158" s="605" t="s">
        <v>816</v>
      </c>
      <c r="AN158" s="605" t="s">
        <v>816</v>
      </c>
      <c r="AO158" s="605" t="s">
        <v>816</v>
      </c>
      <c r="AP158" s="605" t="s">
        <v>816</v>
      </c>
      <c r="AQ158" s="606">
        <f t="shared" si="106"/>
        <v>0</v>
      </c>
      <c r="AR158" s="604" t="s">
        <v>816</v>
      </c>
      <c r="AS158" s="605" t="s">
        <v>816</v>
      </c>
      <c r="AT158" s="605" t="s">
        <v>816</v>
      </c>
      <c r="AU158" s="606">
        <f t="shared" si="107"/>
        <v>0</v>
      </c>
      <c r="AV158" s="604" t="s">
        <v>816</v>
      </c>
      <c r="AW158" s="605" t="s">
        <v>816</v>
      </c>
      <c r="AX158" s="605" t="s">
        <v>816</v>
      </c>
      <c r="AY158" s="605" t="s">
        <v>816</v>
      </c>
      <c r="AZ158" s="605" t="s">
        <v>816</v>
      </c>
      <c r="BA158" s="606">
        <f t="shared" si="108"/>
        <v>0</v>
      </c>
      <c r="BB158" s="604" t="s">
        <v>816</v>
      </c>
      <c r="BC158" s="605" t="s">
        <v>816</v>
      </c>
      <c r="BD158" s="605" t="s">
        <v>816</v>
      </c>
      <c r="BE158" s="605" t="s">
        <v>816</v>
      </c>
      <c r="BF158" s="605" t="s">
        <v>816</v>
      </c>
      <c r="BG158" s="605" t="s">
        <v>816</v>
      </c>
      <c r="BH158" s="605" t="s">
        <v>816</v>
      </c>
      <c r="BI158" s="606">
        <f t="shared" si="109"/>
        <v>0</v>
      </c>
      <c r="BJ158" s="551">
        <f t="shared" si="110"/>
        <v>0</v>
      </c>
      <c r="BK158" s="607"/>
      <c r="BL158" s="608"/>
      <c r="BM158" s="608"/>
      <c r="BN158" s="608"/>
      <c r="BO158" s="557">
        <f t="shared" si="111"/>
        <v>0</v>
      </c>
      <c r="BP158" s="607"/>
      <c r="BQ158" s="608"/>
      <c r="BR158" s="608"/>
      <c r="BS158" s="557">
        <f t="shared" si="83"/>
        <v>0</v>
      </c>
      <c r="BT158" s="607"/>
      <c r="BU158" s="557">
        <f t="shared" si="112"/>
        <v>0</v>
      </c>
      <c r="BV158" s="607"/>
      <c r="BW158" s="608"/>
      <c r="BX158" s="608"/>
      <c r="BY158" s="608"/>
      <c r="BZ158" s="608"/>
      <c r="CA158" s="608"/>
      <c r="CB158" s="608"/>
      <c r="CC158" s="608"/>
      <c r="CD158" s="608"/>
      <c r="CE158" s="557">
        <f t="shared" si="113"/>
        <v>0</v>
      </c>
      <c r="CF158" s="607"/>
      <c r="CG158" s="608"/>
      <c r="CH158" s="608"/>
      <c r="CI158" s="608"/>
      <c r="CJ158" s="608"/>
      <c r="CK158" s="608"/>
      <c r="CL158" s="608"/>
      <c r="CM158" s="557">
        <f t="shared" si="114"/>
        <v>0</v>
      </c>
      <c r="CN158" s="607"/>
      <c r="CO158" s="609">
        <f t="shared" si="115"/>
        <v>0</v>
      </c>
      <c r="CP158" s="610">
        <f t="shared" si="98"/>
        <v>0</v>
      </c>
      <c r="CQ158" s="545"/>
      <c r="CR158" s="546"/>
      <c r="CS158" s="544">
        <f t="shared" si="116"/>
        <v>0</v>
      </c>
      <c r="CT158" s="545"/>
      <c r="CU158" s="546"/>
      <c r="CV158" s="546"/>
      <c r="CW158" s="544">
        <f t="shared" si="117"/>
        <v>0</v>
      </c>
      <c r="CX158" s="547">
        <f t="shared" si="118"/>
        <v>0</v>
      </c>
      <c r="CY158" s="611">
        <f t="shared" si="119"/>
        <v>372.95986000000005</v>
      </c>
    </row>
    <row r="159" spans="1:103" s="561" customFormat="1" hidden="1">
      <c r="A159" s="538">
        <v>150</v>
      </c>
      <c r="B159" s="602" t="s">
        <v>299</v>
      </c>
      <c r="C159" s="603" t="s">
        <v>980</v>
      </c>
      <c r="D159" s="541" t="s">
        <v>829</v>
      </c>
      <c r="E159" s="545">
        <v>0</v>
      </c>
      <c r="F159" s="546">
        <v>0</v>
      </c>
      <c r="G159" s="546">
        <v>0</v>
      </c>
      <c r="H159" s="546">
        <v>0</v>
      </c>
      <c r="I159" s="544">
        <f t="shared" si="99"/>
        <v>0</v>
      </c>
      <c r="J159" s="545">
        <v>0</v>
      </c>
      <c r="K159" s="546">
        <v>0</v>
      </c>
      <c r="L159" s="546">
        <v>0</v>
      </c>
      <c r="M159" s="546">
        <v>0</v>
      </c>
      <c r="N159" s="544">
        <f t="shared" si="100"/>
        <v>0</v>
      </c>
      <c r="O159" s="545">
        <v>0</v>
      </c>
      <c r="P159" s="546">
        <v>0</v>
      </c>
      <c r="Q159" s="544">
        <f t="shared" si="101"/>
        <v>0</v>
      </c>
      <c r="R159" s="545">
        <v>0</v>
      </c>
      <c r="S159" s="546">
        <v>0</v>
      </c>
      <c r="T159" s="546">
        <v>0</v>
      </c>
      <c r="U159" s="546">
        <v>0</v>
      </c>
      <c r="V159" s="546">
        <v>0</v>
      </c>
      <c r="W159" s="546">
        <v>0</v>
      </c>
      <c r="X159" s="544">
        <f t="shared" si="102"/>
        <v>0</v>
      </c>
      <c r="Y159" s="545">
        <v>0</v>
      </c>
      <c r="Z159" s="546">
        <v>0</v>
      </c>
      <c r="AA159" s="546">
        <v>0</v>
      </c>
      <c r="AB159" s="544">
        <f t="shared" si="103"/>
        <v>0</v>
      </c>
      <c r="AC159" s="547">
        <f t="shared" si="104"/>
        <v>0</v>
      </c>
      <c r="AD159" s="604" t="s">
        <v>816</v>
      </c>
      <c r="AE159" s="605" t="s">
        <v>816</v>
      </c>
      <c r="AF159" s="606">
        <f t="shared" si="105"/>
        <v>0</v>
      </c>
      <c r="AG159" s="604" t="s">
        <v>816</v>
      </c>
      <c r="AH159" s="605" t="s">
        <v>816</v>
      </c>
      <c r="AI159" s="605" t="s">
        <v>816</v>
      </c>
      <c r="AJ159" s="605" t="s">
        <v>816</v>
      </c>
      <c r="AK159" s="605" t="s">
        <v>816</v>
      </c>
      <c r="AL159" s="605" t="s">
        <v>816</v>
      </c>
      <c r="AM159" s="605" t="s">
        <v>816</v>
      </c>
      <c r="AN159" s="605" t="s">
        <v>816</v>
      </c>
      <c r="AO159" s="605" t="s">
        <v>816</v>
      </c>
      <c r="AP159" s="605" t="s">
        <v>816</v>
      </c>
      <c r="AQ159" s="606">
        <f t="shared" si="106"/>
        <v>0</v>
      </c>
      <c r="AR159" s="604" t="s">
        <v>816</v>
      </c>
      <c r="AS159" s="605" t="s">
        <v>816</v>
      </c>
      <c r="AT159" s="605" t="s">
        <v>816</v>
      </c>
      <c r="AU159" s="606">
        <f t="shared" si="107"/>
        <v>0</v>
      </c>
      <c r="AV159" s="604" t="s">
        <v>816</v>
      </c>
      <c r="AW159" s="605" t="s">
        <v>816</v>
      </c>
      <c r="AX159" s="605" t="s">
        <v>816</v>
      </c>
      <c r="AY159" s="605" t="s">
        <v>816</v>
      </c>
      <c r="AZ159" s="605" t="s">
        <v>816</v>
      </c>
      <c r="BA159" s="606">
        <f t="shared" si="108"/>
        <v>0</v>
      </c>
      <c r="BB159" s="604" t="s">
        <v>816</v>
      </c>
      <c r="BC159" s="605" t="s">
        <v>816</v>
      </c>
      <c r="BD159" s="605" t="s">
        <v>816</v>
      </c>
      <c r="BE159" s="605" t="s">
        <v>816</v>
      </c>
      <c r="BF159" s="605" t="s">
        <v>816</v>
      </c>
      <c r="BG159" s="605" t="s">
        <v>816</v>
      </c>
      <c r="BH159" s="605" t="s">
        <v>816</v>
      </c>
      <c r="BI159" s="606">
        <f t="shared" si="109"/>
        <v>0</v>
      </c>
      <c r="BJ159" s="551">
        <f t="shared" si="110"/>
        <v>0</v>
      </c>
      <c r="BK159" s="607"/>
      <c r="BL159" s="608"/>
      <c r="BM159" s="608"/>
      <c r="BN159" s="608"/>
      <c r="BO159" s="557">
        <f t="shared" si="111"/>
        <v>0</v>
      </c>
      <c r="BP159" s="607"/>
      <c r="BQ159" s="608"/>
      <c r="BR159" s="608"/>
      <c r="BS159" s="557">
        <f t="shared" si="83"/>
        <v>0</v>
      </c>
      <c r="BT159" s="607"/>
      <c r="BU159" s="557">
        <f t="shared" si="112"/>
        <v>0</v>
      </c>
      <c r="BV159" s="607"/>
      <c r="BW159" s="608"/>
      <c r="BX159" s="608"/>
      <c r="BY159" s="608"/>
      <c r="BZ159" s="608"/>
      <c r="CA159" s="608"/>
      <c r="CB159" s="608"/>
      <c r="CC159" s="608"/>
      <c r="CD159" s="608"/>
      <c r="CE159" s="557">
        <f t="shared" si="113"/>
        <v>0</v>
      </c>
      <c r="CF159" s="607"/>
      <c r="CG159" s="608"/>
      <c r="CH159" s="608"/>
      <c r="CI159" s="608"/>
      <c r="CJ159" s="608"/>
      <c r="CK159" s="608"/>
      <c r="CL159" s="608"/>
      <c r="CM159" s="557">
        <f t="shared" si="114"/>
        <v>0</v>
      </c>
      <c r="CN159" s="607"/>
      <c r="CO159" s="609">
        <f t="shared" si="115"/>
        <v>0</v>
      </c>
      <c r="CP159" s="610">
        <f t="shared" si="98"/>
        <v>0</v>
      </c>
      <c r="CQ159" s="545"/>
      <c r="CR159" s="546"/>
      <c r="CS159" s="544">
        <f t="shared" si="116"/>
        <v>0</v>
      </c>
      <c r="CT159" s="545"/>
      <c r="CU159" s="546"/>
      <c r="CV159" s="546"/>
      <c r="CW159" s="544">
        <f t="shared" si="117"/>
        <v>0</v>
      </c>
      <c r="CX159" s="547">
        <f t="shared" si="118"/>
        <v>0</v>
      </c>
      <c r="CY159" s="611">
        <f t="shared" si="119"/>
        <v>0</v>
      </c>
    </row>
    <row r="160" spans="1:103" s="561" customFormat="1" hidden="1">
      <c r="A160" s="538">
        <v>151</v>
      </c>
      <c r="B160" s="602" t="s">
        <v>981</v>
      </c>
      <c r="C160" s="603" t="s">
        <v>982</v>
      </c>
      <c r="D160" s="541" t="s">
        <v>829</v>
      </c>
      <c r="E160" s="545">
        <v>0</v>
      </c>
      <c r="F160" s="546">
        <v>0</v>
      </c>
      <c r="G160" s="546">
        <v>0</v>
      </c>
      <c r="H160" s="546">
        <v>0</v>
      </c>
      <c r="I160" s="544">
        <f t="shared" si="99"/>
        <v>0</v>
      </c>
      <c r="J160" s="545">
        <v>0</v>
      </c>
      <c r="K160" s="546">
        <v>0</v>
      </c>
      <c r="L160" s="546">
        <v>0</v>
      </c>
      <c r="M160" s="546">
        <v>0</v>
      </c>
      <c r="N160" s="544">
        <f t="shared" si="100"/>
        <v>0</v>
      </c>
      <c r="O160" s="545">
        <v>0</v>
      </c>
      <c r="P160" s="546">
        <v>0</v>
      </c>
      <c r="Q160" s="544">
        <f t="shared" si="101"/>
        <v>0</v>
      </c>
      <c r="R160" s="545">
        <v>0</v>
      </c>
      <c r="S160" s="546">
        <v>0</v>
      </c>
      <c r="T160" s="546">
        <v>0</v>
      </c>
      <c r="U160" s="546">
        <v>0</v>
      </c>
      <c r="V160" s="546">
        <v>0</v>
      </c>
      <c r="W160" s="546">
        <v>0</v>
      </c>
      <c r="X160" s="544">
        <f t="shared" si="102"/>
        <v>0</v>
      </c>
      <c r="Y160" s="545">
        <v>0</v>
      </c>
      <c r="Z160" s="546">
        <v>0</v>
      </c>
      <c r="AA160" s="546">
        <v>0</v>
      </c>
      <c r="AB160" s="544">
        <f t="shared" si="103"/>
        <v>0</v>
      </c>
      <c r="AC160" s="547">
        <f t="shared" si="104"/>
        <v>0</v>
      </c>
      <c r="AD160" s="604" t="s">
        <v>816</v>
      </c>
      <c r="AE160" s="605" t="s">
        <v>816</v>
      </c>
      <c r="AF160" s="606">
        <f t="shared" si="105"/>
        <v>0</v>
      </c>
      <c r="AG160" s="604" t="s">
        <v>816</v>
      </c>
      <c r="AH160" s="605" t="s">
        <v>816</v>
      </c>
      <c r="AI160" s="605" t="s">
        <v>816</v>
      </c>
      <c r="AJ160" s="605" t="s">
        <v>816</v>
      </c>
      <c r="AK160" s="605" t="s">
        <v>816</v>
      </c>
      <c r="AL160" s="605" t="s">
        <v>816</v>
      </c>
      <c r="AM160" s="605" t="s">
        <v>816</v>
      </c>
      <c r="AN160" s="605" t="s">
        <v>816</v>
      </c>
      <c r="AO160" s="605" t="s">
        <v>816</v>
      </c>
      <c r="AP160" s="605" t="s">
        <v>816</v>
      </c>
      <c r="AQ160" s="606">
        <f t="shared" si="106"/>
        <v>0</v>
      </c>
      <c r="AR160" s="604" t="s">
        <v>816</v>
      </c>
      <c r="AS160" s="605" t="s">
        <v>816</v>
      </c>
      <c r="AT160" s="605" t="s">
        <v>816</v>
      </c>
      <c r="AU160" s="606">
        <f t="shared" si="107"/>
        <v>0</v>
      </c>
      <c r="AV160" s="604" t="s">
        <v>816</v>
      </c>
      <c r="AW160" s="605" t="s">
        <v>816</v>
      </c>
      <c r="AX160" s="605" t="s">
        <v>816</v>
      </c>
      <c r="AY160" s="605" t="s">
        <v>816</v>
      </c>
      <c r="AZ160" s="605" t="s">
        <v>816</v>
      </c>
      <c r="BA160" s="606">
        <f t="shared" si="108"/>
        <v>0</v>
      </c>
      <c r="BB160" s="604" t="s">
        <v>816</v>
      </c>
      <c r="BC160" s="605" t="s">
        <v>816</v>
      </c>
      <c r="BD160" s="605" t="s">
        <v>816</v>
      </c>
      <c r="BE160" s="605" t="s">
        <v>816</v>
      </c>
      <c r="BF160" s="605" t="s">
        <v>816</v>
      </c>
      <c r="BG160" s="605" t="s">
        <v>816</v>
      </c>
      <c r="BH160" s="605" t="s">
        <v>816</v>
      </c>
      <c r="BI160" s="606">
        <f t="shared" si="109"/>
        <v>0</v>
      </c>
      <c r="BJ160" s="551">
        <f t="shared" si="110"/>
        <v>0</v>
      </c>
      <c r="BK160" s="607"/>
      <c r="BL160" s="608"/>
      <c r="BM160" s="608"/>
      <c r="BN160" s="608"/>
      <c r="BO160" s="557">
        <f t="shared" si="111"/>
        <v>0</v>
      </c>
      <c r="BP160" s="607"/>
      <c r="BQ160" s="608"/>
      <c r="BR160" s="608"/>
      <c r="BS160" s="557">
        <f t="shared" si="83"/>
        <v>0</v>
      </c>
      <c r="BT160" s="607"/>
      <c r="BU160" s="557">
        <f t="shared" si="112"/>
        <v>0</v>
      </c>
      <c r="BV160" s="607"/>
      <c r="BW160" s="608"/>
      <c r="BX160" s="608"/>
      <c r="BY160" s="608"/>
      <c r="BZ160" s="608"/>
      <c r="CA160" s="608"/>
      <c r="CB160" s="608"/>
      <c r="CC160" s="608"/>
      <c r="CD160" s="608"/>
      <c r="CE160" s="557">
        <f t="shared" si="113"/>
        <v>0</v>
      </c>
      <c r="CF160" s="607"/>
      <c r="CG160" s="608"/>
      <c r="CH160" s="608"/>
      <c r="CI160" s="608"/>
      <c r="CJ160" s="608"/>
      <c r="CK160" s="608"/>
      <c r="CL160" s="608"/>
      <c r="CM160" s="557">
        <f t="shared" si="114"/>
        <v>0</v>
      </c>
      <c r="CN160" s="607"/>
      <c r="CO160" s="609">
        <f t="shared" si="115"/>
        <v>0</v>
      </c>
      <c r="CP160" s="610">
        <f t="shared" si="98"/>
        <v>0</v>
      </c>
      <c r="CQ160" s="545"/>
      <c r="CR160" s="546"/>
      <c r="CS160" s="544">
        <f t="shared" si="116"/>
        <v>0</v>
      </c>
      <c r="CT160" s="545"/>
      <c r="CU160" s="546"/>
      <c r="CV160" s="546"/>
      <c r="CW160" s="544">
        <f t="shared" si="117"/>
        <v>0</v>
      </c>
      <c r="CX160" s="547">
        <f t="shared" si="118"/>
        <v>0</v>
      </c>
      <c r="CY160" s="611">
        <f t="shared" si="119"/>
        <v>0</v>
      </c>
    </row>
    <row r="161" spans="1:103" s="561" customFormat="1" hidden="1">
      <c r="A161" s="538">
        <v>152</v>
      </c>
      <c r="B161" s="602" t="s">
        <v>397</v>
      </c>
      <c r="C161" s="603" t="s">
        <v>983</v>
      </c>
      <c r="D161" s="541" t="s">
        <v>11</v>
      </c>
      <c r="E161" s="545">
        <v>0</v>
      </c>
      <c r="F161" s="546">
        <v>0</v>
      </c>
      <c r="G161" s="546">
        <v>0</v>
      </c>
      <c r="H161" s="546">
        <v>0</v>
      </c>
      <c r="I161" s="544">
        <f t="shared" si="99"/>
        <v>0</v>
      </c>
      <c r="J161" s="545">
        <v>0</v>
      </c>
      <c r="K161" s="546">
        <v>0</v>
      </c>
      <c r="L161" s="546">
        <v>0</v>
      </c>
      <c r="M161" s="546">
        <v>0</v>
      </c>
      <c r="N161" s="544">
        <f t="shared" si="100"/>
        <v>0</v>
      </c>
      <c r="O161" s="545">
        <v>0</v>
      </c>
      <c r="P161" s="546">
        <v>0</v>
      </c>
      <c r="Q161" s="544">
        <f t="shared" si="101"/>
        <v>0</v>
      </c>
      <c r="R161" s="545">
        <v>0</v>
      </c>
      <c r="S161" s="546">
        <v>0</v>
      </c>
      <c r="T161" s="546">
        <v>0</v>
      </c>
      <c r="U161" s="546">
        <v>0</v>
      </c>
      <c r="V161" s="546">
        <v>0</v>
      </c>
      <c r="W161" s="546">
        <v>0</v>
      </c>
      <c r="X161" s="544">
        <f t="shared" si="102"/>
        <v>0</v>
      </c>
      <c r="Y161" s="545">
        <v>0</v>
      </c>
      <c r="Z161" s="546">
        <v>0</v>
      </c>
      <c r="AA161" s="546">
        <v>0</v>
      </c>
      <c r="AB161" s="544">
        <f t="shared" si="103"/>
        <v>0</v>
      </c>
      <c r="AC161" s="547">
        <f t="shared" si="104"/>
        <v>0</v>
      </c>
      <c r="AD161" s="604" t="s">
        <v>816</v>
      </c>
      <c r="AE161" s="605" t="s">
        <v>816</v>
      </c>
      <c r="AF161" s="606">
        <f t="shared" si="105"/>
        <v>0</v>
      </c>
      <c r="AG161" s="604" t="s">
        <v>816</v>
      </c>
      <c r="AH161" s="605" t="s">
        <v>816</v>
      </c>
      <c r="AI161" s="605" t="s">
        <v>816</v>
      </c>
      <c r="AJ161" s="605" t="s">
        <v>816</v>
      </c>
      <c r="AK161" s="605" t="s">
        <v>816</v>
      </c>
      <c r="AL161" s="605" t="s">
        <v>816</v>
      </c>
      <c r="AM161" s="605" t="s">
        <v>816</v>
      </c>
      <c r="AN161" s="605" t="s">
        <v>816</v>
      </c>
      <c r="AO161" s="605" t="s">
        <v>816</v>
      </c>
      <c r="AP161" s="605" t="s">
        <v>816</v>
      </c>
      <c r="AQ161" s="606">
        <f t="shared" si="106"/>
        <v>0</v>
      </c>
      <c r="AR161" s="604" t="s">
        <v>816</v>
      </c>
      <c r="AS161" s="605" t="s">
        <v>816</v>
      </c>
      <c r="AT161" s="605" t="s">
        <v>816</v>
      </c>
      <c r="AU161" s="606">
        <f t="shared" si="107"/>
        <v>0</v>
      </c>
      <c r="AV161" s="604" t="s">
        <v>816</v>
      </c>
      <c r="AW161" s="605" t="s">
        <v>816</v>
      </c>
      <c r="AX161" s="605" t="s">
        <v>816</v>
      </c>
      <c r="AY161" s="605" t="s">
        <v>816</v>
      </c>
      <c r="AZ161" s="605" t="s">
        <v>816</v>
      </c>
      <c r="BA161" s="606">
        <f t="shared" si="108"/>
        <v>0</v>
      </c>
      <c r="BB161" s="604" t="s">
        <v>816</v>
      </c>
      <c r="BC161" s="605" t="s">
        <v>816</v>
      </c>
      <c r="BD161" s="605" t="s">
        <v>816</v>
      </c>
      <c r="BE161" s="605" t="s">
        <v>816</v>
      </c>
      <c r="BF161" s="605" t="s">
        <v>816</v>
      </c>
      <c r="BG161" s="605" t="s">
        <v>816</v>
      </c>
      <c r="BH161" s="605" t="s">
        <v>816</v>
      </c>
      <c r="BI161" s="606">
        <f t="shared" si="109"/>
        <v>0</v>
      </c>
      <c r="BJ161" s="551">
        <f t="shared" si="110"/>
        <v>0</v>
      </c>
      <c r="BK161" s="607"/>
      <c r="BL161" s="608"/>
      <c r="BM161" s="608"/>
      <c r="BN161" s="608"/>
      <c r="BO161" s="557">
        <f t="shared" si="111"/>
        <v>0</v>
      </c>
      <c r="BP161" s="607"/>
      <c r="BQ161" s="608"/>
      <c r="BR161" s="608"/>
      <c r="BS161" s="557">
        <f t="shared" si="83"/>
        <v>0</v>
      </c>
      <c r="BT161" s="607"/>
      <c r="BU161" s="557">
        <f t="shared" si="112"/>
        <v>0</v>
      </c>
      <c r="BV161" s="607"/>
      <c r="BW161" s="608"/>
      <c r="BX161" s="608"/>
      <c r="BY161" s="608"/>
      <c r="BZ161" s="608"/>
      <c r="CA161" s="608"/>
      <c r="CB161" s="608"/>
      <c r="CC161" s="608"/>
      <c r="CD161" s="608"/>
      <c r="CE161" s="557">
        <f t="shared" si="113"/>
        <v>0</v>
      </c>
      <c r="CF161" s="607"/>
      <c r="CG161" s="608"/>
      <c r="CH161" s="608"/>
      <c r="CI161" s="608"/>
      <c r="CJ161" s="608"/>
      <c r="CK161" s="608"/>
      <c r="CL161" s="608"/>
      <c r="CM161" s="557">
        <f t="shared" si="114"/>
        <v>0</v>
      </c>
      <c r="CN161" s="607"/>
      <c r="CO161" s="609">
        <f t="shared" si="115"/>
        <v>0</v>
      </c>
      <c r="CP161" s="610">
        <f t="shared" si="98"/>
        <v>0</v>
      </c>
      <c r="CQ161" s="545"/>
      <c r="CR161" s="546"/>
      <c r="CS161" s="544">
        <f t="shared" si="116"/>
        <v>0</v>
      </c>
      <c r="CT161" s="545"/>
      <c r="CU161" s="546"/>
      <c r="CV161" s="546"/>
      <c r="CW161" s="544">
        <f t="shared" si="117"/>
        <v>0</v>
      </c>
      <c r="CX161" s="547">
        <f t="shared" si="118"/>
        <v>0</v>
      </c>
      <c r="CY161" s="611">
        <f t="shared" si="119"/>
        <v>0</v>
      </c>
    </row>
    <row r="162" spans="1:103" s="561" customFormat="1" hidden="1">
      <c r="A162" s="538">
        <v>153</v>
      </c>
      <c r="B162" s="602" t="s">
        <v>984</v>
      </c>
      <c r="C162" s="603" t="s">
        <v>985</v>
      </c>
      <c r="D162" s="541" t="s">
        <v>11</v>
      </c>
      <c r="E162" s="545">
        <v>0</v>
      </c>
      <c r="F162" s="546">
        <v>0</v>
      </c>
      <c r="G162" s="546">
        <v>0</v>
      </c>
      <c r="H162" s="546">
        <v>0</v>
      </c>
      <c r="I162" s="544">
        <f t="shared" si="99"/>
        <v>0</v>
      </c>
      <c r="J162" s="545">
        <v>0</v>
      </c>
      <c r="K162" s="546">
        <v>0</v>
      </c>
      <c r="L162" s="546">
        <v>0</v>
      </c>
      <c r="M162" s="546">
        <v>0</v>
      </c>
      <c r="N162" s="544">
        <f t="shared" si="100"/>
        <v>0</v>
      </c>
      <c r="O162" s="545">
        <v>0</v>
      </c>
      <c r="P162" s="546">
        <v>0</v>
      </c>
      <c r="Q162" s="544">
        <f t="shared" si="101"/>
        <v>0</v>
      </c>
      <c r="R162" s="545">
        <v>0</v>
      </c>
      <c r="S162" s="546">
        <v>0</v>
      </c>
      <c r="T162" s="546">
        <v>0</v>
      </c>
      <c r="U162" s="546">
        <v>0</v>
      </c>
      <c r="V162" s="546">
        <v>0</v>
      </c>
      <c r="W162" s="546">
        <v>0</v>
      </c>
      <c r="X162" s="544">
        <f t="shared" si="102"/>
        <v>0</v>
      </c>
      <c r="Y162" s="545">
        <v>0</v>
      </c>
      <c r="Z162" s="546">
        <v>0</v>
      </c>
      <c r="AA162" s="546">
        <v>0</v>
      </c>
      <c r="AB162" s="544">
        <f t="shared" si="103"/>
        <v>0</v>
      </c>
      <c r="AC162" s="547">
        <f t="shared" si="104"/>
        <v>0</v>
      </c>
      <c r="AD162" s="604" t="s">
        <v>816</v>
      </c>
      <c r="AE162" s="605" t="s">
        <v>816</v>
      </c>
      <c r="AF162" s="606">
        <f t="shared" si="105"/>
        <v>0</v>
      </c>
      <c r="AG162" s="604" t="s">
        <v>816</v>
      </c>
      <c r="AH162" s="605" t="s">
        <v>816</v>
      </c>
      <c r="AI162" s="605" t="s">
        <v>816</v>
      </c>
      <c r="AJ162" s="605" t="s">
        <v>816</v>
      </c>
      <c r="AK162" s="605" t="s">
        <v>816</v>
      </c>
      <c r="AL162" s="605" t="s">
        <v>816</v>
      </c>
      <c r="AM162" s="605" t="s">
        <v>816</v>
      </c>
      <c r="AN162" s="605" t="s">
        <v>816</v>
      </c>
      <c r="AO162" s="605" t="s">
        <v>816</v>
      </c>
      <c r="AP162" s="605" t="s">
        <v>816</v>
      </c>
      <c r="AQ162" s="606">
        <f t="shared" si="106"/>
        <v>0</v>
      </c>
      <c r="AR162" s="604" t="s">
        <v>816</v>
      </c>
      <c r="AS162" s="605" t="s">
        <v>816</v>
      </c>
      <c r="AT162" s="605" t="s">
        <v>816</v>
      </c>
      <c r="AU162" s="606">
        <f t="shared" si="107"/>
        <v>0</v>
      </c>
      <c r="AV162" s="604" t="s">
        <v>816</v>
      </c>
      <c r="AW162" s="605" t="s">
        <v>816</v>
      </c>
      <c r="AX162" s="605" t="s">
        <v>816</v>
      </c>
      <c r="AY162" s="605" t="s">
        <v>816</v>
      </c>
      <c r="AZ162" s="605" t="s">
        <v>816</v>
      </c>
      <c r="BA162" s="606">
        <f t="shared" si="108"/>
        <v>0</v>
      </c>
      <c r="BB162" s="604" t="s">
        <v>816</v>
      </c>
      <c r="BC162" s="605" t="s">
        <v>816</v>
      </c>
      <c r="BD162" s="605" t="s">
        <v>816</v>
      </c>
      <c r="BE162" s="605" t="s">
        <v>816</v>
      </c>
      <c r="BF162" s="605" t="s">
        <v>816</v>
      </c>
      <c r="BG162" s="605" t="s">
        <v>816</v>
      </c>
      <c r="BH162" s="605" t="s">
        <v>816</v>
      </c>
      <c r="BI162" s="606">
        <f t="shared" si="109"/>
        <v>0</v>
      </c>
      <c r="BJ162" s="551">
        <f t="shared" si="110"/>
        <v>0</v>
      </c>
      <c r="BK162" s="607"/>
      <c r="BL162" s="608"/>
      <c r="BM162" s="608"/>
      <c r="BN162" s="608"/>
      <c r="BO162" s="557">
        <f t="shared" si="111"/>
        <v>0</v>
      </c>
      <c r="BP162" s="607"/>
      <c r="BQ162" s="608"/>
      <c r="BR162" s="608"/>
      <c r="BS162" s="557">
        <f t="shared" si="83"/>
        <v>0</v>
      </c>
      <c r="BT162" s="607"/>
      <c r="BU162" s="557">
        <f t="shared" si="112"/>
        <v>0</v>
      </c>
      <c r="BV162" s="607"/>
      <c r="BW162" s="608"/>
      <c r="BX162" s="608"/>
      <c r="BY162" s="608"/>
      <c r="BZ162" s="608"/>
      <c r="CA162" s="608"/>
      <c r="CB162" s="608"/>
      <c r="CC162" s="608"/>
      <c r="CD162" s="608"/>
      <c r="CE162" s="557">
        <f t="shared" si="113"/>
        <v>0</v>
      </c>
      <c r="CF162" s="607"/>
      <c r="CG162" s="608"/>
      <c r="CH162" s="608"/>
      <c r="CI162" s="608"/>
      <c r="CJ162" s="608"/>
      <c r="CK162" s="608"/>
      <c r="CL162" s="608"/>
      <c r="CM162" s="557">
        <f t="shared" si="114"/>
        <v>0</v>
      </c>
      <c r="CN162" s="607"/>
      <c r="CO162" s="609">
        <f t="shared" si="115"/>
        <v>0</v>
      </c>
      <c r="CP162" s="610">
        <f t="shared" si="98"/>
        <v>0</v>
      </c>
      <c r="CQ162" s="545"/>
      <c r="CR162" s="546"/>
      <c r="CS162" s="544">
        <f t="shared" si="116"/>
        <v>0</v>
      </c>
      <c r="CT162" s="545"/>
      <c r="CU162" s="546"/>
      <c r="CV162" s="546"/>
      <c r="CW162" s="544">
        <f t="shared" si="117"/>
        <v>0</v>
      </c>
      <c r="CX162" s="547">
        <f t="shared" si="118"/>
        <v>0</v>
      </c>
      <c r="CY162" s="611">
        <f t="shared" si="119"/>
        <v>0</v>
      </c>
    </row>
    <row r="163" spans="1:103" s="561" customFormat="1" hidden="1">
      <c r="A163" s="538">
        <v>154</v>
      </c>
      <c r="B163" s="602" t="s">
        <v>946</v>
      </c>
      <c r="C163" s="603" t="s">
        <v>947</v>
      </c>
      <c r="D163" s="541" t="s">
        <v>829</v>
      </c>
      <c r="E163" s="545">
        <v>0</v>
      </c>
      <c r="F163" s="546">
        <v>0</v>
      </c>
      <c r="G163" s="546">
        <v>0</v>
      </c>
      <c r="H163" s="546">
        <v>0</v>
      </c>
      <c r="I163" s="544">
        <f t="shared" si="99"/>
        <v>0</v>
      </c>
      <c r="J163" s="545">
        <v>0</v>
      </c>
      <c r="K163" s="546">
        <v>0</v>
      </c>
      <c r="L163" s="546">
        <v>0</v>
      </c>
      <c r="M163" s="546">
        <v>0</v>
      </c>
      <c r="N163" s="544">
        <f t="shared" si="100"/>
        <v>0</v>
      </c>
      <c r="O163" s="545">
        <v>0</v>
      </c>
      <c r="P163" s="546">
        <v>0</v>
      </c>
      <c r="Q163" s="544">
        <f t="shared" si="101"/>
        <v>0</v>
      </c>
      <c r="R163" s="545">
        <v>0</v>
      </c>
      <c r="S163" s="546">
        <v>0</v>
      </c>
      <c r="T163" s="546">
        <v>0</v>
      </c>
      <c r="U163" s="546">
        <v>0</v>
      </c>
      <c r="V163" s="546">
        <v>0</v>
      </c>
      <c r="W163" s="546">
        <v>0</v>
      </c>
      <c r="X163" s="544">
        <f t="shared" si="102"/>
        <v>0</v>
      </c>
      <c r="Y163" s="545">
        <v>0</v>
      </c>
      <c r="Z163" s="546">
        <v>0</v>
      </c>
      <c r="AA163" s="546">
        <v>0</v>
      </c>
      <c r="AB163" s="544">
        <f t="shared" si="103"/>
        <v>0</v>
      </c>
      <c r="AC163" s="547">
        <f t="shared" si="104"/>
        <v>0</v>
      </c>
      <c r="AD163" s="604" t="s">
        <v>816</v>
      </c>
      <c r="AE163" s="605" t="s">
        <v>816</v>
      </c>
      <c r="AF163" s="606">
        <f t="shared" si="105"/>
        <v>0</v>
      </c>
      <c r="AG163" s="604" t="s">
        <v>816</v>
      </c>
      <c r="AH163" s="605" t="s">
        <v>816</v>
      </c>
      <c r="AI163" s="605" t="s">
        <v>816</v>
      </c>
      <c r="AJ163" s="605" t="s">
        <v>816</v>
      </c>
      <c r="AK163" s="605" t="s">
        <v>816</v>
      </c>
      <c r="AL163" s="605" t="s">
        <v>816</v>
      </c>
      <c r="AM163" s="605" t="s">
        <v>816</v>
      </c>
      <c r="AN163" s="605" t="s">
        <v>816</v>
      </c>
      <c r="AO163" s="605" t="s">
        <v>816</v>
      </c>
      <c r="AP163" s="605" t="s">
        <v>816</v>
      </c>
      <c r="AQ163" s="606">
        <f t="shared" si="106"/>
        <v>0</v>
      </c>
      <c r="AR163" s="604" t="s">
        <v>816</v>
      </c>
      <c r="AS163" s="605" t="s">
        <v>816</v>
      </c>
      <c r="AT163" s="605" t="s">
        <v>816</v>
      </c>
      <c r="AU163" s="606">
        <f t="shared" si="107"/>
        <v>0</v>
      </c>
      <c r="AV163" s="604" t="s">
        <v>816</v>
      </c>
      <c r="AW163" s="605" t="s">
        <v>816</v>
      </c>
      <c r="AX163" s="605" t="s">
        <v>816</v>
      </c>
      <c r="AY163" s="605" t="s">
        <v>816</v>
      </c>
      <c r="AZ163" s="605" t="s">
        <v>816</v>
      </c>
      <c r="BA163" s="606">
        <f t="shared" si="108"/>
        <v>0</v>
      </c>
      <c r="BB163" s="604" t="s">
        <v>816</v>
      </c>
      <c r="BC163" s="605" t="s">
        <v>816</v>
      </c>
      <c r="BD163" s="605" t="s">
        <v>816</v>
      </c>
      <c r="BE163" s="605" t="s">
        <v>816</v>
      </c>
      <c r="BF163" s="605" t="s">
        <v>816</v>
      </c>
      <c r="BG163" s="605" t="s">
        <v>816</v>
      </c>
      <c r="BH163" s="605" t="s">
        <v>816</v>
      </c>
      <c r="BI163" s="606">
        <f t="shared" si="109"/>
        <v>0</v>
      </c>
      <c r="BJ163" s="551">
        <f t="shared" si="110"/>
        <v>0</v>
      </c>
      <c r="BK163" s="607"/>
      <c r="BL163" s="608"/>
      <c r="BM163" s="608"/>
      <c r="BN163" s="608"/>
      <c r="BO163" s="557">
        <f t="shared" si="111"/>
        <v>0</v>
      </c>
      <c r="BP163" s="607"/>
      <c r="BQ163" s="608"/>
      <c r="BR163" s="608"/>
      <c r="BS163" s="557">
        <f t="shared" si="83"/>
        <v>0</v>
      </c>
      <c r="BT163" s="607"/>
      <c r="BU163" s="557">
        <f t="shared" si="112"/>
        <v>0</v>
      </c>
      <c r="BV163" s="607"/>
      <c r="BW163" s="608"/>
      <c r="BX163" s="608"/>
      <c r="BY163" s="608"/>
      <c r="BZ163" s="608"/>
      <c r="CA163" s="608"/>
      <c r="CB163" s="608"/>
      <c r="CC163" s="608"/>
      <c r="CD163" s="608"/>
      <c r="CE163" s="557">
        <f t="shared" si="113"/>
        <v>0</v>
      </c>
      <c r="CF163" s="607"/>
      <c r="CG163" s="608"/>
      <c r="CH163" s="608"/>
      <c r="CI163" s="608"/>
      <c r="CJ163" s="608"/>
      <c r="CK163" s="608"/>
      <c r="CL163" s="608"/>
      <c r="CM163" s="557">
        <f t="shared" si="114"/>
        <v>0</v>
      </c>
      <c r="CN163" s="607"/>
      <c r="CO163" s="609">
        <f t="shared" si="115"/>
        <v>0</v>
      </c>
      <c r="CP163" s="610">
        <f t="shared" si="98"/>
        <v>0</v>
      </c>
      <c r="CQ163" s="545"/>
      <c r="CR163" s="546"/>
      <c r="CS163" s="544">
        <f t="shared" si="116"/>
        <v>0</v>
      </c>
      <c r="CT163" s="545"/>
      <c r="CU163" s="546"/>
      <c r="CV163" s="546"/>
      <c r="CW163" s="544">
        <f t="shared" si="117"/>
        <v>0</v>
      </c>
      <c r="CX163" s="547">
        <f t="shared" si="118"/>
        <v>0</v>
      </c>
      <c r="CY163" s="611">
        <f t="shared" si="119"/>
        <v>0</v>
      </c>
    </row>
    <row r="164" spans="1:103" s="561" customFormat="1" hidden="1">
      <c r="A164" s="538">
        <v>155</v>
      </c>
      <c r="B164" s="602" t="s">
        <v>986</v>
      </c>
      <c r="C164" s="603" t="s">
        <v>987</v>
      </c>
      <c r="D164" s="541" t="s">
        <v>78</v>
      </c>
      <c r="E164" s="545">
        <v>0</v>
      </c>
      <c r="F164" s="546">
        <v>0</v>
      </c>
      <c r="G164" s="546">
        <v>0</v>
      </c>
      <c r="H164" s="546">
        <v>0</v>
      </c>
      <c r="I164" s="544">
        <f t="shared" si="99"/>
        <v>0</v>
      </c>
      <c r="J164" s="545">
        <v>0</v>
      </c>
      <c r="K164" s="546">
        <v>0</v>
      </c>
      <c r="L164" s="546">
        <v>0</v>
      </c>
      <c r="M164" s="546">
        <v>0</v>
      </c>
      <c r="N164" s="544">
        <f t="shared" si="100"/>
        <v>0</v>
      </c>
      <c r="O164" s="545">
        <v>0</v>
      </c>
      <c r="P164" s="546">
        <v>0</v>
      </c>
      <c r="Q164" s="544">
        <f t="shared" si="101"/>
        <v>0</v>
      </c>
      <c r="R164" s="545">
        <v>0</v>
      </c>
      <c r="S164" s="546">
        <v>0</v>
      </c>
      <c r="T164" s="546">
        <v>0</v>
      </c>
      <c r="U164" s="546">
        <v>0</v>
      </c>
      <c r="V164" s="546">
        <v>0</v>
      </c>
      <c r="W164" s="546">
        <v>0</v>
      </c>
      <c r="X164" s="544">
        <f t="shared" si="102"/>
        <v>0</v>
      </c>
      <c r="Y164" s="545">
        <v>0</v>
      </c>
      <c r="Z164" s="546">
        <v>0</v>
      </c>
      <c r="AA164" s="546">
        <v>0</v>
      </c>
      <c r="AB164" s="544">
        <f t="shared" si="103"/>
        <v>0</v>
      </c>
      <c r="AC164" s="547">
        <f t="shared" si="104"/>
        <v>0</v>
      </c>
      <c r="AD164" s="604" t="s">
        <v>816</v>
      </c>
      <c r="AE164" s="605" t="s">
        <v>816</v>
      </c>
      <c r="AF164" s="606">
        <f t="shared" si="105"/>
        <v>0</v>
      </c>
      <c r="AG164" s="604" t="s">
        <v>816</v>
      </c>
      <c r="AH164" s="605" t="s">
        <v>816</v>
      </c>
      <c r="AI164" s="605" t="s">
        <v>816</v>
      </c>
      <c r="AJ164" s="605" t="s">
        <v>816</v>
      </c>
      <c r="AK164" s="605" t="s">
        <v>816</v>
      </c>
      <c r="AL164" s="605" t="s">
        <v>816</v>
      </c>
      <c r="AM164" s="605" t="s">
        <v>816</v>
      </c>
      <c r="AN164" s="605" t="s">
        <v>816</v>
      </c>
      <c r="AO164" s="605" t="s">
        <v>816</v>
      </c>
      <c r="AP164" s="605" t="s">
        <v>816</v>
      </c>
      <c r="AQ164" s="606">
        <f t="shared" si="106"/>
        <v>0</v>
      </c>
      <c r="AR164" s="604" t="s">
        <v>816</v>
      </c>
      <c r="AS164" s="605" t="s">
        <v>816</v>
      </c>
      <c r="AT164" s="605" t="s">
        <v>816</v>
      </c>
      <c r="AU164" s="606">
        <f t="shared" si="107"/>
        <v>0</v>
      </c>
      <c r="AV164" s="604" t="s">
        <v>816</v>
      </c>
      <c r="AW164" s="605" t="s">
        <v>816</v>
      </c>
      <c r="AX164" s="605" t="s">
        <v>816</v>
      </c>
      <c r="AY164" s="605" t="s">
        <v>816</v>
      </c>
      <c r="AZ164" s="605" t="s">
        <v>816</v>
      </c>
      <c r="BA164" s="606">
        <f t="shared" si="108"/>
        <v>0</v>
      </c>
      <c r="BB164" s="604" t="s">
        <v>816</v>
      </c>
      <c r="BC164" s="605" t="s">
        <v>816</v>
      </c>
      <c r="BD164" s="605" t="s">
        <v>816</v>
      </c>
      <c r="BE164" s="605" t="s">
        <v>816</v>
      </c>
      <c r="BF164" s="605" t="s">
        <v>816</v>
      </c>
      <c r="BG164" s="605" t="s">
        <v>816</v>
      </c>
      <c r="BH164" s="605" t="s">
        <v>816</v>
      </c>
      <c r="BI164" s="606">
        <f t="shared" si="109"/>
        <v>0</v>
      </c>
      <c r="BJ164" s="551">
        <f t="shared" si="110"/>
        <v>0</v>
      </c>
      <c r="BK164" s="607"/>
      <c r="BL164" s="608"/>
      <c r="BM164" s="608"/>
      <c r="BN164" s="608"/>
      <c r="BO164" s="557">
        <f t="shared" si="111"/>
        <v>0</v>
      </c>
      <c r="BP164" s="607"/>
      <c r="BQ164" s="608"/>
      <c r="BR164" s="608"/>
      <c r="BS164" s="557">
        <f t="shared" si="83"/>
        <v>0</v>
      </c>
      <c r="BT164" s="607"/>
      <c r="BU164" s="557">
        <f t="shared" si="112"/>
        <v>0</v>
      </c>
      <c r="BV164" s="607"/>
      <c r="BW164" s="608"/>
      <c r="BX164" s="608"/>
      <c r="BY164" s="608"/>
      <c r="BZ164" s="608"/>
      <c r="CA164" s="608"/>
      <c r="CB164" s="608"/>
      <c r="CC164" s="608"/>
      <c r="CD164" s="608"/>
      <c r="CE164" s="557">
        <f t="shared" si="113"/>
        <v>0</v>
      </c>
      <c r="CF164" s="607"/>
      <c r="CG164" s="608"/>
      <c r="CH164" s="608"/>
      <c r="CI164" s="608"/>
      <c r="CJ164" s="608"/>
      <c r="CK164" s="608"/>
      <c r="CL164" s="608"/>
      <c r="CM164" s="557">
        <f t="shared" si="114"/>
        <v>0</v>
      </c>
      <c r="CN164" s="607"/>
      <c r="CO164" s="609">
        <f t="shared" si="115"/>
        <v>0</v>
      </c>
      <c r="CP164" s="610">
        <f t="shared" si="98"/>
        <v>0</v>
      </c>
      <c r="CQ164" s="545"/>
      <c r="CR164" s="546"/>
      <c r="CS164" s="544">
        <f t="shared" si="116"/>
        <v>0</v>
      </c>
      <c r="CT164" s="545"/>
      <c r="CU164" s="546"/>
      <c r="CV164" s="546"/>
      <c r="CW164" s="544">
        <f t="shared" si="117"/>
        <v>0</v>
      </c>
      <c r="CX164" s="547">
        <f t="shared" si="118"/>
        <v>0</v>
      </c>
      <c r="CY164" s="611">
        <f t="shared" si="119"/>
        <v>0</v>
      </c>
    </row>
    <row r="165" spans="1:103" s="561" customFormat="1" hidden="1">
      <c r="A165" s="538">
        <v>156</v>
      </c>
      <c r="B165" s="602" t="s">
        <v>988</v>
      </c>
      <c r="C165" s="603" t="s">
        <v>989</v>
      </c>
      <c r="D165" s="541" t="s">
        <v>11</v>
      </c>
      <c r="E165" s="545">
        <v>0</v>
      </c>
      <c r="F165" s="546">
        <v>0</v>
      </c>
      <c r="G165" s="546">
        <v>0</v>
      </c>
      <c r="H165" s="546">
        <v>0</v>
      </c>
      <c r="I165" s="544">
        <f t="shared" si="99"/>
        <v>0</v>
      </c>
      <c r="J165" s="545">
        <v>0</v>
      </c>
      <c r="K165" s="546">
        <v>0</v>
      </c>
      <c r="L165" s="546">
        <v>0</v>
      </c>
      <c r="M165" s="546">
        <v>0</v>
      </c>
      <c r="N165" s="544">
        <f t="shared" si="100"/>
        <v>0</v>
      </c>
      <c r="O165" s="545">
        <v>0</v>
      </c>
      <c r="P165" s="546">
        <v>0</v>
      </c>
      <c r="Q165" s="544">
        <f t="shared" si="101"/>
        <v>0</v>
      </c>
      <c r="R165" s="545">
        <v>0</v>
      </c>
      <c r="S165" s="546">
        <v>0</v>
      </c>
      <c r="T165" s="546">
        <v>0</v>
      </c>
      <c r="U165" s="546">
        <v>0</v>
      </c>
      <c r="V165" s="546">
        <v>0</v>
      </c>
      <c r="W165" s="546">
        <v>0</v>
      </c>
      <c r="X165" s="544">
        <f t="shared" si="102"/>
        <v>0</v>
      </c>
      <c r="Y165" s="545">
        <v>0</v>
      </c>
      <c r="Z165" s="546">
        <v>0</v>
      </c>
      <c r="AA165" s="546">
        <v>0</v>
      </c>
      <c r="AB165" s="544">
        <f t="shared" si="103"/>
        <v>0</v>
      </c>
      <c r="AC165" s="547">
        <f t="shared" si="104"/>
        <v>0</v>
      </c>
      <c r="AD165" s="604" t="s">
        <v>816</v>
      </c>
      <c r="AE165" s="605" t="s">
        <v>816</v>
      </c>
      <c r="AF165" s="606">
        <f t="shared" si="105"/>
        <v>0</v>
      </c>
      <c r="AG165" s="604" t="s">
        <v>816</v>
      </c>
      <c r="AH165" s="605" t="s">
        <v>816</v>
      </c>
      <c r="AI165" s="605" t="s">
        <v>816</v>
      </c>
      <c r="AJ165" s="605" t="s">
        <v>816</v>
      </c>
      <c r="AK165" s="605" t="s">
        <v>816</v>
      </c>
      <c r="AL165" s="605" t="s">
        <v>816</v>
      </c>
      <c r="AM165" s="605" t="s">
        <v>816</v>
      </c>
      <c r="AN165" s="605" t="s">
        <v>816</v>
      </c>
      <c r="AO165" s="605" t="s">
        <v>816</v>
      </c>
      <c r="AP165" s="605" t="s">
        <v>816</v>
      </c>
      <c r="AQ165" s="606">
        <f t="shared" si="106"/>
        <v>0</v>
      </c>
      <c r="AR165" s="604" t="s">
        <v>816</v>
      </c>
      <c r="AS165" s="605" t="s">
        <v>816</v>
      </c>
      <c r="AT165" s="605" t="s">
        <v>816</v>
      </c>
      <c r="AU165" s="606">
        <f t="shared" si="107"/>
        <v>0</v>
      </c>
      <c r="AV165" s="604" t="s">
        <v>816</v>
      </c>
      <c r="AW165" s="605" t="s">
        <v>816</v>
      </c>
      <c r="AX165" s="605" t="s">
        <v>816</v>
      </c>
      <c r="AY165" s="605" t="s">
        <v>816</v>
      </c>
      <c r="AZ165" s="605" t="s">
        <v>816</v>
      </c>
      <c r="BA165" s="606">
        <f t="shared" si="108"/>
        <v>0</v>
      </c>
      <c r="BB165" s="604" t="s">
        <v>816</v>
      </c>
      <c r="BC165" s="605" t="s">
        <v>816</v>
      </c>
      <c r="BD165" s="605" t="s">
        <v>816</v>
      </c>
      <c r="BE165" s="605" t="s">
        <v>816</v>
      </c>
      <c r="BF165" s="605" t="s">
        <v>816</v>
      </c>
      <c r="BG165" s="605" t="s">
        <v>816</v>
      </c>
      <c r="BH165" s="605" t="s">
        <v>816</v>
      </c>
      <c r="BI165" s="606">
        <f t="shared" si="109"/>
        <v>0</v>
      </c>
      <c r="BJ165" s="551">
        <f t="shared" si="110"/>
        <v>0</v>
      </c>
      <c r="BK165" s="607"/>
      <c r="BL165" s="608"/>
      <c r="BM165" s="608"/>
      <c r="BN165" s="608"/>
      <c r="BO165" s="557">
        <f t="shared" si="111"/>
        <v>0</v>
      </c>
      <c r="BP165" s="607"/>
      <c r="BQ165" s="608"/>
      <c r="BR165" s="608"/>
      <c r="BS165" s="557">
        <f t="shared" si="83"/>
        <v>0</v>
      </c>
      <c r="BT165" s="607"/>
      <c r="BU165" s="557">
        <f t="shared" si="112"/>
        <v>0</v>
      </c>
      <c r="BV165" s="607"/>
      <c r="BW165" s="608"/>
      <c r="BX165" s="608"/>
      <c r="BY165" s="608"/>
      <c r="BZ165" s="608"/>
      <c r="CA165" s="608"/>
      <c r="CB165" s="608"/>
      <c r="CC165" s="608"/>
      <c r="CD165" s="608"/>
      <c r="CE165" s="557">
        <f t="shared" si="113"/>
        <v>0</v>
      </c>
      <c r="CF165" s="607"/>
      <c r="CG165" s="608"/>
      <c r="CH165" s="608"/>
      <c r="CI165" s="608"/>
      <c r="CJ165" s="608"/>
      <c r="CK165" s="608"/>
      <c r="CL165" s="608"/>
      <c r="CM165" s="557">
        <f t="shared" si="114"/>
        <v>0</v>
      </c>
      <c r="CN165" s="607"/>
      <c r="CO165" s="609">
        <f t="shared" si="115"/>
        <v>0</v>
      </c>
      <c r="CP165" s="610">
        <f t="shared" si="98"/>
        <v>0</v>
      </c>
      <c r="CQ165" s="545"/>
      <c r="CR165" s="546"/>
      <c r="CS165" s="544">
        <f t="shared" si="116"/>
        <v>0</v>
      </c>
      <c r="CT165" s="545"/>
      <c r="CU165" s="546"/>
      <c r="CV165" s="546"/>
      <c r="CW165" s="544">
        <f t="shared" si="117"/>
        <v>0</v>
      </c>
      <c r="CX165" s="547">
        <f t="shared" si="118"/>
        <v>0</v>
      </c>
      <c r="CY165" s="611">
        <f t="shared" si="119"/>
        <v>0</v>
      </c>
    </row>
    <row r="166" spans="1:103" s="561" customFormat="1" ht="30" hidden="1">
      <c r="A166" s="538">
        <v>157</v>
      </c>
      <c r="B166" s="602" t="s">
        <v>990</v>
      </c>
      <c r="C166" s="603" t="s">
        <v>991</v>
      </c>
      <c r="D166" s="541" t="s">
        <v>829</v>
      </c>
      <c r="E166" s="545">
        <v>0</v>
      </c>
      <c r="F166" s="546">
        <v>0</v>
      </c>
      <c r="G166" s="546">
        <v>0</v>
      </c>
      <c r="H166" s="546">
        <v>0</v>
      </c>
      <c r="I166" s="544">
        <f t="shared" si="99"/>
        <v>0</v>
      </c>
      <c r="J166" s="545">
        <v>0</v>
      </c>
      <c r="K166" s="546">
        <v>0</v>
      </c>
      <c r="L166" s="546">
        <v>0</v>
      </c>
      <c r="M166" s="546">
        <v>0</v>
      </c>
      <c r="N166" s="544">
        <f t="shared" si="100"/>
        <v>0</v>
      </c>
      <c r="O166" s="545">
        <v>0</v>
      </c>
      <c r="P166" s="546">
        <v>0</v>
      </c>
      <c r="Q166" s="544">
        <f t="shared" si="101"/>
        <v>0</v>
      </c>
      <c r="R166" s="545">
        <v>0</v>
      </c>
      <c r="S166" s="546">
        <v>0</v>
      </c>
      <c r="T166" s="546">
        <v>0</v>
      </c>
      <c r="U166" s="546">
        <v>0</v>
      </c>
      <c r="V166" s="546">
        <v>0</v>
      </c>
      <c r="W166" s="546">
        <v>0</v>
      </c>
      <c r="X166" s="544">
        <f t="shared" si="102"/>
        <v>0</v>
      </c>
      <c r="Y166" s="545">
        <v>0</v>
      </c>
      <c r="Z166" s="546">
        <v>0</v>
      </c>
      <c r="AA166" s="546">
        <v>0</v>
      </c>
      <c r="AB166" s="544">
        <f t="shared" si="103"/>
        <v>0</v>
      </c>
      <c r="AC166" s="547">
        <f t="shared" si="104"/>
        <v>0</v>
      </c>
      <c r="AD166" s="604" t="s">
        <v>816</v>
      </c>
      <c r="AE166" s="605" t="s">
        <v>816</v>
      </c>
      <c r="AF166" s="606">
        <f t="shared" si="105"/>
        <v>0</v>
      </c>
      <c r="AG166" s="604" t="s">
        <v>816</v>
      </c>
      <c r="AH166" s="605" t="s">
        <v>816</v>
      </c>
      <c r="AI166" s="605" t="s">
        <v>816</v>
      </c>
      <c r="AJ166" s="605" t="s">
        <v>816</v>
      </c>
      <c r="AK166" s="605" t="s">
        <v>816</v>
      </c>
      <c r="AL166" s="605" t="s">
        <v>816</v>
      </c>
      <c r="AM166" s="605" t="s">
        <v>816</v>
      </c>
      <c r="AN166" s="605" t="s">
        <v>816</v>
      </c>
      <c r="AO166" s="605" t="s">
        <v>816</v>
      </c>
      <c r="AP166" s="605" t="s">
        <v>816</v>
      </c>
      <c r="AQ166" s="606">
        <f t="shared" si="106"/>
        <v>0</v>
      </c>
      <c r="AR166" s="604" t="s">
        <v>816</v>
      </c>
      <c r="AS166" s="605" t="s">
        <v>816</v>
      </c>
      <c r="AT166" s="605" t="s">
        <v>816</v>
      </c>
      <c r="AU166" s="606">
        <f t="shared" si="107"/>
        <v>0</v>
      </c>
      <c r="AV166" s="604" t="s">
        <v>816</v>
      </c>
      <c r="AW166" s="605" t="s">
        <v>816</v>
      </c>
      <c r="AX166" s="605" t="s">
        <v>816</v>
      </c>
      <c r="AY166" s="605" t="s">
        <v>816</v>
      </c>
      <c r="AZ166" s="605" t="s">
        <v>816</v>
      </c>
      <c r="BA166" s="606">
        <f t="shared" si="108"/>
        <v>0</v>
      </c>
      <c r="BB166" s="604" t="s">
        <v>816</v>
      </c>
      <c r="BC166" s="605" t="s">
        <v>816</v>
      </c>
      <c r="BD166" s="605" t="s">
        <v>816</v>
      </c>
      <c r="BE166" s="605" t="s">
        <v>816</v>
      </c>
      <c r="BF166" s="605" t="s">
        <v>816</v>
      </c>
      <c r="BG166" s="605" t="s">
        <v>816</v>
      </c>
      <c r="BH166" s="605" t="s">
        <v>816</v>
      </c>
      <c r="BI166" s="606">
        <f t="shared" si="109"/>
        <v>0</v>
      </c>
      <c r="BJ166" s="551">
        <f t="shared" si="110"/>
        <v>0</v>
      </c>
      <c r="BK166" s="607"/>
      <c r="BL166" s="608"/>
      <c r="BM166" s="608"/>
      <c r="BN166" s="608"/>
      <c r="BO166" s="557">
        <f t="shared" si="111"/>
        <v>0</v>
      </c>
      <c r="BP166" s="607"/>
      <c r="BQ166" s="608"/>
      <c r="BR166" s="608"/>
      <c r="BS166" s="557">
        <f t="shared" si="83"/>
        <v>0</v>
      </c>
      <c r="BT166" s="607"/>
      <c r="BU166" s="557">
        <f t="shared" si="112"/>
        <v>0</v>
      </c>
      <c r="BV166" s="607"/>
      <c r="BW166" s="608"/>
      <c r="BX166" s="608"/>
      <c r="BY166" s="608"/>
      <c r="BZ166" s="608"/>
      <c r="CA166" s="608"/>
      <c r="CB166" s="608"/>
      <c r="CC166" s="608"/>
      <c r="CD166" s="608"/>
      <c r="CE166" s="557">
        <f t="shared" si="113"/>
        <v>0</v>
      </c>
      <c r="CF166" s="607"/>
      <c r="CG166" s="608"/>
      <c r="CH166" s="608"/>
      <c r="CI166" s="608"/>
      <c r="CJ166" s="608"/>
      <c r="CK166" s="608"/>
      <c r="CL166" s="608"/>
      <c r="CM166" s="557">
        <f t="shared" si="114"/>
        <v>0</v>
      </c>
      <c r="CN166" s="607"/>
      <c r="CO166" s="609">
        <f t="shared" si="115"/>
        <v>0</v>
      </c>
      <c r="CP166" s="610">
        <f t="shared" si="98"/>
        <v>0</v>
      </c>
      <c r="CQ166" s="545"/>
      <c r="CR166" s="546"/>
      <c r="CS166" s="544">
        <f t="shared" si="116"/>
        <v>0</v>
      </c>
      <c r="CT166" s="545"/>
      <c r="CU166" s="546"/>
      <c r="CV166" s="546"/>
      <c r="CW166" s="544">
        <f t="shared" si="117"/>
        <v>0</v>
      </c>
      <c r="CX166" s="547">
        <f t="shared" si="118"/>
        <v>0</v>
      </c>
      <c r="CY166" s="611">
        <f t="shared" si="119"/>
        <v>0</v>
      </c>
    </row>
    <row r="167" spans="1:103" s="561" customFormat="1" ht="30" hidden="1">
      <c r="A167" s="538">
        <v>158</v>
      </c>
      <c r="B167" s="602" t="s">
        <v>992</v>
      </c>
      <c r="C167" s="603" t="s">
        <v>993</v>
      </c>
      <c r="D167" s="541" t="s">
        <v>829</v>
      </c>
      <c r="E167" s="545">
        <v>0</v>
      </c>
      <c r="F167" s="546">
        <v>0</v>
      </c>
      <c r="G167" s="546">
        <v>0</v>
      </c>
      <c r="H167" s="546">
        <v>0</v>
      </c>
      <c r="I167" s="544">
        <f t="shared" si="99"/>
        <v>0</v>
      </c>
      <c r="J167" s="545">
        <v>0</v>
      </c>
      <c r="K167" s="546">
        <v>0</v>
      </c>
      <c r="L167" s="546">
        <v>0</v>
      </c>
      <c r="M167" s="546">
        <v>0</v>
      </c>
      <c r="N167" s="544">
        <f t="shared" si="100"/>
        <v>0</v>
      </c>
      <c r="O167" s="545">
        <v>0</v>
      </c>
      <c r="P167" s="546">
        <v>0</v>
      </c>
      <c r="Q167" s="544">
        <f t="shared" si="101"/>
        <v>0</v>
      </c>
      <c r="R167" s="545">
        <v>0</v>
      </c>
      <c r="S167" s="546">
        <v>0</v>
      </c>
      <c r="T167" s="546">
        <v>0</v>
      </c>
      <c r="U167" s="546">
        <v>0</v>
      </c>
      <c r="V167" s="546">
        <v>0</v>
      </c>
      <c r="W167" s="546">
        <v>0</v>
      </c>
      <c r="X167" s="544">
        <f t="shared" si="102"/>
        <v>0</v>
      </c>
      <c r="Y167" s="545">
        <v>0</v>
      </c>
      <c r="Z167" s="546">
        <v>0</v>
      </c>
      <c r="AA167" s="546">
        <v>0</v>
      </c>
      <c r="AB167" s="544">
        <f t="shared" si="103"/>
        <v>0</v>
      </c>
      <c r="AC167" s="547">
        <f t="shared" si="104"/>
        <v>0</v>
      </c>
      <c r="AD167" s="604" t="s">
        <v>816</v>
      </c>
      <c r="AE167" s="605" t="s">
        <v>816</v>
      </c>
      <c r="AF167" s="606">
        <f t="shared" si="105"/>
        <v>0</v>
      </c>
      <c r="AG167" s="604" t="s">
        <v>816</v>
      </c>
      <c r="AH167" s="605" t="s">
        <v>816</v>
      </c>
      <c r="AI167" s="605" t="s">
        <v>816</v>
      </c>
      <c r="AJ167" s="605" t="s">
        <v>816</v>
      </c>
      <c r="AK167" s="605" t="s">
        <v>816</v>
      </c>
      <c r="AL167" s="605" t="s">
        <v>816</v>
      </c>
      <c r="AM167" s="605" t="s">
        <v>816</v>
      </c>
      <c r="AN167" s="605" t="s">
        <v>816</v>
      </c>
      <c r="AO167" s="605" t="s">
        <v>816</v>
      </c>
      <c r="AP167" s="605" t="s">
        <v>816</v>
      </c>
      <c r="AQ167" s="606">
        <f t="shared" si="106"/>
        <v>0</v>
      </c>
      <c r="AR167" s="604" t="s">
        <v>816</v>
      </c>
      <c r="AS167" s="605" t="s">
        <v>816</v>
      </c>
      <c r="AT167" s="605" t="s">
        <v>816</v>
      </c>
      <c r="AU167" s="606">
        <f t="shared" si="107"/>
        <v>0</v>
      </c>
      <c r="AV167" s="604" t="s">
        <v>816</v>
      </c>
      <c r="AW167" s="605" t="s">
        <v>816</v>
      </c>
      <c r="AX167" s="605" t="s">
        <v>816</v>
      </c>
      <c r="AY167" s="605" t="s">
        <v>816</v>
      </c>
      <c r="AZ167" s="605" t="s">
        <v>816</v>
      </c>
      <c r="BA167" s="606">
        <f t="shared" si="108"/>
        <v>0</v>
      </c>
      <c r="BB167" s="604" t="s">
        <v>816</v>
      </c>
      <c r="BC167" s="605" t="s">
        <v>816</v>
      </c>
      <c r="BD167" s="605" t="s">
        <v>816</v>
      </c>
      <c r="BE167" s="605" t="s">
        <v>816</v>
      </c>
      <c r="BF167" s="605" t="s">
        <v>816</v>
      </c>
      <c r="BG167" s="605" t="s">
        <v>816</v>
      </c>
      <c r="BH167" s="605" t="s">
        <v>816</v>
      </c>
      <c r="BI167" s="606">
        <f t="shared" si="109"/>
        <v>0</v>
      </c>
      <c r="BJ167" s="551">
        <f t="shared" si="110"/>
        <v>0</v>
      </c>
      <c r="BK167" s="607"/>
      <c r="BL167" s="608"/>
      <c r="BM167" s="608"/>
      <c r="BN167" s="608"/>
      <c r="BO167" s="557">
        <f t="shared" si="111"/>
        <v>0</v>
      </c>
      <c r="BP167" s="607"/>
      <c r="BQ167" s="608"/>
      <c r="BR167" s="608"/>
      <c r="BS167" s="557">
        <f t="shared" si="83"/>
        <v>0</v>
      </c>
      <c r="BT167" s="607"/>
      <c r="BU167" s="557">
        <f t="shared" si="112"/>
        <v>0</v>
      </c>
      <c r="BV167" s="607"/>
      <c r="BW167" s="608"/>
      <c r="BX167" s="608"/>
      <c r="BY167" s="608"/>
      <c r="BZ167" s="608"/>
      <c r="CA167" s="608"/>
      <c r="CB167" s="608"/>
      <c r="CC167" s="608"/>
      <c r="CD167" s="608"/>
      <c r="CE167" s="557">
        <f t="shared" si="113"/>
        <v>0</v>
      </c>
      <c r="CF167" s="607"/>
      <c r="CG167" s="608"/>
      <c r="CH167" s="608"/>
      <c r="CI167" s="608"/>
      <c r="CJ167" s="608"/>
      <c r="CK167" s="608"/>
      <c r="CL167" s="608"/>
      <c r="CM167" s="557">
        <f t="shared" si="114"/>
        <v>0</v>
      </c>
      <c r="CN167" s="607"/>
      <c r="CO167" s="609">
        <f t="shared" si="115"/>
        <v>0</v>
      </c>
      <c r="CP167" s="610">
        <f t="shared" si="98"/>
        <v>0</v>
      </c>
      <c r="CQ167" s="545"/>
      <c r="CR167" s="546"/>
      <c r="CS167" s="544">
        <f t="shared" si="116"/>
        <v>0</v>
      </c>
      <c r="CT167" s="545"/>
      <c r="CU167" s="546"/>
      <c r="CV167" s="546"/>
      <c r="CW167" s="544">
        <f t="shared" si="117"/>
        <v>0</v>
      </c>
      <c r="CX167" s="547">
        <f t="shared" si="118"/>
        <v>0</v>
      </c>
      <c r="CY167" s="611">
        <f t="shared" si="119"/>
        <v>0</v>
      </c>
    </row>
    <row r="168" spans="1:103" s="561" customFormat="1" hidden="1">
      <c r="A168" s="538">
        <v>159</v>
      </c>
      <c r="B168" s="602" t="s">
        <v>98</v>
      </c>
      <c r="C168" s="603" t="s">
        <v>948</v>
      </c>
      <c r="D168" s="541" t="s">
        <v>829</v>
      </c>
      <c r="E168" s="545">
        <v>0</v>
      </c>
      <c r="F168" s="546">
        <v>0</v>
      </c>
      <c r="G168" s="546">
        <v>0</v>
      </c>
      <c r="H168" s="546">
        <v>0</v>
      </c>
      <c r="I168" s="544">
        <f t="shared" si="99"/>
        <v>0</v>
      </c>
      <c r="J168" s="545">
        <v>0</v>
      </c>
      <c r="K168" s="546">
        <v>0</v>
      </c>
      <c r="L168" s="546">
        <v>0</v>
      </c>
      <c r="M168" s="546">
        <v>0</v>
      </c>
      <c r="N168" s="544">
        <f t="shared" si="100"/>
        <v>0</v>
      </c>
      <c r="O168" s="545">
        <v>0</v>
      </c>
      <c r="P168" s="546">
        <v>0</v>
      </c>
      <c r="Q168" s="544">
        <f t="shared" si="101"/>
        <v>0</v>
      </c>
      <c r="R168" s="545">
        <v>0</v>
      </c>
      <c r="S168" s="546">
        <v>0</v>
      </c>
      <c r="T168" s="546">
        <v>0</v>
      </c>
      <c r="U168" s="546">
        <v>0</v>
      </c>
      <c r="V168" s="546">
        <v>0</v>
      </c>
      <c r="W168" s="546">
        <v>0</v>
      </c>
      <c r="X168" s="544">
        <f t="shared" si="102"/>
        <v>0</v>
      </c>
      <c r="Y168" s="545">
        <v>0</v>
      </c>
      <c r="Z168" s="546">
        <v>0</v>
      </c>
      <c r="AA168" s="546">
        <v>0</v>
      </c>
      <c r="AB168" s="544">
        <f t="shared" si="103"/>
        <v>0</v>
      </c>
      <c r="AC168" s="547">
        <f t="shared" si="104"/>
        <v>0</v>
      </c>
      <c r="AD168" s="604" t="s">
        <v>816</v>
      </c>
      <c r="AE168" s="605" t="s">
        <v>816</v>
      </c>
      <c r="AF168" s="606">
        <f t="shared" si="105"/>
        <v>0</v>
      </c>
      <c r="AG168" s="604" t="s">
        <v>816</v>
      </c>
      <c r="AH168" s="605" t="s">
        <v>816</v>
      </c>
      <c r="AI168" s="605" t="s">
        <v>816</v>
      </c>
      <c r="AJ168" s="605" t="s">
        <v>816</v>
      </c>
      <c r="AK168" s="605" t="s">
        <v>816</v>
      </c>
      <c r="AL168" s="605" t="s">
        <v>816</v>
      </c>
      <c r="AM168" s="605" t="s">
        <v>816</v>
      </c>
      <c r="AN168" s="605" t="s">
        <v>816</v>
      </c>
      <c r="AO168" s="605" t="s">
        <v>816</v>
      </c>
      <c r="AP168" s="605" t="s">
        <v>816</v>
      </c>
      <c r="AQ168" s="606">
        <f t="shared" si="106"/>
        <v>0</v>
      </c>
      <c r="AR168" s="604" t="s">
        <v>816</v>
      </c>
      <c r="AS168" s="605" t="s">
        <v>816</v>
      </c>
      <c r="AT168" s="605" t="s">
        <v>816</v>
      </c>
      <c r="AU168" s="606">
        <f t="shared" si="107"/>
        <v>0</v>
      </c>
      <c r="AV168" s="604" t="s">
        <v>816</v>
      </c>
      <c r="AW168" s="605" t="s">
        <v>816</v>
      </c>
      <c r="AX168" s="605" t="s">
        <v>816</v>
      </c>
      <c r="AY168" s="605" t="s">
        <v>816</v>
      </c>
      <c r="AZ168" s="605" t="s">
        <v>816</v>
      </c>
      <c r="BA168" s="606">
        <f t="shared" si="108"/>
        <v>0</v>
      </c>
      <c r="BB168" s="604" t="s">
        <v>816</v>
      </c>
      <c r="BC168" s="605" t="s">
        <v>816</v>
      </c>
      <c r="BD168" s="605" t="s">
        <v>816</v>
      </c>
      <c r="BE168" s="605" t="s">
        <v>816</v>
      </c>
      <c r="BF168" s="605" t="s">
        <v>816</v>
      </c>
      <c r="BG168" s="605" t="s">
        <v>816</v>
      </c>
      <c r="BH168" s="605" t="s">
        <v>816</v>
      </c>
      <c r="BI168" s="606">
        <f t="shared" si="109"/>
        <v>0</v>
      </c>
      <c r="BJ168" s="551">
        <f t="shared" si="110"/>
        <v>0</v>
      </c>
      <c r="BK168" s="607"/>
      <c r="BL168" s="608"/>
      <c r="BM168" s="608"/>
      <c r="BN168" s="608"/>
      <c r="BO168" s="557">
        <f t="shared" si="111"/>
        <v>0</v>
      </c>
      <c r="BP168" s="607"/>
      <c r="BQ168" s="608"/>
      <c r="BR168" s="608"/>
      <c r="BS168" s="557">
        <f t="shared" ref="BS168:BS183" si="120">+BP168+BQ168+BR168</f>
        <v>0</v>
      </c>
      <c r="BT168" s="607"/>
      <c r="BU168" s="557">
        <f t="shared" si="112"/>
        <v>0</v>
      </c>
      <c r="BV168" s="607"/>
      <c r="BW168" s="608"/>
      <c r="BX168" s="608"/>
      <c r="BY168" s="608"/>
      <c r="BZ168" s="608"/>
      <c r="CA168" s="608"/>
      <c r="CB168" s="608"/>
      <c r="CC168" s="608"/>
      <c r="CD168" s="608"/>
      <c r="CE168" s="557">
        <f t="shared" si="113"/>
        <v>0</v>
      </c>
      <c r="CF168" s="607"/>
      <c r="CG168" s="608"/>
      <c r="CH168" s="608"/>
      <c r="CI168" s="608"/>
      <c r="CJ168" s="608"/>
      <c r="CK168" s="608"/>
      <c r="CL168" s="608"/>
      <c r="CM168" s="557">
        <f t="shared" si="114"/>
        <v>0</v>
      </c>
      <c r="CN168" s="607"/>
      <c r="CO168" s="609">
        <f t="shared" si="115"/>
        <v>0</v>
      </c>
      <c r="CP168" s="610">
        <f t="shared" si="98"/>
        <v>0</v>
      </c>
      <c r="CQ168" s="545"/>
      <c r="CR168" s="546"/>
      <c r="CS168" s="544">
        <f t="shared" si="116"/>
        <v>0</v>
      </c>
      <c r="CT168" s="545"/>
      <c r="CU168" s="546"/>
      <c r="CV168" s="546"/>
      <c r="CW168" s="544">
        <f t="shared" si="117"/>
        <v>0</v>
      </c>
      <c r="CX168" s="547">
        <f t="shared" si="118"/>
        <v>0</v>
      </c>
      <c r="CY168" s="611">
        <f t="shared" si="119"/>
        <v>0</v>
      </c>
    </row>
    <row r="169" spans="1:103" s="561" customFormat="1" hidden="1">
      <c r="A169" s="538">
        <v>160</v>
      </c>
      <c r="B169" s="602" t="s">
        <v>994</v>
      </c>
      <c r="C169" s="603" t="s">
        <v>995</v>
      </c>
      <c r="D169" s="541" t="s">
        <v>829</v>
      </c>
      <c r="E169" s="545">
        <v>0</v>
      </c>
      <c r="F169" s="546">
        <v>0</v>
      </c>
      <c r="G169" s="546">
        <v>0</v>
      </c>
      <c r="H169" s="546">
        <v>0</v>
      </c>
      <c r="I169" s="544">
        <f t="shared" si="99"/>
        <v>0</v>
      </c>
      <c r="J169" s="545">
        <v>0</v>
      </c>
      <c r="K169" s="546">
        <v>0</v>
      </c>
      <c r="L169" s="546">
        <v>0</v>
      </c>
      <c r="M169" s="546">
        <v>0</v>
      </c>
      <c r="N169" s="544">
        <f t="shared" si="100"/>
        <v>0</v>
      </c>
      <c r="O169" s="545">
        <v>0</v>
      </c>
      <c r="P169" s="546">
        <v>0</v>
      </c>
      <c r="Q169" s="544">
        <f t="shared" si="101"/>
        <v>0</v>
      </c>
      <c r="R169" s="545">
        <v>0</v>
      </c>
      <c r="S169" s="546">
        <v>0</v>
      </c>
      <c r="T169" s="546">
        <v>0</v>
      </c>
      <c r="U169" s="546">
        <v>0</v>
      </c>
      <c r="V169" s="546">
        <v>0</v>
      </c>
      <c r="W169" s="546">
        <v>0</v>
      </c>
      <c r="X169" s="544">
        <f t="shared" si="102"/>
        <v>0</v>
      </c>
      <c r="Y169" s="545">
        <v>0</v>
      </c>
      <c r="Z169" s="546">
        <v>0</v>
      </c>
      <c r="AA169" s="546">
        <v>0</v>
      </c>
      <c r="AB169" s="544">
        <f t="shared" si="103"/>
        <v>0</v>
      </c>
      <c r="AC169" s="547">
        <f t="shared" si="104"/>
        <v>0</v>
      </c>
      <c r="AD169" s="604" t="s">
        <v>816</v>
      </c>
      <c r="AE169" s="605" t="s">
        <v>816</v>
      </c>
      <c r="AF169" s="606">
        <f t="shared" si="105"/>
        <v>0</v>
      </c>
      <c r="AG169" s="604" t="s">
        <v>816</v>
      </c>
      <c r="AH169" s="605" t="s">
        <v>816</v>
      </c>
      <c r="AI169" s="605" t="s">
        <v>816</v>
      </c>
      <c r="AJ169" s="605" t="s">
        <v>816</v>
      </c>
      <c r="AK169" s="605" t="s">
        <v>816</v>
      </c>
      <c r="AL169" s="605" t="s">
        <v>816</v>
      </c>
      <c r="AM169" s="605" t="s">
        <v>816</v>
      </c>
      <c r="AN169" s="605" t="s">
        <v>816</v>
      </c>
      <c r="AO169" s="605" t="s">
        <v>816</v>
      </c>
      <c r="AP169" s="605" t="s">
        <v>816</v>
      </c>
      <c r="AQ169" s="606">
        <f t="shared" si="106"/>
        <v>0</v>
      </c>
      <c r="AR169" s="604" t="s">
        <v>816</v>
      </c>
      <c r="AS169" s="605" t="s">
        <v>816</v>
      </c>
      <c r="AT169" s="605" t="s">
        <v>816</v>
      </c>
      <c r="AU169" s="606">
        <f t="shared" si="107"/>
        <v>0</v>
      </c>
      <c r="AV169" s="604" t="s">
        <v>816</v>
      </c>
      <c r="AW169" s="605" t="s">
        <v>816</v>
      </c>
      <c r="AX169" s="605" t="s">
        <v>816</v>
      </c>
      <c r="AY169" s="605" t="s">
        <v>816</v>
      </c>
      <c r="AZ169" s="605" t="s">
        <v>816</v>
      </c>
      <c r="BA169" s="606">
        <f t="shared" si="108"/>
        <v>0</v>
      </c>
      <c r="BB169" s="604" t="s">
        <v>816</v>
      </c>
      <c r="BC169" s="605" t="s">
        <v>816</v>
      </c>
      <c r="BD169" s="605" t="s">
        <v>816</v>
      </c>
      <c r="BE169" s="605" t="s">
        <v>816</v>
      </c>
      <c r="BF169" s="605" t="s">
        <v>816</v>
      </c>
      <c r="BG169" s="605" t="s">
        <v>816</v>
      </c>
      <c r="BH169" s="605" t="s">
        <v>816</v>
      </c>
      <c r="BI169" s="606">
        <f t="shared" si="109"/>
        <v>0</v>
      </c>
      <c r="BJ169" s="551">
        <f t="shared" si="110"/>
        <v>0</v>
      </c>
      <c r="BK169" s="607"/>
      <c r="BL169" s="608"/>
      <c r="BM169" s="608"/>
      <c r="BN169" s="608"/>
      <c r="BO169" s="557">
        <f t="shared" si="111"/>
        <v>0</v>
      </c>
      <c r="BP169" s="607"/>
      <c r="BQ169" s="608"/>
      <c r="BR169" s="608"/>
      <c r="BS169" s="557">
        <f t="shared" si="120"/>
        <v>0</v>
      </c>
      <c r="BT169" s="607"/>
      <c r="BU169" s="557">
        <f t="shared" si="112"/>
        <v>0</v>
      </c>
      <c r="BV169" s="607"/>
      <c r="BW169" s="608"/>
      <c r="BX169" s="608"/>
      <c r="BY169" s="608"/>
      <c r="BZ169" s="608"/>
      <c r="CA169" s="608"/>
      <c r="CB169" s="608"/>
      <c r="CC169" s="608"/>
      <c r="CD169" s="608"/>
      <c r="CE169" s="557">
        <f t="shared" si="113"/>
        <v>0</v>
      </c>
      <c r="CF169" s="607"/>
      <c r="CG169" s="608"/>
      <c r="CH169" s="608"/>
      <c r="CI169" s="608"/>
      <c r="CJ169" s="608"/>
      <c r="CK169" s="608"/>
      <c r="CL169" s="608"/>
      <c r="CM169" s="557">
        <f t="shared" si="114"/>
        <v>0</v>
      </c>
      <c r="CN169" s="607"/>
      <c r="CO169" s="609">
        <f t="shared" si="115"/>
        <v>0</v>
      </c>
      <c r="CP169" s="610">
        <f t="shared" si="98"/>
        <v>0</v>
      </c>
      <c r="CQ169" s="545"/>
      <c r="CR169" s="546"/>
      <c r="CS169" s="544">
        <f t="shared" si="116"/>
        <v>0</v>
      </c>
      <c r="CT169" s="545"/>
      <c r="CU169" s="546"/>
      <c r="CV169" s="546"/>
      <c r="CW169" s="544">
        <f t="shared" si="117"/>
        <v>0</v>
      </c>
      <c r="CX169" s="547">
        <f t="shared" si="118"/>
        <v>0</v>
      </c>
      <c r="CY169" s="611">
        <f t="shared" si="119"/>
        <v>0</v>
      </c>
    </row>
    <row r="170" spans="1:103" s="561" customFormat="1" hidden="1">
      <c r="A170" s="538">
        <v>161</v>
      </c>
      <c r="B170" s="602" t="s">
        <v>102</v>
      </c>
      <c r="C170" s="603" t="s">
        <v>996</v>
      </c>
      <c r="D170" s="541" t="s">
        <v>11</v>
      </c>
      <c r="E170" s="545">
        <v>0</v>
      </c>
      <c r="F170" s="546">
        <v>0</v>
      </c>
      <c r="G170" s="546">
        <v>0</v>
      </c>
      <c r="H170" s="546">
        <v>0</v>
      </c>
      <c r="I170" s="544">
        <f t="shared" si="99"/>
        <v>0</v>
      </c>
      <c r="J170" s="545">
        <v>0</v>
      </c>
      <c r="K170" s="546">
        <v>0</v>
      </c>
      <c r="L170" s="546">
        <v>0</v>
      </c>
      <c r="M170" s="546">
        <v>0</v>
      </c>
      <c r="N170" s="544">
        <f t="shared" si="100"/>
        <v>0</v>
      </c>
      <c r="O170" s="545">
        <v>0</v>
      </c>
      <c r="P170" s="546">
        <v>0</v>
      </c>
      <c r="Q170" s="544">
        <f t="shared" si="101"/>
        <v>0</v>
      </c>
      <c r="R170" s="545">
        <v>0</v>
      </c>
      <c r="S170" s="546">
        <v>0</v>
      </c>
      <c r="T170" s="546">
        <v>0</v>
      </c>
      <c r="U170" s="546">
        <v>0</v>
      </c>
      <c r="V170" s="546">
        <v>0</v>
      </c>
      <c r="W170" s="546">
        <v>0</v>
      </c>
      <c r="X170" s="544">
        <f t="shared" si="102"/>
        <v>0</v>
      </c>
      <c r="Y170" s="545">
        <v>0</v>
      </c>
      <c r="Z170" s="546">
        <v>0</v>
      </c>
      <c r="AA170" s="546">
        <v>0</v>
      </c>
      <c r="AB170" s="544">
        <f t="shared" si="103"/>
        <v>0</v>
      </c>
      <c r="AC170" s="547">
        <f t="shared" si="104"/>
        <v>0</v>
      </c>
      <c r="AD170" s="604" t="s">
        <v>816</v>
      </c>
      <c r="AE170" s="605" t="s">
        <v>816</v>
      </c>
      <c r="AF170" s="606">
        <f t="shared" si="105"/>
        <v>0</v>
      </c>
      <c r="AG170" s="604" t="s">
        <v>816</v>
      </c>
      <c r="AH170" s="605" t="s">
        <v>816</v>
      </c>
      <c r="AI170" s="605" t="s">
        <v>816</v>
      </c>
      <c r="AJ170" s="605" t="s">
        <v>816</v>
      </c>
      <c r="AK170" s="605" t="s">
        <v>816</v>
      </c>
      <c r="AL170" s="605" t="s">
        <v>816</v>
      </c>
      <c r="AM170" s="605" t="s">
        <v>816</v>
      </c>
      <c r="AN170" s="605" t="s">
        <v>816</v>
      </c>
      <c r="AO170" s="605" t="s">
        <v>816</v>
      </c>
      <c r="AP170" s="605" t="s">
        <v>816</v>
      </c>
      <c r="AQ170" s="606">
        <f t="shared" si="106"/>
        <v>0</v>
      </c>
      <c r="AR170" s="604" t="s">
        <v>816</v>
      </c>
      <c r="AS170" s="605" t="s">
        <v>816</v>
      </c>
      <c r="AT170" s="605" t="s">
        <v>816</v>
      </c>
      <c r="AU170" s="606">
        <f t="shared" si="107"/>
        <v>0</v>
      </c>
      <c r="AV170" s="604" t="s">
        <v>816</v>
      </c>
      <c r="AW170" s="605" t="s">
        <v>816</v>
      </c>
      <c r="AX170" s="605" t="s">
        <v>816</v>
      </c>
      <c r="AY170" s="605" t="s">
        <v>816</v>
      </c>
      <c r="AZ170" s="605" t="s">
        <v>816</v>
      </c>
      <c r="BA170" s="606">
        <f t="shared" si="108"/>
        <v>0</v>
      </c>
      <c r="BB170" s="604" t="s">
        <v>816</v>
      </c>
      <c r="BC170" s="605" t="s">
        <v>816</v>
      </c>
      <c r="BD170" s="605" t="s">
        <v>816</v>
      </c>
      <c r="BE170" s="605" t="s">
        <v>816</v>
      </c>
      <c r="BF170" s="605" t="s">
        <v>816</v>
      </c>
      <c r="BG170" s="605" t="s">
        <v>816</v>
      </c>
      <c r="BH170" s="605" t="s">
        <v>816</v>
      </c>
      <c r="BI170" s="606">
        <f t="shared" si="109"/>
        <v>0</v>
      </c>
      <c r="BJ170" s="551">
        <f t="shared" si="110"/>
        <v>0</v>
      </c>
      <c r="BK170" s="607"/>
      <c r="BL170" s="608"/>
      <c r="BM170" s="608"/>
      <c r="BN170" s="608"/>
      <c r="BO170" s="557">
        <f t="shared" si="111"/>
        <v>0</v>
      </c>
      <c r="BP170" s="607"/>
      <c r="BQ170" s="608"/>
      <c r="BR170" s="608"/>
      <c r="BS170" s="557">
        <f t="shared" si="120"/>
        <v>0</v>
      </c>
      <c r="BT170" s="607"/>
      <c r="BU170" s="557">
        <f t="shared" si="112"/>
        <v>0</v>
      </c>
      <c r="BV170" s="607"/>
      <c r="BW170" s="608"/>
      <c r="BX170" s="608"/>
      <c r="BY170" s="608"/>
      <c r="BZ170" s="608"/>
      <c r="CA170" s="608"/>
      <c r="CB170" s="608"/>
      <c r="CC170" s="608"/>
      <c r="CD170" s="608"/>
      <c r="CE170" s="557">
        <f t="shared" si="113"/>
        <v>0</v>
      </c>
      <c r="CF170" s="607"/>
      <c r="CG170" s="608"/>
      <c r="CH170" s="608"/>
      <c r="CI170" s="608"/>
      <c r="CJ170" s="608"/>
      <c r="CK170" s="608"/>
      <c r="CL170" s="608"/>
      <c r="CM170" s="557">
        <f t="shared" si="114"/>
        <v>0</v>
      </c>
      <c r="CN170" s="607"/>
      <c r="CO170" s="609">
        <f t="shared" si="115"/>
        <v>0</v>
      </c>
      <c r="CP170" s="610">
        <f t="shared" si="98"/>
        <v>0</v>
      </c>
      <c r="CQ170" s="545"/>
      <c r="CR170" s="546"/>
      <c r="CS170" s="544">
        <f t="shared" si="116"/>
        <v>0</v>
      </c>
      <c r="CT170" s="545"/>
      <c r="CU170" s="546"/>
      <c r="CV170" s="546"/>
      <c r="CW170" s="544">
        <f t="shared" si="117"/>
        <v>0</v>
      </c>
      <c r="CX170" s="547">
        <f t="shared" si="118"/>
        <v>0</v>
      </c>
      <c r="CY170" s="611">
        <f t="shared" si="119"/>
        <v>0</v>
      </c>
    </row>
    <row r="171" spans="1:103" s="561" customFormat="1" hidden="1">
      <c r="A171" s="538">
        <v>162</v>
      </c>
      <c r="B171" s="602" t="s">
        <v>225</v>
      </c>
      <c r="C171" s="603" t="s">
        <v>997</v>
      </c>
      <c r="D171" s="541" t="s">
        <v>843</v>
      </c>
      <c r="E171" s="545">
        <v>0</v>
      </c>
      <c r="F171" s="546">
        <v>0</v>
      </c>
      <c r="G171" s="546">
        <v>0</v>
      </c>
      <c r="H171" s="546">
        <v>0</v>
      </c>
      <c r="I171" s="544">
        <f t="shared" si="99"/>
        <v>0</v>
      </c>
      <c r="J171" s="545">
        <v>0</v>
      </c>
      <c r="K171" s="546">
        <v>0</v>
      </c>
      <c r="L171" s="546">
        <v>0</v>
      </c>
      <c r="M171" s="546">
        <v>0</v>
      </c>
      <c r="N171" s="544">
        <f t="shared" si="100"/>
        <v>0</v>
      </c>
      <c r="O171" s="545">
        <v>0</v>
      </c>
      <c r="P171" s="546">
        <v>0</v>
      </c>
      <c r="Q171" s="544">
        <f t="shared" si="101"/>
        <v>0</v>
      </c>
      <c r="R171" s="545">
        <v>0</v>
      </c>
      <c r="S171" s="546">
        <v>0</v>
      </c>
      <c r="T171" s="546">
        <v>0</v>
      </c>
      <c r="U171" s="546">
        <v>0</v>
      </c>
      <c r="V171" s="546">
        <v>0</v>
      </c>
      <c r="W171" s="546">
        <v>0</v>
      </c>
      <c r="X171" s="544">
        <f t="shared" si="102"/>
        <v>0</v>
      </c>
      <c r="Y171" s="545">
        <v>0</v>
      </c>
      <c r="Z171" s="546">
        <v>0</v>
      </c>
      <c r="AA171" s="546">
        <v>0</v>
      </c>
      <c r="AB171" s="544">
        <f t="shared" si="103"/>
        <v>0</v>
      </c>
      <c r="AC171" s="547">
        <f t="shared" si="104"/>
        <v>0</v>
      </c>
      <c r="AD171" s="604" t="s">
        <v>816</v>
      </c>
      <c r="AE171" s="605" t="s">
        <v>816</v>
      </c>
      <c r="AF171" s="606">
        <f t="shared" si="105"/>
        <v>0</v>
      </c>
      <c r="AG171" s="604" t="s">
        <v>816</v>
      </c>
      <c r="AH171" s="605" t="s">
        <v>816</v>
      </c>
      <c r="AI171" s="605" t="s">
        <v>816</v>
      </c>
      <c r="AJ171" s="605" t="s">
        <v>816</v>
      </c>
      <c r="AK171" s="605" t="s">
        <v>816</v>
      </c>
      <c r="AL171" s="605" t="s">
        <v>816</v>
      </c>
      <c r="AM171" s="605" t="s">
        <v>816</v>
      </c>
      <c r="AN171" s="605" t="s">
        <v>816</v>
      </c>
      <c r="AO171" s="605" t="s">
        <v>816</v>
      </c>
      <c r="AP171" s="605" t="s">
        <v>816</v>
      </c>
      <c r="AQ171" s="606">
        <f t="shared" si="106"/>
        <v>0</v>
      </c>
      <c r="AR171" s="604" t="s">
        <v>816</v>
      </c>
      <c r="AS171" s="605" t="s">
        <v>816</v>
      </c>
      <c r="AT171" s="605" t="s">
        <v>816</v>
      </c>
      <c r="AU171" s="606">
        <f t="shared" si="107"/>
        <v>0</v>
      </c>
      <c r="AV171" s="604" t="s">
        <v>816</v>
      </c>
      <c r="AW171" s="605" t="s">
        <v>816</v>
      </c>
      <c r="AX171" s="605" t="s">
        <v>816</v>
      </c>
      <c r="AY171" s="605" t="s">
        <v>816</v>
      </c>
      <c r="AZ171" s="605" t="s">
        <v>816</v>
      </c>
      <c r="BA171" s="606">
        <f t="shared" si="108"/>
        <v>0</v>
      </c>
      <c r="BB171" s="604" t="s">
        <v>816</v>
      </c>
      <c r="BC171" s="605" t="s">
        <v>816</v>
      </c>
      <c r="BD171" s="605" t="s">
        <v>816</v>
      </c>
      <c r="BE171" s="605" t="s">
        <v>816</v>
      </c>
      <c r="BF171" s="605" t="s">
        <v>816</v>
      </c>
      <c r="BG171" s="605" t="s">
        <v>816</v>
      </c>
      <c r="BH171" s="605" t="s">
        <v>816</v>
      </c>
      <c r="BI171" s="606">
        <f t="shared" si="109"/>
        <v>0</v>
      </c>
      <c r="BJ171" s="551">
        <f t="shared" si="110"/>
        <v>0</v>
      </c>
      <c r="BK171" s="607"/>
      <c r="BL171" s="608"/>
      <c r="BM171" s="608"/>
      <c r="BN171" s="608"/>
      <c r="BO171" s="557">
        <f t="shared" si="111"/>
        <v>0</v>
      </c>
      <c r="BP171" s="607"/>
      <c r="BQ171" s="608"/>
      <c r="BR171" s="608"/>
      <c r="BS171" s="557">
        <f t="shared" si="120"/>
        <v>0</v>
      </c>
      <c r="BT171" s="607"/>
      <c r="BU171" s="557">
        <f t="shared" si="112"/>
        <v>0</v>
      </c>
      <c r="BV171" s="607"/>
      <c r="BW171" s="608"/>
      <c r="BX171" s="608"/>
      <c r="BY171" s="608"/>
      <c r="BZ171" s="608"/>
      <c r="CA171" s="608"/>
      <c r="CB171" s="608"/>
      <c r="CC171" s="608"/>
      <c r="CD171" s="608"/>
      <c r="CE171" s="557">
        <f t="shared" si="113"/>
        <v>0</v>
      </c>
      <c r="CF171" s="607"/>
      <c r="CG171" s="608"/>
      <c r="CH171" s="608"/>
      <c r="CI171" s="608"/>
      <c r="CJ171" s="608"/>
      <c r="CK171" s="608"/>
      <c r="CL171" s="608"/>
      <c r="CM171" s="557">
        <f t="shared" si="114"/>
        <v>0</v>
      </c>
      <c r="CN171" s="607"/>
      <c r="CO171" s="609">
        <f t="shared" si="115"/>
        <v>0</v>
      </c>
      <c r="CP171" s="610">
        <f t="shared" si="98"/>
        <v>0</v>
      </c>
      <c r="CQ171" s="545"/>
      <c r="CR171" s="546"/>
      <c r="CS171" s="544">
        <f t="shared" si="116"/>
        <v>0</v>
      </c>
      <c r="CT171" s="545"/>
      <c r="CU171" s="546"/>
      <c r="CV171" s="546"/>
      <c r="CW171" s="544">
        <f t="shared" si="117"/>
        <v>0</v>
      </c>
      <c r="CX171" s="547">
        <f t="shared" si="118"/>
        <v>0</v>
      </c>
      <c r="CY171" s="611">
        <f t="shared" si="119"/>
        <v>0</v>
      </c>
    </row>
    <row r="172" spans="1:103" s="561" customFormat="1" hidden="1">
      <c r="A172" s="538">
        <v>163</v>
      </c>
      <c r="B172" s="602" t="s">
        <v>377</v>
      </c>
      <c r="C172" s="603" t="s">
        <v>998</v>
      </c>
      <c r="D172" s="541" t="s">
        <v>843</v>
      </c>
      <c r="E172" s="545">
        <v>0</v>
      </c>
      <c r="F172" s="546">
        <v>0</v>
      </c>
      <c r="G172" s="546">
        <v>0</v>
      </c>
      <c r="H172" s="546">
        <v>0</v>
      </c>
      <c r="I172" s="544">
        <f t="shared" si="99"/>
        <v>0</v>
      </c>
      <c r="J172" s="545">
        <v>0</v>
      </c>
      <c r="K172" s="546">
        <v>0</v>
      </c>
      <c r="L172" s="546">
        <v>0</v>
      </c>
      <c r="M172" s="546">
        <v>0</v>
      </c>
      <c r="N172" s="544">
        <f t="shared" si="100"/>
        <v>0</v>
      </c>
      <c r="O172" s="545">
        <v>0</v>
      </c>
      <c r="P172" s="546">
        <v>0</v>
      </c>
      <c r="Q172" s="544">
        <f t="shared" si="101"/>
        <v>0</v>
      </c>
      <c r="R172" s="545">
        <v>0</v>
      </c>
      <c r="S172" s="546">
        <v>0</v>
      </c>
      <c r="T172" s="546">
        <v>0</v>
      </c>
      <c r="U172" s="546">
        <v>0</v>
      </c>
      <c r="V172" s="546">
        <v>0</v>
      </c>
      <c r="W172" s="546">
        <v>0</v>
      </c>
      <c r="X172" s="544">
        <f t="shared" si="102"/>
        <v>0</v>
      </c>
      <c r="Y172" s="545">
        <v>0</v>
      </c>
      <c r="Z172" s="546">
        <v>0</v>
      </c>
      <c r="AA172" s="546">
        <v>0</v>
      </c>
      <c r="AB172" s="544">
        <f t="shared" si="103"/>
        <v>0</v>
      </c>
      <c r="AC172" s="547">
        <f t="shared" si="104"/>
        <v>0</v>
      </c>
      <c r="AD172" s="604" t="s">
        <v>816</v>
      </c>
      <c r="AE172" s="605" t="s">
        <v>816</v>
      </c>
      <c r="AF172" s="606">
        <f t="shared" si="105"/>
        <v>0</v>
      </c>
      <c r="AG172" s="604" t="s">
        <v>816</v>
      </c>
      <c r="AH172" s="605" t="s">
        <v>816</v>
      </c>
      <c r="AI172" s="605" t="s">
        <v>816</v>
      </c>
      <c r="AJ172" s="605" t="s">
        <v>816</v>
      </c>
      <c r="AK172" s="605" t="s">
        <v>816</v>
      </c>
      <c r="AL172" s="605" t="s">
        <v>816</v>
      </c>
      <c r="AM172" s="605" t="s">
        <v>816</v>
      </c>
      <c r="AN172" s="605" t="s">
        <v>816</v>
      </c>
      <c r="AO172" s="605" t="s">
        <v>816</v>
      </c>
      <c r="AP172" s="605" t="s">
        <v>816</v>
      </c>
      <c r="AQ172" s="606">
        <f t="shared" si="106"/>
        <v>0</v>
      </c>
      <c r="AR172" s="604" t="s">
        <v>816</v>
      </c>
      <c r="AS172" s="605" t="s">
        <v>816</v>
      </c>
      <c r="AT172" s="605" t="s">
        <v>816</v>
      </c>
      <c r="AU172" s="606">
        <f t="shared" si="107"/>
        <v>0</v>
      </c>
      <c r="AV172" s="604" t="s">
        <v>816</v>
      </c>
      <c r="AW172" s="605" t="s">
        <v>816</v>
      </c>
      <c r="AX172" s="605" t="s">
        <v>816</v>
      </c>
      <c r="AY172" s="605" t="s">
        <v>816</v>
      </c>
      <c r="AZ172" s="605" t="s">
        <v>816</v>
      </c>
      <c r="BA172" s="606">
        <f t="shared" si="108"/>
        <v>0</v>
      </c>
      <c r="BB172" s="604" t="s">
        <v>816</v>
      </c>
      <c r="BC172" s="605" t="s">
        <v>816</v>
      </c>
      <c r="BD172" s="605" t="s">
        <v>816</v>
      </c>
      <c r="BE172" s="605" t="s">
        <v>816</v>
      </c>
      <c r="BF172" s="605" t="s">
        <v>816</v>
      </c>
      <c r="BG172" s="605" t="s">
        <v>816</v>
      </c>
      <c r="BH172" s="605" t="s">
        <v>816</v>
      </c>
      <c r="BI172" s="606">
        <f t="shared" si="109"/>
        <v>0</v>
      </c>
      <c r="BJ172" s="551">
        <f t="shared" si="110"/>
        <v>0</v>
      </c>
      <c r="BK172" s="607"/>
      <c r="BL172" s="608"/>
      <c r="BM172" s="608"/>
      <c r="BN172" s="608"/>
      <c r="BO172" s="557">
        <f t="shared" si="111"/>
        <v>0</v>
      </c>
      <c r="BP172" s="607"/>
      <c r="BQ172" s="608"/>
      <c r="BR172" s="608"/>
      <c r="BS172" s="557">
        <f t="shared" si="120"/>
        <v>0</v>
      </c>
      <c r="BT172" s="607"/>
      <c r="BU172" s="557">
        <f t="shared" si="112"/>
        <v>0</v>
      </c>
      <c r="BV172" s="607"/>
      <c r="BW172" s="608"/>
      <c r="BX172" s="608"/>
      <c r="BY172" s="608"/>
      <c r="BZ172" s="608"/>
      <c r="CA172" s="608"/>
      <c r="CB172" s="608"/>
      <c r="CC172" s="608"/>
      <c r="CD172" s="608"/>
      <c r="CE172" s="557">
        <f t="shared" si="113"/>
        <v>0</v>
      </c>
      <c r="CF172" s="607"/>
      <c r="CG172" s="608"/>
      <c r="CH172" s="608"/>
      <c r="CI172" s="608"/>
      <c r="CJ172" s="608"/>
      <c r="CK172" s="608"/>
      <c r="CL172" s="608"/>
      <c r="CM172" s="557">
        <f t="shared" si="114"/>
        <v>0</v>
      </c>
      <c r="CN172" s="607"/>
      <c r="CO172" s="609">
        <f t="shared" si="115"/>
        <v>0</v>
      </c>
      <c r="CP172" s="610">
        <f t="shared" si="98"/>
        <v>0</v>
      </c>
      <c r="CQ172" s="545"/>
      <c r="CR172" s="546"/>
      <c r="CS172" s="544">
        <f t="shared" si="116"/>
        <v>0</v>
      </c>
      <c r="CT172" s="545"/>
      <c r="CU172" s="546"/>
      <c r="CV172" s="546"/>
      <c r="CW172" s="544">
        <f t="shared" si="117"/>
        <v>0</v>
      </c>
      <c r="CX172" s="547">
        <f t="shared" si="118"/>
        <v>0</v>
      </c>
      <c r="CY172" s="611">
        <f t="shared" si="119"/>
        <v>0</v>
      </c>
    </row>
    <row r="173" spans="1:103" s="561" customFormat="1" ht="15" hidden="1" customHeight="1">
      <c r="A173" s="538">
        <v>164</v>
      </c>
      <c r="B173" s="602" t="s">
        <v>999</v>
      </c>
      <c r="C173" s="603" t="s">
        <v>1000</v>
      </c>
      <c r="D173" s="541" t="s">
        <v>843</v>
      </c>
      <c r="E173" s="545">
        <v>0</v>
      </c>
      <c r="F173" s="546">
        <v>0</v>
      </c>
      <c r="G173" s="546">
        <v>0</v>
      </c>
      <c r="H173" s="546">
        <v>0</v>
      </c>
      <c r="I173" s="544">
        <f t="shared" si="99"/>
        <v>0</v>
      </c>
      <c r="J173" s="545">
        <v>0</v>
      </c>
      <c r="K173" s="546">
        <v>0</v>
      </c>
      <c r="L173" s="546">
        <v>0</v>
      </c>
      <c r="M173" s="546">
        <v>0</v>
      </c>
      <c r="N173" s="544">
        <f t="shared" si="100"/>
        <v>0</v>
      </c>
      <c r="O173" s="545">
        <v>0</v>
      </c>
      <c r="P173" s="546">
        <v>0</v>
      </c>
      <c r="Q173" s="544">
        <f t="shared" si="101"/>
        <v>0</v>
      </c>
      <c r="R173" s="545">
        <v>0</v>
      </c>
      <c r="S173" s="546">
        <v>0</v>
      </c>
      <c r="T173" s="546">
        <v>0</v>
      </c>
      <c r="U173" s="546">
        <v>0</v>
      </c>
      <c r="V173" s="546">
        <v>0</v>
      </c>
      <c r="W173" s="546">
        <v>0</v>
      </c>
      <c r="X173" s="544">
        <f t="shared" si="102"/>
        <v>0</v>
      </c>
      <c r="Y173" s="545">
        <v>0</v>
      </c>
      <c r="Z173" s="546">
        <v>0</v>
      </c>
      <c r="AA173" s="546">
        <v>0</v>
      </c>
      <c r="AB173" s="544">
        <f t="shared" si="103"/>
        <v>0</v>
      </c>
      <c r="AC173" s="547">
        <f t="shared" si="104"/>
        <v>0</v>
      </c>
      <c r="AD173" s="604" t="s">
        <v>816</v>
      </c>
      <c r="AE173" s="605" t="s">
        <v>816</v>
      </c>
      <c r="AF173" s="606">
        <f t="shared" si="105"/>
        <v>0</v>
      </c>
      <c r="AG173" s="604" t="s">
        <v>816</v>
      </c>
      <c r="AH173" s="605" t="s">
        <v>816</v>
      </c>
      <c r="AI173" s="605" t="s">
        <v>816</v>
      </c>
      <c r="AJ173" s="605" t="s">
        <v>816</v>
      </c>
      <c r="AK173" s="605" t="s">
        <v>816</v>
      </c>
      <c r="AL173" s="605" t="s">
        <v>816</v>
      </c>
      <c r="AM173" s="605" t="s">
        <v>816</v>
      </c>
      <c r="AN173" s="605" t="s">
        <v>816</v>
      </c>
      <c r="AO173" s="605" t="s">
        <v>816</v>
      </c>
      <c r="AP173" s="605" t="s">
        <v>816</v>
      </c>
      <c r="AQ173" s="606">
        <f t="shared" si="106"/>
        <v>0</v>
      </c>
      <c r="AR173" s="604" t="s">
        <v>816</v>
      </c>
      <c r="AS173" s="605" t="s">
        <v>816</v>
      </c>
      <c r="AT173" s="605" t="s">
        <v>816</v>
      </c>
      <c r="AU173" s="606">
        <f t="shared" si="107"/>
        <v>0</v>
      </c>
      <c r="AV173" s="604" t="s">
        <v>816</v>
      </c>
      <c r="AW173" s="605" t="s">
        <v>816</v>
      </c>
      <c r="AX173" s="605" t="s">
        <v>816</v>
      </c>
      <c r="AY173" s="605" t="s">
        <v>816</v>
      </c>
      <c r="AZ173" s="605" t="s">
        <v>816</v>
      </c>
      <c r="BA173" s="606">
        <f t="shared" si="108"/>
        <v>0</v>
      </c>
      <c r="BB173" s="604" t="s">
        <v>816</v>
      </c>
      <c r="BC173" s="605" t="s">
        <v>816</v>
      </c>
      <c r="BD173" s="605" t="s">
        <v>816</v>
      </c>
      <c r="BE173" s="605" t="s">
        <v>816</v>
      </c>
      <c r="BF173" s="605" t="s">
        <v>816</v>
      </c>
      <c r="BG173" s="605" t="s">
        <v>816</v>
      </c>
      <c r="BH173" s="605" t="s">
        <v>816</v>
      </c>
      <c r="BI173" s="606">
        <f t="shared" si="109"/>
        <v>0</v>
      </c>
      <c r="BJ173" s="551">
        <f t="shared" si="110"/>
        <v>0</v>
      </c>
      <c r="BK173" s="607"/>
      <c r="BL173" s="608"/>
      <c r="BM173" s="608"/>
      <c r="BN173" s="608"/>
      <c r="BO173" s="557">
        <f t="shared" si="111"/>
        <v>0</v>
      </c>
      <c r="BP173" s="607"/>
      <c r="BQ173" s="608"/>
      <c r="BR173" s="608"/>
      <c r="BS173" s="557">
        <f t="shared" si="120"/>
        <v>0</v>
      </c>
      <c r="BT173" s="607"/>
      <c r="BU173" s="557">
        <f t="shared" si="112"/>
        <v>0</v>
      </c>
      <c r="BV173" s="607"/>
      <c r="BW173" s="608"/>
      <c r="BX173" s="608"/>
      <c r="BY173" s="608"/>
      <c r="BZ173" s="608"/>
      <c r="CA173" s="608"/>
      <c r="CB173" s="608"/>
      <c r="CC173" s="608"/>
      <c r="CD173" s="608"/>
      <c r="CE173" s="557">
        <f t="shared" si="113"/>
        <v>0</v>
      </c>
      <c r="CF173" s="607"/>
      <c r="CG173" s="608"/>
      <c r="CH173" s="608"/>
      <c r="CI173" s="608"/>
      <c r="CJ173" s="608"/>
      <c r="CK173" s="608"/>
      <c r="CL173" s="608"/>
      <c r="CM173" s="557">
        <f t="shared" si="114"/>
        <v>0</v>
      </c>
      <c r="CN173" s="607"/>
      <c r="CO173" s="609">
        <f t="shared" si="115"/>
        <v>0</v>
      </c>
      <c r="CP173" s="610">
        <f t="shared" si="98"/>
        <v>0</v>
      </c>
      <c r="CQ173" s="545"/>
      <c r="CR173" s="546"/>
      <c r="CS173" s="544">
        <f t="shared" si="116"/>
        <v>0</v>
      </c>
      <c r="CT173" s="545"/>
      <c r="CU173" s="546"/>
      <c r="CV173" s="546"/>
      <c r="CW173" s="544">
        <f t="shared" si="117"/>
        <v>0</v>
      </c>
      <c r="CX173" s="547">
        <f t="shared" si="118"/>
        <v>0</v>
      </c>
      <c r="CY173" s="611">
        <f t="shared" si="119"/>
        <v>0</v>
      </c>
    </row>
    <row r="174" spans="1:103" s="561" customFormat="1" ht="30">
      <c r="A174" s="538">
        <v>165</v>
      </c>
      <c r="B174" s="602" t="s">
        <v>1001</v>
      </c>
      <c r="C174" s="603" t="s">
        <v>1002</v>
      </c>
      <c r="D174" s="541" t="s">
        <v>843</v>
      </c>
      <c r="E174" s="545">
        <v>0</v>
      </c>
      <c r="F174" s="546">
        <v>747.66</v>
      </c>
      <c r="G174" s="546">
        <v>911.62</v>
      </c>
      <c r="H174" s="546">
        <v>1861.6</v>
      </c>
      <c r="I174" s="544">
        <f t="shared" si="99"/>
        <v>3520.88</v>
      </c>
      <c r="J174" s="545">
        <v>0</v>
      </c>
      <c r="K174" s="546">
        <v>0</v>
      </c>
      <c r="L174" s="546">
        <v>0</v>
      </c>
      <c r="M174" s="546">
        <v>0</v>
      </c>
      <c r="N174" s="544">
        <f t="shared" si="100"/>
        <v>0</v>
      </c>
      <c r="O174" s="545">
        <v>0</v>
      </c>
      <c r="P174" s="546">
        <v>0</v>
      </c>
      <c r="Q174" s="544">
        <f t="shared" si="101"/>
        <v>0</v>
      </c>
      <c r="R174" s="545">
        <v>0</v>
      </c>
      <c r="S174" s="546">
        <v>1724.8</v>
      </c>
      <c r="T174" s="546">
        <v>4312</v>
      </c>
      <c r="U174" s="546">
        <v>3880.7999999999997</v>
      </c>
      <c r="V174" s="546">
        <v>7546</v>
      </c>
      <c r="W174" s="546">
        <v>0</v>
      </c>
      <c r="X174" s="544">
        <f t="shared" si="102"/>
        <v>17463.599999999999</v>
      </c>
      <c r="Y174" s="545">
        <v>2797.7</v>
      </c>
      <c r="Z174" s="546">
        <v>139.69999999999999</v>
      </c>
      <c r="AA174" s="546">
        <v>0</v>
      </c>
      <c r="AB174" s="544">
        <f t="shared" si="103"/>
        <v>2937.3999999999996</v>
      </c>
      <c r="AC174" s="547">
        <f t="shared" si="104"/>
        <v>23921.879999999997</v>
      </c>
      <c r="AD174" s="604">
        <v>0</v>
      </c>
      <c r="AE174" s="605">
        <v>0</v>
      </c>
      <c r="AF174" s="606">
        <f t="shared" si="105"/>
        <v>0</v>
      </c>
      <c r="AG174" s="604">
        <v>0</v>
      </c>
      <c r="AH174" s="605">
        <v>0</v>
      </c>
      <c r="AI174" s="605">
        <v>0</v>
      </c>
      <c r="AJ174" s="605">
        <v>0</v>
      </c>
      <c r="AK174" s="605">
        <v>0</v>
      </c>
      <c r="AL174" s="605">
        <v>0</v>
      </c>
      <c r="AM174" s="605">
        <v>0</v>
      </c>
      <c r="AN174" s="605">
        <v>0</v>
      </c>
      <c r="AO174" s="605">
        <v>0</v>
      </c>
      <c r="AP174" s="605">
        <v>0</v>
      </c>
      <c r="AQ174" s="606">
        <f t="shared" si="106"/>
        <v>0</v>
      </c>
      <c r="AR174" s="604">
        <v>0</v>
      </c>
      <c r="AS174" s="605">
        <v>0</v>
      </c>
      <c r="AT174" s="605">
        <v>0</v>
      </c>
      <c r="AU174" s="606">
        <f t="shared" si="107"/>
        <v>0</v>
      </c>
      <c r="AV174" s="604">
        <v>0</v>
      </c>
      <c r="AW174" s="605">
        <v>0</v>
      </c>
      <c r="AX174" s="605">
        <v>0</v>
      </c>
      <c r="AY174" s="605">
        <v>0</v>
      </c>
      <c r="AZ174" s="605">
        <v>0</v>
      </c>
      <c r="BA174" s="606">
        <f t="shared" si="108"/>
        <v>0</v>
      </c>
      <c r="BB174" s="604">
        <v>0</v>
      </c>
      <c r="BC174" s="605">
        <v>0</v>
      </c>
      <c r="BD174" s="605">
        <v>0</v>
      </c>
      <c r="BE174" s="605">
        <v>0</v>
      </c>
      <c r="BF174" s="605">
        <v>0</v>
      </c>
      <c r="BG174" s="605">
        <v>0</v>
      </c>
      <c r="BH174" s="605">
        <v>0</v>
      </c>
      <c r="BI174" s="606">
        <f t="shared" si="109"/>
        <v>0</v>
      </c>
      <c r="BJ174" s="551">
        <f t="shared" si="110"/>
        <v>0</v>
      </c>
      <c r="BK174" s="607"/>
      <c r="BL174" s="608"/>
      <c r="BM174" s="608"/>
      <c r="BN174" s="608"/>
      <c r="BO174" s="557">
        <f t="shared" si="111"/>
        <v>0</v>
      </c>
      <c r="BP174" s="607"/>
      <c r="BQ174" s="608"/>
      <c r="BR174" s="608"/>
      <c r="BS174" s="557">
        <f t="shared" si="120"/>
        <v>0</v>
      </c>
      <c r="BT174" s="607"/>
      <c r="BU174" s="557">
        <f t="shared" si="112"/>
        <v>0</v>
      </c>
      <c r="BV174" s="607"/>
      <c r="BW174" s="608"/>
      <c r="BX174" s="608"/>
      <c r="BY174" s="608"/>
      <c r="BZ174" s="608"/>
      <c r="CA174" s="608"/>
      <c r="CB174" s="608"/>
      <c r="CC174" s="608"/>
      <c r="CD174" s="608"/>
      <c r="CE174" s="557">
        <f t="shared" si="113"/>
        <v>0</v>
      </c>
      <c r="CF174" s="607"/>
      <c r="CG174" s="608"/>
      <c r="CH174" s="608"/>
      <c r="CI174" s="608"/>
      <c r="CJ174" s="608"/>
      <c r="CK174" s="608"/>
      <c r="CL174" s="608"/>
      <c r="CM174" s="557">
        <f t="shared" si="114"/>
        <v>0</v>
      </c>
      <c r="CN174" s="607"/>
      <c r="CO174" s="609">
        <f t="shared" si="115"/>
        <v>0</v>
      </c>
      <c r="CP174" s="610">
        <f t="shared" si="98"/>
        <v>0</v>
      </c>
      <c r="CQ174" s="545">
        <v>1600</v>
      </c>
      <c r="CR174" s="546">
        <v>1600</v>
      </c>
      <c r="CS174" s="544">
        <f t="shared" si="116"/>
        <v>3200</v>
      </c>
      <c r="CT174" s="545"/>
      <c r="CU174" s="546">
        <v>1360</v>
      </c>
      <c r="CV174" s="546">
        <v>1680</v>
      </c>
      <c r="CW174" s="544">
        <f t="shared" si="117"/>
        <v>3040</v>
      </c>
      <c r="CX174" s="547">
        <f t="shared" si="118"/>
        <v>6240</v>
      </c>
      <c r="CY174" s="611">
        <f t="shared" si="119"/>
        <v>30161.879999999997</v>
      </c>
    </row>
    <row r="175" spans="1:103" s="561" customFormat="1" ht="15" hidden="1" customHeight="1">
      <c r="A175" s="538">
        <v>166</v>
      </c>
      <c r="B175" s="602" t="s">
        <v>1003</v>
      </c>
      <c r="C175" s="603" t="s">
        <v>1004</v>
      </c>
      <c r="D175" s="541" t="s">
        <v>843</v>
      </c>
      <c r="E175" s="545">
        <v>0</v>
      </c>
      <c r="F175" s="546">
        <v>0</v>
      </c>
      <c r="G175" s="546">
        <v>0</v>
      </c>
      <c r="H175" s="546">
        <v>0</v>
      </c>
      <c r="I175" s="544">
        <f t="shared" si="99"/>
        <v>0</v>
      </c>
      <c r="J175" s="545">
        <v>0</v>
      </c>
      <c r="K175" s="546">
        <v>0</v>
      </c>
      <c r="L175" s="546">
        <v>0</v>
      </c>
      <c r="M175" s="546">
        <v>0</v>
      </c>
      <c r="N175" s="544">
        <f t="shared" si="100"/>
        <v>0</v>
      </c>
      <c r="O175" s="545">
        <v>0</v>
      </c>
      <c r="P175" s="546">
        <v>0</v>
      </c>
      <c r="Q175" s="544">
        <f t="shared" si="101"/>
        <v>0</v>
      </c>
      <c r="R175" s="545">
        <v>0</v>
      </c>
      <c r="S175" s="546">
        <v>0</v>
      </c>
      <c r="T175" s="546">
        <v>0</v>
      </c>
      <c r="U175" s="546">
        <v>0</v>
      </c>
      <c r="V175" s="546">
        <v>0</v>
      </c>
      <c r="W175" s="546">
        <v>0</v>
      </c>
      <c r="X175" s="544">
        <f t="shared" si="102"/>
        <v>0</v>
      </c>
      <c r="Y175" s="545">
        <v>0</v>
      </c>
      <c r="Z175" s="546">
        <v>0</v>
      </c>
      <c r="AA175" s="546">
        <v>0</v>
      </c>
      <c r="AB175" s="544">
        <f t="shared" si="103"/>
        <v>0</v>
      </c>
      <c r="AC175" s="547">
        <f t="shared" si="104"/>
        <v>0</v>
      </c>
      <c r="AD175" s="604" t="s">
        <v>816</v>
      </c>
      <c r="AE175" s="605" t="s">
        <v>816</v>
      </c>
      <c r="AF175" s="606">
        <f t="shared" si="105"/>
        <v>0</v>
      </c>
      <c r="AG175" s="604" t="s">
        <v>816</v>
      </c>
      <c r="AH175" s="605" t="s">
        <v>816</v>
      </c>
      <c r="AI175" s="605" t="s">
        <v>816</v>
      </c>
      <c r="AJ175" s="605" t="s">
        <v>816</v>
      </c>
      <c r="AK175" s="605" t="s">
        <v>816</v>
      </c>
      <c r="AL175" s="605" t="s">
        <v>816</v>
      </c>
      <c r="AM175" s="605" t="s">
        <v>816</v>
      </c>
      <c r="AN175" s="605" t="s">
        <v>816</v>
      </c>
      <c r="AO175" s="605" t="s">
        <v>816</v>
      </c>
      <c r="AP175" s="605" t="s">
        <v>816</v>
      </c>
      <c r="AQ175" s="606">
        <f t="shared" si="106"/>
        <v>0</v>
      </c>
      <c r="AR175" s="604" t="s">
        <v>816</v>
      </c>
      <c r="AS175" s="605" t="s">
        <v>816</v>
      </c>
      <c r="AT175" s="605" t="s">
        <v>816</v>
      </c>
      <c r="AU175" s="606">
        <f t="shared" si="107"/>
        <v>0</v>
      </c>
      <c r="AV175" s="604" t="s">
        <v>816</v>
      </c>
      <c r="AW175" s="605" t="s">
        <v>816</v>
      </c>
      <c r="AX175" s="605" t="s">
        <v>816</v>
      </c>
      <c r="AY175" s="605" t="s">
        <v>816</v>
      </c>
      <c r="AZ175" s="605" t="s">
        <v>816</v>
      </c>
      <c r="BA175" s="606">
        <f t="shared" si="108"/>
        <v>0</v>
      </c>
      <c r="BB175" s="604" t="s">
        <v>816</v>
      </c>
      <c r="BC175" s="605" t="s">
        <v>816</v>
      </c>
      <c r="BD175" s="605" t="s">
        <v>816</v>
      </c>
      <c r="BE175" s="605" t="s">
        <v>816</v>
      </c>
      <c r="BF175" s="605" t="s">
        <v>816</v>
      </c>
      <c r="BG175" s="605" t="s">
        <v>816</v>
      </c>
      <c r="BH175" s="605" t="s">
        <v>816</v>
      </c>
      <c r="BI175" s="606">
        <f t="shared" si="109"/>
        <v>0</v>
      </c>
      <c r="BJ175" s="551">
        <f t="shared" si="110"/>
        <v>0</v>
      </c>
      <c r="BK175" s="607"/>
      <c r="BL175" s="608"/>
      <c r="BM175" s="608"/>
      <c r="BN175" s="608"/>
      <c r="BO175" s="557">
        <f t="shared" si="111"/>
        <v>0</v>
      </c>
      <c r="BP175" s="607"/>
      <c r="BQ175" s="608"/>
      <c r="BR175" s="608"/>
      <c r="BS175" s="557">
        <f t="shared" si="120"/>
        <v>0</v>
      </c>
      <c r="BT175" s="607"/>
      <c r="BU175" s="557">
        <f t="shared" si="112"/>
        <v>0</v>
      </c>
      <c r="BV175" s="607"/>
      <c r="BW175" s="608"/>
      <c r="BX175" s="608"/>
      <c r="BY175" s="608"/>
      <c r="BZ175" s="608"/>
      <c r="CA175" s="608"/>
      <c r="CB175" s="608"/>
      <c r="CC175" s="608"/>
      <c r="CD175" s="608"/>
      <c r="CE175" s="557">
        <f t="shared" si="113"/>
        <v>0</v>
      </c>
      <c r="CF175" s="607"/>
      <c r="CG175" s="608"/>
      <c r="CH175" s="608"/>
      <c r="CI175" s="608"/>
      <c r="CJ175" s="608"/>
      <c r="CK175" s="608"/>
      <c r="CL175" s="608"/>
      <c r="CM175" s="557">
        <f t="shared" si="114"/>
        <v>0</v>
      </c>
      <c r="CN175" s="607"/>
      <c r="CO175" s="609">
        <f t="shared" si="115"/>
        <v>0</v>
      </c>
      <c r="CP175" s="610">
        <f t="shared" si="98"/>
        <v>0</v>
      </c>
      <c r="CQ175" s="545"/>
      <c r="CR175" s="546"/>
      <c r="CS175" s="544">
        <f t="shared" si="116"/>
        <v>0</v>
      </c>
      <c r="CT175" s="545"/>
      <c r="CU175" s="546"/>
      <c r="CV175" s="546"/>
      <c r="CW175" s="544">
        <f t="shared" si="117"/>
        <v>0</v>
      </c>
      <c r="CX175" s="547">
        <f t="shared" si="118"/>
        <v>0</v>
      </c>
      <c r="CY175" s="611">
        <f t="shared" si="119"/>
        <v>0</v>
      </c>
    </row>
    <row r="176" spans="1:103" s="561" customFormat="1" hidden="1">
      <c r="A176" s="538">
        <v>167</v>
      </c>
      <c r="B176" s="602" t="s">
        <v>1005</v>
      </c>
      <c r="C176" s="603" t="s">
        <v>1006</v>
      </c>
      <c r="D176" s="541" t="s">
        <v>843</v>
      </c>
      <c r="E176" s="545">
        <v>0</v>
      </c>
      <c r="F176" s="546">
        <v>0</v>
      </c>
      <c r="G176" s="546">
        <v>0</v>
      </c>
      <c r="H176" s="546">
        <v>0</v>
      </c>
      <c r="I176" s="544">
        <f t="shared" si="99"/>
        <v>0</v>
      </c>
      <c r="J176" s="545">
        <v>0</v>
      </c>
      <c r="K176" s="546">
        <v>0</v>
      </c>
      <c r="L176" s="546">
        <v>0</v>
      </c>
      <c r="M176" s="546">
        <v>0</v>
      </c>
      <c r="N176" s="544">
        <f t="shared" si="100"/>
        <v>0</v>
      </c>
      <c r="O176" s="545">
        <v>0</v>
      </c>
      <c r="P176" s="546">
        <v>0</v>
      </c>
      <c r="Q176" s="544">
        <f t="shared" si="101"/>
        <v>0</v>
      </c>
      <c r="R176" s="545">
        <v>0</v>
      </c>
      <c r="S176" s="546">
        <v>0</v>
      </c>
      <c r="T176" s="546">
        <v>0</v>
      </c>
      <c r="U176" s="546">
        <v>0</v>
      </c>
      <c r="V176" s="546">
        <v>0</v>
      </c>
      <c r="W176" s="546">
        <v>0</v>
      </c>
      <c r="X176" s="544">
        <f t="shared" si="102"/>
        <v>0</v>
      </c>
      <c r="Y176" s="545">
        <v>0</v>
      </c>
      <c r="Z176" s="546">
        <v>0</v>
      </c>
      <c r="AA176" s="546">
        <v>0</v>
      </c>
      <c r="AB176" s="544">
        <f t="shared" si="103"/>
        <v>0</v>
      </c>
      <c r="AC176" s="547">
        <f t="shared" si="104"/>
        <v>0</v>
      </c>
      <c r="AD176" s="604" t="s">
        <v>816</v>
      </c>
      <c r="AE176" s="605" t="s">
        <v>816</v>
      </c>
      <c r="AF176" s="606">
        <f t="shared" si="105"/>
        <v>0</v>
      </c>
      <c r="AG176" s="604" t="s">
        <v>816</v>
      </c>
      <c r="AH176" s="605" t="s">
        <v>816</v>
      </c>
      <c r="AI176" s="605" t="s">
        <v>816</v>
      </c>
      <c r="AJ176" s="605" t="s">
        <v>816</v>
      </c>
      <c r="AK176" s="605" t="s">
        <v>816</v>
      </c>
      <c r="AL176" s="605" t="s">
        <v>816</v>
      </c>
      <c r="AM176" s="605" t="s">
        <v>816</v>
      </c>
      <c r="AN176" s="605" t="s">
        <v>816</v>
      </c>
      <c r="AO176" s="605" t="s">
        <v>816</v>
      </c>
      <c r="AP176" s="605" t="s">
        <v>816</v>
      </c>
      <c r="AQ176" s="606">
        <f t="shared" si="106"/>
        <v>0</v>
      </c>
      <c r="AR176" s="604" t="s">
        <v>816</v>
      </c>
      <c r="AS176" s="605" t="s">
        <v>816</v>
      </c>
      <c r="AT176" s="605" t="s">
        <v>816</v>
      </c>
      <c r="AU176" s="606">
        <f t="shared" si="107"/>
        <v>0</v>
      </c>
      <c r="AV176" s="604" t="s">
        <v>816</v>
      </c>
      <c r="AW176" s="605" t="s">
        <v>816</v>
      </c>
      <c r="AX176" s="605" t="s">
        <v>816</v>
      </c>
      <c r="AY176" s="605" t="s">
        <v>816</v>
      </c>
      <c r="AZ176" s="605" t="s">
        <v>816</v>
      </c>
      <c r="BA176" s="606">
        <f t="shared" si="108"/>
        <v>0</v>
      </c>
      <c r="BB176" s="604" t="s">
        <v>816</v>
      </c>
      <c r="BC176" s="605" t="s">
        <v>816</v>
      </c>
      <c r="BD176" s="605" t="s">
        <v>816</v>
      </c>
      <c r="BE176" s="605" t="s">
        <v>816</v>
      </c>
      <c r="BF176" s="605" t="s">
        <v>816</v>
      </c>
      <c r="BG176" s="605" t="s">
        <v>816</v>
      </c>
      <c r="BH176" s="605" t="s">
        <v>816</v>
      </c>
      <c r="BI176" s="606">
        <f t="shared" si="109"/>
        <v>0</v>
      </c>
      <c r="BJ176" s="551">
        <f t="shared" si="110"/>
        <v>0</v>
      </c>
      <c r="BK176" s="607"/>
      <c r="BL176" s="608"/>
      <c r="BM176" s="608"/>
      <c r="BN176" s="608"/>
      <c r="BO176" s="557">
        <f t="shared" si="111"/>
        <v>0</v>
      </c>
      <c r="BP176" s="607"/>
      <c r="BQ176" s="608"/>
      <c r="BR176" s="608"/>
      <c r="BS176" s="557">
        <f t="shared" si="120"/>
        <v>0</v>
      </c>
      <c r="BT176" s="607"/>
      <c r="BU176" s="557">
        <f t="shared" si="112"/>
        <v>0</v>
      </c>
      <c r="BV176" s="607"/>
      <c r="BW176" s="608"/>
      <c r="BX176" s="608"/>
      <c r="BY176" s="608"/>
      <c r="BZ176" s="608"/>
      <c r="CA176" s="608"/>
      <c r="CB176" s="608"/>
      <c r="CC176" s="608"/>
      <c r="CD176" s="608"/>
      <c r="CE176" s="557">
        <f t="shared" si="113"/>
        <v>0</v>
      </c>
      <c r="CF176" s="607"/>
      <c r="CG176" s="608"/>
      <c r="CH176" s="608"/>
      <c r="CI176" s="608"/>
      <c r="CJ176" s="608"/>
      <c r="CK176" s="608"/>
      <c r="CL176" s="608"/>
      <c r="CM176" s="557">
        <f t="shared" si="114"/>
        <v>0</v>
      </c>
      <c r="CN176" s="607"/>
      <c r="CO176" s="609">
        <f t="shared" si="115"/>
        <v>0</v>
      </c>
      <c r="CP176" s="610">
        <f t="shared" si="98"/>
        <v>0</v>
      </c>
      <c r="CQ176" s="545"/>
      <c r="CR176" s="546"/>
      <c r="CS176" s="544">
        <f t="shared" si="116"/>
        <v>0</v>
      </c>
      <c r="CT176" s="545"/>
      <c r="CU176" s="546"/>
      <c r="CV176" s="546"/>
      <c r="CW176" s="544">
        <f t="shared" si="117"/>
        <v>0</v>
      </c>
      <c r="CX176" s="547">
        <f t="shared" si="118"/>
        <v>0</v>
      </c>
      <c r="CY176" s="611">
        <f t="shared" si="119"/>
        <v>0</v>
      </c>
    </row>
    <row r="177" spans="1:103" s="561" customFormat="1" ht="30" hidden="1">
      <c r="A177" s="538">
        <v>168</v>
      </c>
      <c r="B177" s="602" t="s">
        <v>378</v>
      </c>
      <c r="C177" s="603" t="s">
        <v>1007</v>
      </c>
      <c r="D177" s="541" t="s">
        <v>843</v>
      </c>
      <c r="E177" s="545">
        <v>0</v>
      </c>
      <c r="F177" s="546">
        <v>0</v>
      </c>
      <c r="G177" s="546">
        <v>0</v>
      </c>
      <c r="H177" s="546">
        <v>0</v>
      </c>
      <c r="I177" s="544">
        <f t="shared" si="99"/>
        <v>0</v>
      </c>
      <c r="J177" s="545">
        <v>0</v>
      </c>
      <c r="K177" s="546">
        <v>0</v>
      </c>
      <c r="L177" s="546">
        <v>0</v>
      </c>
      <c r="M177" s="546">
        <v>0</v>
      </c>
      <c r="N177" s="544">
        <f t="shared" si="100"/>
        <v>0</v>
      </c>
      <c r="O177" s="545">
        <v>0</v>
      </c>
      <c r="P177" s="546">
        <v>0</v>
      </c>
      <c r="Q177" s="544">
        <f t="shared" si="101"/>
        <v>0</v>
      </c>
      <c r="R177" s="545">
        <v>0</v>
      </c>
      <c r="S177" s="546">
        <v>0</v>
      </c>
      <c r="T177" s="546">
        <v>0</v>
      </c>
      <c r="U177" s="546">
        <v>0</v>
      </c>
      <c r="V177" s="546">
        <v>0</v>
      </c>
      <c r="W177" s="546">
        <v>0</v>
      </c>
      <c r="X177" s="544">
        <f t="shared" si="102"/>
        <v>0</v>
      </c>
      <c r="Y177" s="545">
        <v>0</v>
      </c>
      <c r="Z177" s="546">
        <v>0</v>
      </c>
      <c r="AA177" s="546">
        <v>0</v>
      </c>
      <c r="AB177" s="544">
        <f t="shared" si="103"/>
        <v>0</v>
      </c>
      <c r="AC177" s="547">
        <f t="shared" si="104"/>
        <v>0</v>
      </c>
      <c r="AD177" s="604" t="s">
        <v>816</v>
      </c>
      <c r="AE177" s="605" t="s">
        <v>816</v>
      </c>
      <c r="AF177" s="606">
        <f t="shared" si="105"/>
        <v>0</v>
      </c>
      <c r="AG177" s="604" t="s">
        <v>816</v>
      </c>
      <c r="AH177" s="605" t="s">
        <v>816</v>
      </c>
      <c r="AI177" s="605" t="s">
        <v>816</v>
      </c>
      <c r="AJ177" s="605" t="s">
        <v>816</v>
      </c>
      <c r="AK177" s="605" t="s">
        <v>816</v>
      </c>
      <c r="AL177" s="605" t="s">
        <v>816</v>
      </c>
      <c r="AM177" s="605" t="s">
        <v>816</v>
      </c>
      <c r="AN177" s="605" t="s">
        <v>816</v>
      </c>
      <c r="AO177" s="605" t="s">
        <v>816</v>
      </c>
      <c r="AP177" s="605" t="s">
        <v>816</v>
      </c>
      <c r="AQ177" s="606">
        <f t="shared" si="106"/>
        <v>0</v>
      </c>
      <c r="AR177" s="604" t="s">
        <v>816</v>
      </c>
      <c r="AS177" s="605" t="s">
        <v>816</v>
      </c>
      <c r="AT177" s="605" t="s">
        <v>816</v>
      </c>
      <c r="AU177" s="606">
        <f t="shared" si="107"/>
        <v>0</v>
      </c>
      <c r="AV177" s="604" t="s">
        <v>816</v>
      </c>
      <c r="AW177" s="605" t="s">
        <v>816</v>
      </c>
      <c r="AX177" s="605" t="s">
        <v>816</v>
      </c>
      <c r="AY177" s="605" t="s">
        <v>816</v>
      </c>
      <c r="AZ177" s="605" t="s">
        <v>816</v>
      </c>
      <c r="BA177" s="606">
        <f t="shared" si="108"/>
        <v>0</v>
      </c>
      <c r="BB177" s="604" t="s">
        <v>816</v>
      </c>
      <c r="BC177" s="605" t="s">
        <v>816</v>
      </c>
      <c r="BD177" s="605" t="s">
        <v>816</v>
      </c>
      <c r="BE177" s="605" t="s">
        <v>816</v>
      </c>
      <c r="BF177" s="605" t="s">
        <v>816</v>
      </c>
      <c r="BG177" s="605" t="s">
        <v>816</v>
      </c>
      <c r="BH177" s="605" t="s">
        <v>816</v>
      </c>
      <c r="BI177" s="606">
        <f t="shared" si="109"/>
        <v>0</v>
      </c>
      <c r="BJ177" s="551">
        <f t="shared" si="110"/>
        <v>0</v>
      </c>
      <c r="BK177" s="607"/>
      <c r="BL177" s="608"/>
      <c r="BM177" s="608"/>
      <c r="BN177" s="608"/>
      <c r="BO177" s="557">
        <f t="shared" si="111"/>
        <v>0</v>
      </c>
      <c r="BP177" s="607"/>
      <c r="BQ177" s="608"/>
      <c r="BR177" s="608"/>
      <c r="BS177" s="557">
        <f t="shared" si="120"/>
        <v>0</v>
      </c>
      <c r="BT177" s="607"/>
      <c r="BU177" s="557">
        <f t="shared" si="112"/>
        <v>0</v>
      </c>
      <c r="BV177" s="607"/>
      <c r="BW177" s="608"/>
      <c r="BX177" s="608"/>
      <c r="BY177" s="608"/>
      <c r="BZ177" s="608"/>
      <c r="CA177" s="608"/>
      <c r="CB177" s="608"/>
      <c r="CC177" s="608"/>
      <c r="CD177" s="608"/>
      <c r="CE177" s="557">
        <f t="shared" si="113"/>
        <v>0</v>
      </c>
      <c r="CF177" s="607"/>
      <c r="CG177" s="608"/>
      <c r="CH177" s="608"/>
      <c r="CI177" s="608"/>
      <c r="CJ177" s="608"/>
      <c r="CK177" s="608"/>
      <c r="CL177" s="608"/>
      <c r="CM177" s="557">
        <f t="shared" si="114"/>
        <v>0</v>
      </c>
      <c r="CN177" s="607"/>
      <c r="CO177" s="609">
        <f t="shared" si="115"/>
        <v>0</v>
      </c>
      <c r="CP177" s="610">
        <f t="shared" si="98"/>
        <v>0</v>
      </c>
      <c r="CQ177" s="545"/>
      <c r="CR177" s="546"/>
      <c r="CS177" s="544">
        <f t="shared" si="116"/>
        <v>0</v>
      </c>
      <c r="CT177" s="545"/>
      <c r="CU177" s="546"/>
      <c r="CV177" s="546"/>
      <c r="CW177" s="544">
        <f t="shared" si="117"/>
        <v>0</v>
      </c>
      <c r="CX177" s="547">
        <f t="shared" si="118"/>
        <v>0</v>
      </c>
      <c r="CY177" s="611">
        <f t="shared" si="119"/>
        <v>0</v>
      </c>
    </row>
    <row r="178" spans="1:103" s="561" customFormat="1">
      <c r="A178" s="538">
        <v>169</v>
      </c>
      <c r="B178" s="602" t="s">
        <v>1008</v>
      </c>
      <c r="C178" s="603" t="s">
        <v>1009</v>
      </c>
      <c r="D178" s="541" t="s">
        <v>827</v>
      </c>
      <c r="E178" s="545">
        <v>5402.9430000000002</v>
      </c>
      <c r="F178" s="546">
        <v>2717.55</v>
      </c>
      <c r="G178" s="546">
        <v>729</v>
      </c>
      <c r="H178" s="546">
        <v>6886.4579999999996</v>
      </c>
      <c r="I178" s="544">
        <f t="shared" si="99"/>
        <v>15735.951000000001</v>
      </c>
      <c r="J178" s="545">
        <v>8140</v>
      </c>
      <c r="K178" s="546">
        <v>16276</v>
      </c>
      <c r="L178" s="546">
        <v>8136</v>
      </c>
      <c r="M178" s="546">
        <v>8140</v>
      </c>
      <c r="N178" s="544">
        <f t="shared" si="100"/>
        <v>40692</v>
      </c>
      <c r="O178" s="545">
        <v>21448</v>
      </c>
      <c r="P178" s="546">
        <v>20700</v>
      </c>
      <c r="Q178" s="544">
        <f t="shared" si="101"/>
        <v>42148</v>
      </c>
      <c r="R178" s="545">
        <v>1863</v>
      </c>
      <c r="S178" s="546">
        <v>567</v>
      </c>
      <c r="T178" s="546">
        <v>810</v>
      </c>
      <c r="U178" s="546">
        <v>2956.5</v>
      </c>
      <c r="V178" s="546">
        <v>2551.5</v>
      </c>
      <c r="W178" s="546">
        <v>486</v>
      </c>
      <c r="X178" s="544">
        <f t="shared" si="102"/>
        <v>9234</v>
      </c>
      <c r="Y178" s="545">
        <v>4455</v>
      </c>
      <c r="Z178" s="546">
        <v>2268</v>
      </c>
      <c r="AA178" s="546">
        <v>5670</v>
      </c>
      <c r="AB178" s="544">
        <f t="shared" si="103"/>
        <v>12393</v>
      </c>
      <c r="AC178" s="547">
        <f t="shared" si="104"/>
        <v>120202.951</v>
      </c>
      <c r="AD178" s="604">
        <v>4981</v>
      </c>
      <c r="AE178" s="605">
        <v>3644</v>
      </c>
      <c r="AF178" s="606">
        <f t="shared" si="105"/>
        <v>8625</v>
      </c>
      <c r="AG178" s="604">
        <v>1313</v>
      </c>
      <c r="AH178" s="605">
        <v>0</v>
      </c>
      <c r="AI178" s="605">
        <v>0</v>
      </c>
      <c r="AJ178" s="605">
        <v>0</v>
      </c>
      <c r="AK178" s="605">
        <v>607</v>
      </c>
      <c r="AL178" s="605">
        <v>0</v>
      </c>
      <c r="AM178" s="605">
        <v>3564</v>
      </c>
      <c r="AN178" s="605">
        <v>0</v>
      </c>
      <c r="AO178" s="605">
        <v>303</v>
      </c>
      <c r="AP178" s="605">
        <v>0</v>
      </c>
      <c r="AQ178" s="606">
        <f t="shared" si="106"/>
        <v>5787</v>
      </c>
      <c r="AR178" s="604">
        <v>12798</v>
      </c>
      <c r="AS178" s="605">
        <v>10165</v>
      </c>
      <c r="AT178" s="605">
        <v>2349</v>
      </c>
      <c r="AU178" s="606">
        <f t="shared" si="107"/>
        <v>25312</v>
      </c>
      <c r="AV178" s="604">
        <v>870</v>
      </c>
      <c r="AW178" s="605">
        <v>0</v>
      </c>
      <c r="AX178" s="605">
        <v>688</v>
      </c>
      <c r="AY178" s="605">
        <v>0</v>
      </c>
      <c r="AZ178" s="605">
        <v>284</v>
      </c>
      <c r="BA178" s="606">
        <f t="shared" si="108"/>
        <v>1842</v>
      </c>
      <c r="BB178" s="604">
        <v>0</v>
      </c>
      <c r="BC178" s="605">
        <v>222</v>
      </c>
      <c r="BD178" s="605">
        <v>7371</v>
      </c>
      <c r="BE178" s="605">
        <v>0</v>
      </c>
      <c r="BF178" s="605">
        <v>1336</v>
      </c>
      <c r="BG178" s="605">
        <v>2478</v>
      </c>
      <c r="BH178" s="605">
        <v>0</v>
      </c>
      <c r="BI178" s="606">
        <f t="shared" si="109"/>
        <v>11407</v>
      </c>
      <c r="BJ178" s="551">
        <f t="shared" si="110"/>
        <v>52973</v>
      </c>
      <c r="BK178" s="607">
        <v>8505</v>
      </c>
      <c r="BL178" s="608">
        <v>19035</v>
      </c>
      <c r="BM178" s="608">
        <v>5791.5</v>
      </c>
      <c r="BN178" s="608">
        <v>765.45</v>
      </c>
      <c r="BO178" s="557">
        <f t="shared" si="111"/>
        <v>34096.949999999997</v>
      </c>
      <c r="BP178" s="607">
        <v>2430</v>
      </c>
      <c r="BQ178" s="608">
        <v>2146.5</v>
      </c>
      <c r="BR178" s="608">
        <v>4333.5</v>
      </c>
      <c r="BS178" s="557">
        <f t="shared" si="120"/>
        <v>8910</v>
      </c>
      <c r="BT178" s="607">
        <v>3159</v>
      </c>
      <c r="BU178" s="557">
        <f t="shared" si="112"/>
        <v>3159</v>
      </c>
      <c r="BV178" s="607">
        <v>1093.5</v>
      </c>
      <c r="BW178" s="608">
        <v>6318</v>
      </c>
      <c r="BX178" s="608">
        <v>4328</v>
      </c>
      <c r="BY178" s="608">
        <v>2511</v>
      </c>
      <c r="BZ178" s="608">
        <v>1366</v>
      </c>
      <c r="CA178" s="608">
        <v>14540</v>
      </c>
      <c r="CB178" s="608">
        <v>1620</v>
      </c>
      <c r="CC178" s="608">
        <v>729</v>
      </c>
      <c r="CD178" s="608">
        <v>1113.75</v>
      </c>
      <c r="CE178" s="557">
        <f t="shared" si="113"/>
        <v>33619.25</v>
      </c>
      <c r="CF178" s="607"/>
      <c r="CG178" s="608">
        <v>12758</v>
      </c>
      <c r="CH178" s="608">
        <v>1499</v>
      </c>
      <c r="CI178" s="608">
        <v>729</v>
      </c>
      <c r="CJ178" s="608">
        <v>446</v>
      </c>
      <c r="CK178" s="608">
        <v>446</v>
      </c>
      <c r="CL178" s="608">
        <v>205.5</v>
      </c>
      <c r="CM178" s="557">
        <f t="shared" si="114"/>
        <v>16083.5</v>
      </c>
      <c r="CN178" s="607">
        <v>73</v>
      </c>
      <c r="CO178" s="609">
        <f t="shared" si="115"/>
        <v>73</v>
      </c>
      <c r="CP178" s="610">
        <f t="shared" si="98"/>
        <v>95941.7</v>
      </c>
      <c r="CQ178" s="545"/>
      <c r="CR178" s="546"/>
      <c r="CS178" s="544">
        <f t="shared" si="116"/>
        <v>0</v>
      </c>
      <c r="CT178" s="545"/>
      <c r="CU178" s="546"/>
      <c r="CV178" s="546"/>
      <c r="CW178" s="544">
        <f t="shared" si="117"/>
        <v>0</v>
      </c>
      <c r="CX178" s="547">
        <f t="shared" si="118"/>
        <v>0</v>
      </c>
      <c r="CY178" s="611">
        <f t="shared" si="119"/>
        <v>269117.65100000001</v>
      </c>
    </row>
    <row r="179" spans="1:103" s="561" customFormat="1">
      <c r="A179" s="538">
        <v>170</v>
      </c>
      <c r="B179" s="602" t="s">
        <v>1010</v>
      </c>
      <c r="C179" s="603" t="s">
        <v>1011</v>
      </c>
      <c r="D179" s="541" t="s">
        <v>103</v>
      </c>
      <c r="E179" s="545">
        <v>0</v>
      </c>
      <c r="F179" s="546">
        <v>0</v>
      </c>
      <c r="G179" s="546">
        <v>0</v>
      </c>
      <c r="H179" s="546">
        <v>0</v>
      </c>
      <c r="I179" s="544">
        <f t="shared" si="99"/>
        <v>0</v>
      </c>
      <c r="J179" s="545">
        <v>0</v>
      </c>
      <c r="K179" s="546">
        <v>0</v>
      </c>
      <c r="L179" s="546">
        <v>0</v>
      </c>
      <c r="M179" s="546">
        <v>0</v>
      </c>
      <c r="N179" s="544">
        <f t="shared" si="100"/>
        <v>0</v>
      </c>
      <c r="O179" s="545">
        <v>0</v>
      </c>
      <c r="P179" s="546">
        <v>0</v>
      </c>
      <c r="Q179" s="544">
        <f t="shared" si="101"/>
        <v>0</v>
      </c>
      <c r="R179" s="545">
        <v>0</v>
      </c>
      <c r="S179" s="546">
        <v>0</v>
      </c>
      <c r="T179" s="546">
        <v>0</v>
      </c>
      <c r="U179" s="546">
        <v>0</v>
      </c>
      <c r="V179" s="546">
        <v>0</v>
      </c>
      <c r="W179" s="546">
        <v>0</v>
      </c>
      <c r="X179" s="544">
        <f t="shared" si="102"/>
        <v>0</v>
      </c>
      <c r="Y179" s="545">
        <v>1.6005</v>
      </c>
      <c r="Z179" s="546">
        <v>0.81479999999999997</v>
      </c>
      <c r="AA179" s="546">
        <v>2.0369999999999999</v>
      </c>
      <c r="AB179" s="544">
        <f t="shared" si="103"/>
        <v>4.4523000000000001</v>
      </c>
      <c r="AC179" s="547">
        <f t="shared" si="104"/>
        <v>4.4523000000000001</v>
      </c>
      <c r="AD179" s="604">
        <v>0</v>
      </c>
      <c r="AE179" s="605">
        <v>0</v>
      </c>
      <c r="AF179" s="606">
        <f t="shared" si="105"/>
        <v>0</v>
      </c>
      <c r="AG179" s="604">
        <v>0</v>
      </c>
      <c r="AH179" s="605">
        <v>0</v>
      </c>
      <c r="AI179" s="605">
        <v>0</v>
      </c>
      <c r="AJ179" s="605">
        <v>0</v>
      </c>
      <c r="AK179" s="605">
        <v>0</v>
      </c>
      <c r="AL179" s="605">
        <v>0</v>
      </c>
      <c r="AM179" s="605">
        <v>0</v>
      </c>
      <c r="AN179" s="605">
        <v>0</v>
      </c>
      <c r="AO179" s="605">
        <v>0</v>
      </c>
      <c r="AP179" s="605">
        <v>0</v>
      </c>
      <c r="AQ179" s="606">
        <f t="shared" si="106"/>
        <v>0</v>
      </c>
      <c r="AR179" s="604">
        <v>0</v>
      </c>
      <c r="AS179" s="605">
        <v>0</v>
      </c>
      <c r="AT179" s="605">
        <v>0</v>
      </c>
      <c r="AU179" s="606">
        <f t="shared" si="107"/>
        <v>0</v>
      </c>
      <c r="AV179" s="604">
        <v>0</v>
      </c>
      <c r="AW179" s="605">
        <v>0</v>
      </c>
      <c r="AX179" s="605">
        <v>0</v>
      </c>
      <c r="AY179" s="605">
        <v>0</v>
      </c>
      <c r="AZ179" s="605">
        <v>0</v>
      </c>
      <c r="BA179" s="606">
        <f t="shared" si="108"/>
        <v>0</v>
      </c>
      <c r="BB179" s="604">
        <v>0</v>
      </c>
      <c r="BC179" s="605">
        <v>0</v>
      </c>
      <c r="BD179" s="605">
        <v>0</v>
      </c>
      <c r="BE179" s="605">
        <v>0</v>
      </c>
      <c r="BF179" s="605">
        <v>0</v>
      </c>
      <c r="BG179" s="605">
        <v>0</v>
      </c>
      <c r="BH179" s="605">
        <v>0</v>
      </c>
      <c r="BI179" s="606">
        <f t="shared" si="109"/>
        <v>0</v>
      </c>
      <c r="BJ179" s="551">
        <f t="shared" si="110"/>
        <v>0</v>
      </c>
      <c r="BK179" s="607"/>
      <c r="BL179" s="608"/>
      <c r="BM179" s="608"/>
      <c r="BN179" s="608"/>
      <c r="BO179" s="557">
        <f t="shared" si="111"/>
        <v>0</v>
      </c>
      <c r="BP179" s="607"/>
      <c r="BQ179" s="608"/>
      <c r="BR179" s="608"/>
      <c r="BS179" s="557">
        <f t="shared" si="120"/>
        <v>0</v>
      </c>
      <c r="BT179" s="607"/>
      <c r="BU179" s="557">
        <f t="shared" si="112"/>
        <v>0</v>
      </c>
      <c r="BV179" s="607"/>
      <c r="BW179" s="608"/>
      <c r="BX179" s="608"/>
      <c r="BY179" s="608"/>
      <c r="BZ179" s="608"/>
      <c r="CA179" s="608"/>
      <c r="CB179" s="608"/>
      <c r="CC179" s="608"/>
      <c r="CD179" s="608"/>
      <c r="CE179" s="557">
        <f t="shared" si="113"/>
        <v>0</v>
      </c>
      <c r="CF179" s="607"/>
      <c r="CG179" s="608"/>
      <c r="CH179" s="608"/>
      <c r="CI179" s="608"/>
      <c r="CJ179" s="608"/>
      <c r="CK179" s="608"/>
      <c r="CL179" s="608"/>
      <c r="CM179" s="557">
        <f t="shared" si="114"/>
        <v>0</v>
      </c>
      <c r="CN179" s="607"/>
      <c r="CO179" s="609">
        <f t="shared" si="115"/>
        <v>0</v>
      </c>
      <c r="CP179" s="610">
        <f t="shared" si="98"/>
        <v>0</v>
      </c>
      <c r="CQ179" s="545"/>
      <c r="CR179" s="546"/>
      <c r="CS179" s="544">
        <f t="shared" si="116"/>
        <v>0</v>
      </c>
      <c r="CT179" s="545"/>
      <c r="CU179" s="546"/>
      <c r="CV179" s="546"/>
      <c r="CW179" s="544">
        <f t="shared" si="117"/>
        <v>0</v>
      </c>
      <c r="CX179" s="547">
        <f t="shared" si="118"/>
        <v>0</v>
      </c>
      <c r="CY179" s="611">
        <f t="shared" si="119"/>
        <v>4.4523000000000001</v>
      </c>
    </row>
    <row r="180" spans="1:103" s="561" customFormat="1">
      <c r="A180" s="538">
        <v>171</v>
      </c>
      <c r="B180" s="539" t="s">
        <v>1012</v>
      </c>
      <c r="C180" s="603" t="s">
        <v>1013</v>
      </c>
      <c r="D180" s="541" t="s">
        <v>827</v>
      </c>
      <c r="E180" s="545">
        <v>1</v>
      </c>
      <c r="F180" s="546">
        <v>0</v>
      </c>
      <c r="G180" s="546">
        <v>0</v>
      </c>
      <c r="H180" s="546">
        <v>1</v>
      </c>
      <c r="I180" s="544">
        <f t="shared" si="99"/>
        <v>2</v>
      </c>
      <c r="J180" s="545">
        <v>1</v>
      </c>
      <c r="K180" s="546">
        <v>1</v>
      </c>
      <c r="L180" s="546">
        <v>1</v>
      </c>
      <c r="M180" s="546">
        <v>1</v>
      </c>
      <c r="N180" s="544">
        <f t="shared" si="100"/>
        <v>4</v>
      </c>
      <c r="O180" s="545">
        <v>0</v>
      </c>
      <c r="P180" s="546">
        <v>0</v>
      </c>
      <c r="Q180" s="544">
        <f t="shared" si="101"/>
        <v>0</v>
      </c>
      <c r="R180" s="545">
        <v>0</v>
      </c>
      <c r="S180" s="546">
        <v>0</v>
      </c>
      <c r="T180" s="546">
        <v>0</v>
      </c>
      <c r="U180" s="546">
        <v>1</v>
      </c>
      <c r="V180" s="546">
        <v>0</v>
      </c>
      <c r="W180" s="546">
        <v>0</v>
      </c>
      <c r="X180" s="544">
        <f t="shared" si="102"/>
        <v>1</v>
      </c>
      <c r="Y180" s="545">
        <v>1</v>
      </c>
      <c r="Z180" s="546">
        <v>0</v>
      </c>
      <c r="AA180" s="546">
        <v>0</v>
      </c>
      <c r="AB180" s="544">
        <f t="shared" si="103"/>
        <v>1</v>
      </c>
      <c r="AC180" s="547">
        <f t="shared" si="104"/>
        <v>8</v>
      </c>
      <c r="AD180" s="604">
        <v>0</v>
      </c>
      <c r="AE180" s="605">
        <v>0</v>
      </c>
      <c r="AF180" s="606">
        <f t="shared" si="105"/>
        <v>0</v>
      </c>
      <c r="AG180" s="604">
        <v>0</v>
      </c>
      <c r="AH180" s="605">
        <v>0</v>
      </c>
      <c r="AI180" s="605">
        <v>0</v>
      </c>
      <c r="AJ180" s="605">
        <v>0</v>
      </c>
      <c r="AK180" s="605">
        <v>0</v>
      </c>
      <c r="AL180" s="605">
        <v>0</v>
      </c>
      <c r="AM180" s="605">
        <v>0</v>
      </c>
      <c r="AN180" s="605">
        <v>0</v>
      </c>
      <c r="AO180" s="605">
        <v>0</v>
      </c>
      <c r="AP180" s="605">
        <v>0</v>
      </c>
      <c r="AQ180" s="606">
        <f t="shared" si="106"/>
        <v>0</v>
      </c>
      <c r="AR180" s="604">
        <v>0</v>
      </c>
      <c r="AS180" s="605">
        <v>0</v>
      </c>
      <c r="AT180" s="605">
        <v>0</v>
      </c>
      <c r="AU180" s="606">
        <f t="shared" si="107"/>
        <v>0</v>
      </c>
      <c r="AV180" s="604">
        <v>0</v>
      </c>
      <c r="AW180" s="605">
        <v>0</v>
      </c>
      <c r="AX180" s="605">
        <v>0</v>
      </c>
      <c r="AY180" s="605">
        <v>0</v>
      </c>
      <c r="AZ180" s="605">
        <v>0</v>
      </c>
      <c r="BA180" s="606">
        <f t="shared" si="108"/>
        <v>0</v>
      </c>
      <c r="BB180" s="604">
        <v>0</v>
      </c>
      <c r="BC180" s="605">
        <v>0</v>
      </c>
      <c r="BD180" s="605">
        <v>0</v>
      </c>
      <c r="BE180" s="605">
        <v>0</v>
      </c>
      <c r="BF180" s="605">
        <v>0</v>
      </c>
      <c r="BG180" s="605">
        <v>0</v>
      </c>
      <c r="BH180" s="605">
        <v>0</v>
      </c>
      <c r="BI180" s="606">
        <f t="shared" si="109"/>
        <v>0</v>
      </c>
      <c r="BJ180" s="551">
        <f t="shared" si="110"/>
        <v>0</v>
      </c>
      <c r="BK180" s="607"/>
      <c r="BL180" s="608"/>
      <c r="BM180" s="608"/>
      <c r="BN180" s="608"/>
      <c r="BO180" s="557">
        <f t="shared" si="111"/>
        <v>0</v>
      </c>
      <c r="BP180" s="607">
        <v>1</v>
      </c>
      <c r="BQ180" s="608"/>
      <c r="BR180" s="608"/>
      <c r="BS180" s="557">
        <f t="shared" si="120"/>
        <v>1</v>
      </c>
      <c r="BT180" s="607"/>
      <c r="BU180" s="557">
        <f t="shared" si="112"/>
        <v>0</v>
      </c>
      <c r="BV180" s="607"/>
      <c r="BW180" s="608"/>
      <c r="BX180" s="608"/>
      <c r="BY180" s="608"/>
      <c r="BZ180" s="608"/>
      <c r="CA180" s="608"/>
      <c r="CB180" s="608"/>
      <c r="CC180" s="608"/>
      <c r="CD180" s="608"/>
      <c r="CE180" s="557">
        <f t="shared" si="113"/>
        <v>0</v>
      </c>
      <c r="CF180" s="607"/>
      <c r="CG180" s="608"/>
      <c r="CH180" s="608"/>
      <c r="CI180" s="608"/>
      <c r="CJ180" s="608"/>
      <c r="CK180" s="608"/>
      <c r="CL180" s="608"/>
      <c r="CM180" s="557">
        <f t="shared" si="114"/>
        <v>0</v>
      </c>
      <c r="CN180" s="607"/>
      <c r="CO180" s="609">
        <f t="shared" si="115"/>
        <v>0</v>
      </c>
      <c r="CP180" s="610">
        <f t="shared" si="98"/>
        <v>1</v>
      </c>
      <c r="CQ180" s="545"/>
      <c r="CR180" s="546"/>
      <c r="CS180" s="544">
        <f t="shared" si="116"/>
        <v>0</v>
      </c>
      <c r="CT180" s="545"/>
      <c r="CU180" s="546"/>
      <c r="CV180" s="546"/>
      <c r="CW180" s="544">
        <f t="shared" si="117"/>
        <v>0</v>
      </c>
      <c r="CX180" s="547">
        <f t="shared" si="118"/>
        <v>0</v>
      </c>
      <c r="CY180" s="611">
        <f t="shared" si="119"/>
        <v>9</v>
      </c>
    </row>
    <row r="181" spans="1:103" s="561" customFormat="1">
      <c r="A181" s="538">
        <v>172</v>
      </c>
      <c r="B181" s="539" t="s">
        <v>1012</v>
      </c>
      <c r="C181" s="603" t="s">
        <v>1014</v>
      </c>
      <c r="D181" s="541" t="s">
        <v>81</v>
      </c>
      <c r="E181" s="545">
        <v>1334.06</v>
      </c>
      <c r="F181" s="546">
        <v>671</v>
      </c>
      <c r="G181" s="546">
        <v>180</v>
      </c>
      <c r="H181" s="546">
        <v>1700.36</v>
      </c>
      <c r="I181" s="544">
        <f t="shared" si="99"/>
        <v>3885.42</v>
      </c>
      <c r="J181" s="545">
        <v>2035</v>
      </c>
      <c r="K181" s="546">
        <v>4069</v>
      </c>
      <c r="L181" s="546">
        <v>2034</v>
      </c>
      <c r="M181" s="546">
        <v>2035</v>
      </c>
      <c r="N181" s="544">
        <f t="shared" si="100"/>
        <v>10173</v>
      </c>
      <c r="O181" s="545">
        <v>1532</v>
      </c>
      <c r="P181" s="546">
        <v>2070</v>
      </c>
      <c r="Q181" s="544">
        <f t="shared" si="101"/>
        <v>3602</v>
      </c>
      <c r="R181" s="545">
        <v>460</v>
      </c>
      <c r="S181" s="546">
        <v>140</v>
      </c>
      <c r="T181" s="546">
        <v>200</v>
      </c>
      <c r="U181" s="546">
        <v>738.5</v>
      </c>
      <c r="V181" s="546">
        <v>630</v>
      </c>
      <c r="W181" s="546">
        <v>120</v>
      </c>
      <c r="X181" s="544">
        <f t="shared" si="102"/>
        <v>2288.5</v>
      </c>
      <c r="Y181" s="545">
        <v>1100</v>
      </c>
      <c r="Z181" s="546">
        <v>560</v>
      </c>
      <c r="AA181" s="546">
        <v>1400</v>
      </c>
      <c r="AB181" s="544">
        <f t="shared" si="103"/>
        <v>3060</v>
      </c>
      <c r="AC181" s="547">
        <f t="shared" si="104"/>
        <v>23008.92</v>
      </c>
      <c r="AD181" s="604">
        <v>1359</v>
      </c>
      <c r="AE181" s="605">
        <v>900</v>
      </c>
      <c r="AF181" s="606">
        <f t="shared" si="105"/>
        <v>2259</v>
      </c>
      <c r="AG181" s="604">
        <v>355.2</v>
      </c>
      <c r="AH181" s="605">
        <v>5835.35</v>
      </c>
      <c r="AI181" s="605">
        <v>843</v>
      </c>
      <c r="AJ181" s="605">
        <v>36.879999999999995</v>
      </c>
      <c r="AK181" s="605">
        <v>150</v>
      </c>
      <c r="AL181" s="605">
        <v>37</v>
      </c>
      <c r="AM181" s="605">
        <v>906</v>
      </c>
      <c r="AN181" s="605">
        <v>1744.3899999999999</v>
      </c>
      <c r="AO181" s="605">
        <v>94.570000000000007</v>
      </c>
      <c r="AP181" s="605">
        <v>190</v>
      </c>
      <c r="AQ181" s="606">
        <f t="shared" si="106"/>
        <v>10192.39</v>
      </c>
      <c r="AR181" s="604">
        <v>3148.14</v>
      </c>
      <c r="AS181" s="605">
        <v>2515.52</v>
      </c>
      <c r="AT181" s="605">
        <v>580</v>
      </c>
      <c r="AU181" s="606">
        <f t="shared" si="107"/>
        <v>6243.66</v>
      </c>
      <c r="AV181" s="604">
        <v>22</v>
      </c>
      <c r="AW181" s="605">
        <v>2225</v>
      </c>
      <c r="AX181" s="605">
        <v>50</v>
      </c>
      <c r="AY181" s="605">
        <v>1450</v>
      </c>
      <c r="AZ181" s="605">
        <v>70</v>
      </c>
      <c r="BA181" s="606">
        <f t="shared" si="108"/>
        <v>3817</v>
      </c>
      <c r="BB181" s="604">
        <v>2080</v>
      </c>
      <c r="BC181" s="605">
        <v>55</v>
      </c>
      <c r="BD181" s="605">
        <v>520</v>
      </c>
      <c r="BE181" s="605">
        <v>1400</v>
      </c>
      <c r="BF181" s="605">
        <v>330</v>
      </c>
      <c r="BG181" s="605">
        <v>55</v>
      </c>
      <c r="BH181" s="605">
        <v>130</v>
      </c>
      <c r="BI181" s="606">
        <f t="shared" si="109"/>
        <v>4570</v>
      </c>
      <c r="BJ181" s="551">
        <f t="shared" si="110"/>
        <v>27082.05</v>
      </c>
      <c r="BK181" s="607">
        <v>2100</v>
      </c>
      <c r="BL181" s="608">
        <v>4700</v>
      </c>
      <c r="BM181" s="608">
        <v>1430</v>
      </c>
      <c r="BN181" s="608">
        <v>1430</v>
      </c>
      <c r="BO181" s="557">
        <f t="shared" si="111"/>
        <v>9660</v>
      </c>
      <c r="BP181" s="607">
        <v>600</v>
      </c>
      <c r="BQ181" s="608">
        <v>530</v>
      </c>
      <c r="BR181" s="608">
        <v>1070</v>
      </c>
      <c r="BS181" s="557">
        <f t="shared" si="120"/>
        <v>2200</v>
      </c>
      <c r="BT181" s="607">
        <v>780</v>
      </c>
      <c r="BU181" s="557">
        <f t="shared" si="112"/>
        <v>780</v>
      </c>
      <c r="BV181" s="607">
        <v>270</v>
      </c>
      <c r="BW181" s="608">
        <v>1560.1</v>
      </c>
      <c r="BX181" s="608">
        <v>1068.6600000000001</v>
      </c>
      <c r="BY181" s="608">
        <v>620</v>
      </c>
      <c r="BZ181" s="608">
        <v>337.17</v>
      </c>
      <c r="CA181" s="608">
        <v>3590</v>
      </c>
      <c r="CB181" s="608">
        <v>400</v>
      </c>
      <c r="CC181" s="608">
        <v>180</v>
      </c>
      <c r="CD181" s="608">
        <v>275</v>
      </c>
      <c r="CE181" s="557">
        <f t="shared" si="113"/>
        <v>8300.93</v>
      </c>
      <c r="CF181" s="607"/>
      <c r="CG181" s="608">
        <v>3150</v>
      </c>
      <c r="CH181" s="608">
        <v>370</v>
      </c>
      <c r="CI181" s="608">
        <v>180</v>
      </c>
      <c r="CJ181" s="608">
        <v>110</v>
      </c>
      <c r="CK181" s="608">
        <v>110</v>
      </c>
      <c r="CL181" s="608">
        <v>50</v>
      </c>
      <c r="CM181" s="557">
        <f t="shared" si="114"/>
        <v>3970</v>
      </c>
      <c r="CN181" s="607">
        <v>240</v>
      </c>
      <c r="CO181" s="609">
        <f t="shared" si="115"/>
        <v>240</v>
      </c>
      <c r="CP181" s="610">
        <f t="shared" si="98"/>
        <v>25150.93</v>
      </c>
      <c r="CQ181" s="545"/>
      <c r="CR181" s="546"/>
      <c r="CS181" s="544">
        <f t="shared" si="116"/>
        <v>0</v>
      </c>
      <c r="CT181" s="545"/>
      <c r="CU181" s="546"/>
      <c r="CV181" s="546"/>
      <c r="CW181" s="544">
        <f t="shared" si="117"/>
        <v>0</v>
      </c>
      <c r="CX181" s="547">
        <f t="shared" si="118"/>
        <v>0</v>
      </c>
      <c r="CY181" s="611">
        <f t="shared" si="119"/>
        <v>75241.899999999994</v>
      </c>
    </row>
    <row r="182" spans="1:103" s="561" customFormat="1">
      <c r="A182" s="538">
        <v>172</v>
      </c>
      <c r="B182" s="539" t="s">
        <v>1012</v>
      </c>
      <c r="C182" s="603" t="s">
        <v>1015</v>
      </c>
      <c r="D182" s="541" t="s">
        <v>202</v>
      </c>
      <c r="E182" s="545"/>
      <c r="F182" s="546"/>
      <c r="G182" s="546"/>
      <c r="H182" s="546"/>
      <c r="I182" s="544">
        <f t="shared" si="99"/>
        <v>0</v>
      </c>
      <c r="J182" s="545"/>
      <c r="K182" s="546"/>
      <c r="L182" s="546"/>
      <c r="M182" s="546"/>
      <c r="N182" s="544">
        <f t="shared" si="100"/>
        <v>0</v>
      </c>
      <c r="O182" s="545"/>
      <c r="P182" s="546"/>
      <c r="Q182" s="544">
        <f t="shared" si="101"/>
        <v>0</v>
      </c>
      <c r="R182" s="545"/>
      <c r="S182" s="546"/>
      <c r="T182" s="546"/>
      <c r="U182" s="546"/>
      <c r="V182" s="546"/>
      <c r="W182" s="546"/>
      <c r="X182" s="544">
        <f t="shared" si="102"/>
        <v>0</v>
      </c>
      <c r="Y182" s="545"/>
      <c r="Z182" s="546"/>
      <c r="AA182" s="546"/>
      <c r="AB182" s="544">
        <f t="shared" si="103"/>
        <v>0</v>
      </c>
      <c r="AC182" s="547">
        <f t="shared" si="104"/>
        <v>0</v>
      </c>
      <c r="AD182" s="604"/>
      <c r="AE182" s="605"/>
      <c r="AF182" s="606">
        <f t="shared" si="105"/>
        <v>0</v>
      </c>
      <c r="AG182" s="604"/>
      <c r="AH182" s="605"/>
      <c r="AI182" s="605"/>
      <c r="AJ182" s="605"/>
      <c r="AK182" s="605"/>
      <c r="AL182" s="605"/>
      <c r="AM182" s="605"/>
      <c r="AN182" s="605"/>
      <c r="AO182" s="605"/>
      <c r="AP182" s="605"/>
      <c r="AQ182" s="606">
        <f t="shared" si="106"/>
        <v>0</v>
      </c>
      <c r="AR182" s="604"/>
      <c r="AS182" s="605"/>
      <c r="AT182" s="605"/>
      <c r="AU182" s="606">
        <f t="shared" si="107"/>
        <v>0</v>
      </c>
      <c r="AV182" s="604"/>
      <c r="AW182" s="605"/>
      <c r="AX182" s="605"/>
      <c r="AY182" s="605"/>
      <c r="AZ182" s="605"/>
      <c r="BA182" s="606">
        <f t="shared" si="108"/>
        <v>0</v>
      </c>
      <c r="BB182" s="604"/>
      <c r="BC182" s="605"/>
      <c r="BD182" s="605"/>
      <c r="BE182" s="605"/>
      <c r="BF182" s="605"/>
      <c r="BG182" s="605"/>
      <c r="BH182" s="605"/>
      <c r="BI182" s="606">
        <f t="shared" si="109"/>
        <v>0</v>
      </c>
      <c r="BJ182" s="551">
        <f t="shared" si="110"/>
        <v>0</v>
      </c>
      <c r="BK182" s="607"/>
      <c r="BL182" s="608"/>
      <c r="BM182" s="608"/>
      <c r="BN182" s="608"/>
      <c r="BO182" s="557">
        <f t="shared" si="111"/>
        <v>0</v>
      </c>
      <c r="BP182" s="607"/>
      <c r="BQ182" s="608"/>
      <c r="BR182" s="608"/>
      <c r="BS182" s="557">
        <f t="shared" si="120"/>
        <v>0</v>
      </c>
      <c r="BT182" s="607"/>
      <c r="BU182" s="557">
        <f t="shared" si="112"/>
        <v>0</v>
      </c>
      <c r="BV182" s="607"/>
      <c r="BW182" s="608"/>
      <c r="BX182" s="608"/>
      <c r="BY182" s="608"/>
      <c r="BZ182" s="608"/>
      <c r="CA182" s="608"/>
      <c r="CB182" s="608"/>
      <c r="CC182" s="608"/>
      <c r="CD182" s="608"/>
      <c r="CE182" s="557">
        <f t="shared" si="113"/>
        <v>0</v>
      </c>
      <c r="CF182" s="607"/>
      <c r="CG182" s="608"/>
      <c r="CH182" s="608"/>
      <c r="CI182" s="608"/>
      <c r="CJ182" s="608"/>
      <c r="CK182" s="608"/>
      <c r="CL182" s="608"/>
      <c r="CM182" s="557">
        <f t="shared" si="114"/>
        <v>0</v>
      </c>
      <c r="CN182" s="607"/>
      <c r="CO182" s="609"/>
      <c r="CP182" s="610">
        <f t="shared" si="98"/>
        <v>0</v>
      </c>
      <c r="CQ182" s="545">
        <v>2</v>
      </c>
      <c r="CR182" s="546">
        <v>1</v>
      </c>
      <c r="CS182" s="544">
        <f t="shared" si="116"/>
        <v>3</v>
      </c>
      <c r="CT182" s="545"/>
      <c r="CU182" s="546"/>
      <c r="CV182" s="546">
        <v>1</v>
      </c>
      <c r="CW182" s="544">
        <f t="shared" si="117"/>
        <v>1</v>
      </c>
      <c r="CX182" s="547">
        <f t="shared" si="118"/>
        <v>4</v>
      </c>
      <c r="CY182" s="611">
        <f t="shared" si="119"/>
        <v>4</v>
      </c>
    </row>
    <row r="183" spans="1:103" s="681" customFormat="1" hidden="1">
      <c r="A183" s="663">
        <v>172</v>
      </c>
      <c r="B183" s="664" t="s">
        <v>1012</v>
      </c>
      <c r="C183" s="665" t="s">
        <v>1016</v>
      </c>
      <c r="D183" s="666" t="s">
        <v>202</v>
      </c>
      <c r="E183" s="667"/>
      <c r="F183" s="668"/>
      <c r="G183" s="668"/>
      <c r="H183" s="668"/>
      <c r="I183" s="669">
        <f t="shared" si="99"/>
        <v>0</v>
      </c>
      <c r="J183" s="667"/>
      <c r="K183" s="668"/>
      <c r="L183" s="668"/>
      <c r="M183" s="668"/>
      <c r="N183" s="669">
        <f t="shared" si="100"/>
        <v>0</v>
      </c>
      <c r="O183" s="667"/>
      <c r="P183" s="668"/>
      <c r="Q183" s="669">
        <f t="shared" si="101"/>
        <v>0</v>
      </c>
      <c r="R183" s="667"/>
      <c r="S183" s="668"/>
      <c r="T183" s="668"/>
      <c r="U183" s="668"/>
      <c r="V183" s="668"/>
      <c r="W183" s="668"/>
      <c r="X183" s="669">
        <f t="shared" si="102"/>
        <v>0</v>
      </c>
      <c r="Y183" s="667"/>
      <c r="Z183" s="668"/>
      <c r="AA183" s="668"/>
      <c r="AB183" s="669"/>
      <c r="AC183" s="670">
        <f t="shared" si="104"/>
        <v>0</v>
      </c>
      <c r="AD183" s="671"/>
      <c r="AE183" s="672"/>
      <c r="AF183" s="673">
        <f t="shared" si="105"/>
        <v>0</v>
      </c>
      <c r="AG183" s="671"/>
      <c r="AH183" s="672"/>
      <c r="AI183" s="672"/>
      <c r="AJ183" s="672"/>
      <c r="AK183" s="672"/>
      <c r="AL183" s="672"/>
      <c r="AM183" s="672"/>
      <c r="AN183" s="672"/>
      <c r="AO183" s="672"/>
      <c r="AP183" s="672"/>
      <c r="AQ183" s="673">
        <f t="shared" si="106"/>
        <v>0</v>
      </c>
      <c r="AR183" s="671"/>
      <c r="AS183" s="672"/>
      <c r="AT183" s="672"/>
      <c r="AU183" s="673">
        <f t="shared" si="107"/>
        <v>0</v>
      </c>
      <c r="AV183" s="671"/>
      <c r="AW183" s="672"/>
      <c r="AX183" s="672"/>
      <c r="AY183" s="672"/>
      <c r="AZ183" s="672"/>
      <c r="BA183" s="673">
        <f t="shared" si="108"/>
        <v>0</v>
      </c>
      <c r="BB183" s="671"/>
      <c r="BC183" s="672"/>
      <c r="BD183" s="672"/>
      <c r="BE183" s="672"/>
      <c r="BF183" s="672"/>
      <c r="BG183" s="672"/>
      <c r="BH183" s="672"/>
      <c r="BI183" s="673">
        <f t="shared" si="109"/>
        <v>0</v>
      </c>
      <c r="BJ183" s="674">
        <f t="shared" si="110"/>
        <v>0</v>
      </c>
      <c r="BK183" s="675"/>
      <c r="BL183" s="676"/>
      <c r="BM183" s="676"/>
      <c r="BN183" s="676"/>
      <c r="BO183" s="677">
        <f t="shared" si="111"/>
        <v>0</v>
      </c>
      <c r="BP183" s="675"/>
      <c r="BQ183" s="676"/>
      <c r="BR183" s="676"/>
      <c r="BS183" s="677">
        <f t="shared" si="120"/>
        <v>0</v>
      </c>
      <c r="BT183" s="675"/>
      <c r="BU183" s="677">
        <f t="shared" si="112"/>
        <v>0</v>
      </c>
      <c r="BV183" s="675"/>
      <c r="BW183" s="676"/>
      <c r="BX183" s="676"/>
      <c r="BY183" s="676"/>
      <c r="BZ183" s="676"/>
      <c r="CA183" s="676"/>
      <c r="CB183" s="676"/>
      <c r="CC183" s="676"/>
      <c r="CD183" s="676"/>
      <c r="CE183" s="677">
        <f t="shared" si="113"/>
        <v>0</v>
      </c>
      <c r="CF183" s="675"/>
      <c r="CG183" s="676"/>
      <c r="CH183" s="676"/>
      <c r="CI183" s="676"/>
      <c r="CJ183" s="676"/>
      <c r="CK183" s="676"/>
      <c r="CL183" s="676"/>
      <c r="CM183" s="677">
        <f t="shared" si="114"/>
        <v>0</v>
      </c>
      <c r="CN183" s="675"/>
      <c r="CO183" s="678"/>
      <c r="CP183" s="679">
        <f t="shared" si="98"/>
        <v>0</v>
      </c>
      <c r="CQ183" s="667"/>
      <c r="CR183" s="668"/>
      <c r="CS183" s="669">
        <f t="shared" si="116"/>
        <v>0</v>
      </c>
      <c r="CT183" s="667"/>
      <c r="CU183" s="668"/>
      <c r="CV183" s="668"/>
      <c r="CW183" s="669">
        <f t="shared" si="117"/>
        <v>0</v>
      </c>
      <c r="CX183" s="670">
        <f t="shared" si="118"/>
        <v>0</v>
      </c>
      <c r="CY183" s="680">
        <f t="shared" si="119"/>
        <v>0</v>
      </c>
    </row>
    <row r="184" spans="1:103" s="682" customFormat="1">
      <c r="B184" s="683"/>
      <c r="C184" s="684"/>
      <c r="D184" s="685"/>
      <c r="E184" s="686"/>
      <c r="F184" s="686"/>
      <c r="G184" s="686"/>
      <c r="H184" s="686"/>
      <c r="I184" s="686"/>
      <c r="J184" s="686"/>
      <c r="K184" s="686"/>
      <c r="L184" s="686"/>
      <c r="M184" s="686"/>
      <c r="N184" s="686"/>
      <c r="O184" s="686"/>
      <c r="P184" s="686"/>
      <c r="Q184" s="686"/>
      <c r="R184" s="686"/>
      <c r="S184" s="686"/>
      <c r="T184" s="686"/>
      <c r="U184" s="686"/>
      <c r="V184" s="686"/>
      <c r="W184" s="686"/>
      <c r="X184" s="686"/>
      <c r="Y184" s="686"/>
      <c r="Z184" s="686"/>
      <c r="AA184" s="686"/>
      <c r="AB184" s="686"/>
      <c r="AC184" s="686"/>
      <c r="AD184" s="687"/>
      <c r="AE184" s="687"/>
      <c r="AF184" s="688"/>
      <c r="AG184" s="687"/>
      <c r="AH184" s="687"/>
      <c r="AI184" s="687"/>
      <c r="AJ184" s="687"/>
      <c r="AK184" s="687"/>
      <c r="AL184" s="687"/>
      <c r="AM184" s="687"/>
      <c r="AN184" s="687"/>
      <c r="AO184" s="687"/>
      <c r="AP184" s="687"/>
      <c r="AQ184" s="688"/>
      <c r="AR184" s="687"/>
      <c r="AS184" s="687"/>
      <c r="AT184" s="687"/>
      <c r="AU184" s="688"/>
      <c r="AV184" s="687"/>
      <c r="AW184" s="687"/>
      <c r="AX184" s="687"/>
      <c r="AY184" s="687"/>
      <c r="AZ184" s="687"/>
      <c r="BA184" s="688"/>
      <c r="BB184" s="687"/>
      <c r="BC184" s="687"/>
      <c r="BD184" s="687"/>
      <c r="BE184" s="687"/>
      <c r="BF184" s="687"/>
      <c r="BG184" s="687"/>
      <c r="BH184" s="687"/>
      <c r="BI184" s="688"/>
      <c r="BJ184" s="688"/>
      <c r="BK184" s="689"/>
      <c r="BL184" s="689"/>
      <c r="BM184" s="689"/>
      <c r="BN184" s="689"/>
      <c r="BO184" s="689"/>
      <c r="BP184" s="689"/>
      <c r="BQ184" s="689"/>
      <c r="BR184" s="689"/>
      <c r="BS184" s="689"/>
      <c r="BT184" s="689"/>
      <c r="BU184" s="689"/>
      <c r="BV184" s="690"/>
      <c r="BW184" s="690"/>
      <c r="BX184" s="690"/>
      <c r="BY184" s="690"/>
      <c r="BZ184" s="690"/>
      <c r="CA184" s="690"/>
      <c r="CB184" s="690"/>
      <c r="CC184" s="690"/>
      <c r="CD184" s="690"/>
      <c r="CE184" s="691"/>
      <c r="CF184" s="690"/>
      <c r="CG184" s="690"/>
      <c r="CH184" s="690"/>
      <c r="CI184" s="690"/>
      <c r="CJ184" s="690"/>
      <c r="CK184" s="690"/>
      <c r="CL184" s="690"/>
      <c r="CM184" s="691"/>
      <c r="CN184" s="690"/>
      <c r="CO184" s="691"/>
      <c r="CP184" s="691"/>
      <c r="CQ184" s="692"/>
      <c r="CR184" s="692"/>
      <c r="CS184" s="692"/>
      <c r="CT184" s="692"/>
      <c r="CU184" s="692"/>
      <c r="CV184" s="692"/>
      <c r="CW184" s="692"/>
      <c r="CY184" s="691"/>
    </row>
    <row r="185" spans="1:103" s="693" customFormat="1">
      <c r="B185" s="694"/>
      <c r="C185" s="695"/>
      <c r="D185" s="696"/>
      <c r="E185" s="697"/>
      <c r="F185" s="697"/>
      <c r="G185" s="697"/>
      <c r="H185" s="697"/>
      <c r="I185" s="697" t="s">
        <v>1017</v>
      </c>
      <c r="J185" s="697"/>
      <c r="K185" s="697"/>
      <c r="L185" s="697"/>
      <c r="M185" s="697"/>
      <c r="N185" s="697" t="s">
        <v>1018</v>
      </c>
      <c r="O185" s="697"/>
      <c r="P185" s="697"/>
      <c r="Q185" s="697" t="s">
        <v>1019</v>
      </c>
      <c r="R185" s="697"/>
      <c r="S185" s="697"/>
      <c r="T185" s="697"/>
      <c r="U185" s="697"/>
      <c r="V185" s="697"/>
      <c r="W185" s="697"/>
      <c r="X185" s="697" t="s">
        <v>1020</v>
      </c>
      <c r="Y185" s="697"/>
      <c r="Z185" s="697"/>
      <c r="AA185" s="697"/>
      <c r="AB185" s="697" t="s">
        <v>1021</v>
      </c>
      <c r="AC185" s="697" t="s">
        <v>1022</v>
      </c>
      <c r="AD185" s="698"/>
      <c r="AE185" s="698"/>
      <c r="AF185" s="699" t="s">
        <v>1023</v>
      </c>
      <c r="AG185" s="698"/>
      <c r="AH185" s="698"/>
      <c r="AI185" s="698"/>
      <c r="AJ185" s="698"/>
      <c r="AK185" s="698"/>
      <c r="AL185" s="698"/>
      <c r="AM185" s="698"/>
      <c r="AN185" s="698"/>
      <c r="AO185" s="698"/>
      <c r="AP185" s="698"/>
      <c r="AQ185" s="699" t="s">
        <v>1024</v>
      </c>
      <c r="AR185" s="698"/>
      <c r="AS185" s="698"/>
      <c r="AT185" s="698"/>
      <c r="AU185" s="699" t="s">
        <v>1025</v>
      </c>
      <c r="AV185" s="698"/>
      <c r="AW185" s="698"/>
      <c r="AX185" s="698"/>
      <c r="AY185" s="698"/>
      <c r="AZ185" s="698"/>
      <c r="BA185" s="699" t="s">
        <v>1026</v>
      </c>
      <c r="BB185" s="698"/>
      <c r="BC185" s="698"/>
      <c r="BD185" s="698"/>
      <c r="BE185" s="698"/>
      <c r="BF185" s="698"/>
      <c r="BG185" s="698"/>
      <c r="BH185" s="698"/>
      <c r="BI185" s="699"/>
      <c r="BJ185" s="699" t="s">
        <v>1027</v>
      </c>
      <c r="BK185" s="700"/>
      <c r="BL185" s="700"/>
      <c r="BM185" s="700"/>
      <c r="BN185" s="700"/>
      <c r="BO185" s="700" t="s">
        <v>1028</v>
      </c>
      <c r="BP185" s="700"/>
      <c r="BQ185" s="700"/>
      <c r="BR185" s="700"/>
      <c r="BS185" s="700" t="s">
        <v>1029</v>
      </c>
      <c r="BT185" s="700"/>
      <c r="BU185" s="700" t="s">
        <v>1030</v>
      </c>
      <c r="BV185" s="701"/>
      <c r="BW185" s="701"/>
      <c r="BX185" s="701"/>
      <c r="BY185" s="701"/>
      <c r="BZ185" s="701"/>
      <c r="CA185" s="701"/>
      <c r="CB185" s="701"/>
      <c r="CC185" s="701"/>
      <c r="CD185" s="701"/>
      <c r="CE185" s="702" t="s">
        <v>1031</v>
      </c>
      <c r="CF185" s="701"/>
      <c r="CG185" s="701"/>
      <c r="CH185" s="701"/>
      <c r="CI185" s="701"/>
      <c r="CJ185" s="701"/>
      <c r="CK185" s="701"/>
      <c r="CL185" s="701"/>
      <c r="CM185" s="702" t="s">
        <v>1032</v>
      </c>
      <c r="CN185" s="701"/>
      <c r="CO185" s="702" t="s">
        <v>1033</v>
      </c>
      <c r="CP185" s="702" t="s">
        <v>1034</v>
      </c>
      <c r="CQ185" s="703"/>
      <c r="CR185" s="703"/>
      <c r="CS185" s="703">
        <v>57</v>
      </c>
      <c r="CT185" s="703"/>
      <c r="CU185" s="703"/>
      <c r="CV185" s="703"/>
      <c r="CW185" s="703">
        <v>59</v>
      </c>
      <c r="CX185" s="693" t="s">
        <v>1035</v>
      </c>
      <c r="CY185" s="702"/>
    </row>
    <row r="186" spans="1:103" s="693" customFormat="1">
      <c r="B186" s="694"/>
      <c r="C186" s="695"/>
      <c r="D186" s="696"/>
      <c r="E186" s="697"/>
      <c r="F186" s="697"/>
      <c r="G186" s="697"/>
      <c r="H186" s="697"/>
      <c r="I186" s="697"/>
      <c r="J186" s="697"/>
      <c r="K186" s="697"/>
      <c r="L186" s="697"/>
      <c r="M186" s="697"/>
      <c r="N186" s="697"/>
      <c r="O186" s="697"/>
      <c r="P186" s="697"/>
      <c r="Q186" s="697"/>
      <c r="R186" s="697"/>
      <c r="S186" s="697"/>
      <c r="T186" s="697"/>
      <c r="U186" s="697"/>
      <c r="V186" s="697"/>
      <c r="W186" s="697"/>
      <c r="X186" s="697"/>
      <c r="Y186" s="697"/>
      <c r="Z186" s="697"/>
      <c r="AA186" s="697"/>
      <c r="AB186" s="697"/>
      <c r="AC186" s="697"/>
      <c r="AD186" s="698"/>
      <c r="AE186" s="698"/>
      <c r="AF186" s="699"/>
      <c r="AG186" s="698"/>
      <c r="AH186" s="698"/>
      <c r="AI186" s="698"/>
      <c r="AJ186" s="698"/>
      <c r="AK186" s="698"/>
      <c r="AL186" s="698"/>
      <c r="AM186" s="698"/>
      <c r="AN186" s="698"/>
      <c r="AO186" s="698"/>
      <c r="AP186" s="698"/>
      <c r="AQ186" s="699"/>
      <c r="AR186" s="698"/>
      <c r="AS186" s="698"/>
      <c r="AT186" s="698"/>
      <c r="AU186" s="699"/>
      <c r="AV186" s="698"/>
      <c r="AW186" s="698"/>
      <c r="AX186" s="698"/>
      <c r="AY186" s="698"/>
      <c r="AZ186" s="698"/>
      <c r="BA186" s="699"/>
      <c r="BB186" s="698"/>
      <c r="BC186" s="698"/>
      <c r="BD186" s="698"/>
      <c r="BE186" s="698"/>
      <c r="BF186" s="698"/>
      <c r="BG186" s="698"/>
      <c r="BH186" s="698"/>
      <c r="BI186" s="699"/>
      <c r="BJ186" s="699"/>
      <c r="BK186" s="700"/>
      <c r="BL186" s="700"/>
      <c r="BM186" s="700"/>
      <c r="BN186" s="700"/>
      <c r="BO186" s="700"/>
      <c r="BP186" s="700"/>
      <c r="BQ186" s="700"/>
      <c r="BR186" s="700"/>
      <c r="BS186" s="700"/>
      <c r="BT186" s="700"/>
      <c r="BU186" s="700"/>
      <c r="BV186" s="701"/>
      <c r="BW186" s="701"/>
      <c r="BX186" s="701"/>
      <c r="BY186" s="701"/>
      <c r="BZ186" s="701"/>
      <c r="CA186" s="701"/>
      <c r="CB186" s="701"/>
      <c r="CC186" s="701"/>
      <c r="CD186" s="701"/>
      <c r="CE186" s="702"/>
      <c r="CF186" s="701"/>
      <c r="CG186" s="701"/>
      <c r="CH186" s="701"/>
      <c r="CI186" s="701"/>
      <c r="CJ186" s="701"/>
      <c r="CK186" s="701"/>
      <c r="CL186" s="701"/>
      <c r="CM186" s="702"/>
      <c r="CN186" s="701"/>
      <c r="CO186" s="702"/>
      <c r="CP186" s="702"/>
      <c r="CQ186" s="703"/>
      <c r="CR186" s="703"/>
      <c r="CS186" s="703"/>
      <c r="CT186" s="703"/>
      <c r="CU186" s="703"/>
      <c r="CV186" s="703"/>
      <c r="CW186" s="703"/>
      <c r="CY186" s="702"/>
    </row>
    <row r="187" spans="1:103" s="693" customFormat="1">
      <c r="B187" s="694"/>
      <c r="C187" s="695"/>
      <c r="D187" s="696"/>
      <c r="E187" s="697"/>
      <c r="F187" s="697"/>
      <c r="G187" s="697"/>
      <c r="H187" s="697"/>
      <c r="I187" s="697"/>
      <c r="J187" s="697"/>
      <c r="K187" s="697"/>
      <c r="L187" s="697"/>
      <c r="M187" s="697"/>
      <c r="N187" s="697"/>
      <c r="O187" s="697"/>
      <c r="P187" s="697"/>
      <c r="Q187" s="697"/>
      <c r="R187" s="697"/>
      <c r="S187" s="697"/>
      <c r="T187" s="697"/>
      <c r="U187" s="697"/>
      <c r="V187" s="697"/>
      <c r="W187" s="697"/>
      <c r="X187" s="697"/>
      <c r="Y187" s="697"/>
      <c r="Z187" s="697"/>
      <c r="AA187" s="697"/>
      <c r="AB187" s="697"/>
      <c r="AC187" s="697"/>
      <c r="AD187" s="698"/>
      <c r="AE187" s="698"/>
      <c r="AF187" s="699"/>
      <c r="AG187" s="698"/>
      <c r="AH187" s="698"/>
      <c r="AI187" s="698"/>
      <c r="AJ187" s="698"/>
      <c r="AK187" s="698"/>
      <c r="AL187" s="698"/>
      <c r="AM187" s="698"/>
      <c r="AN187" s="698"/>
      <c r="AO187" s="698"/>
      <c r="AP187" s="698"/>
      <c r="AQ187" s="699"/>
      <c r="AR187" s="698"/>
      <c r="AS187" s="698"/>
      <c r="AT187" s="698"/>
      <c r="AU187" s="699"/>
      <c r="AV187" s="698"/>
      <c r="AW187" s="698"/>
      <c r="AX187" s="698"/>
      <c r="AY187" s="698"/>
      <c r="AZ187" s="698"/>
      <c r="BA187" s="699"/>
      <c r="BB187" s="698"/>
      <c r="BC187" s="698"/>
      <c r="BD187" s="698"/>
      <c r="BE187" s="698"/>
      <c r="BF187" s="698"/>
      <c r="BG187" s="698"/>
      <c r="BH187" s="698"/>
      <c r="BI187" s="699"/>
      <c r="BJ187" s="699"/>
      <c r="BK187" s="700"/>
      <c r="BL187" s="700"/>
      <c r="BM187" s="700"/>
      <c r="BN187" s="700"/>
      <c r="BO187" s="700"/>
      <c r="BP187" s="700"/>
      <c r="BQ187" s="700"/>
      <c r="BR187" s="700"/>
      <c r="BS187" s="700"/>
      <c r="BT187" s="700"/>
      <c r="BU187" s="700"/>
      <c r="BV187" s="701"/>
      <c r="BW187" s="701"/>
      <c r="BX187" s="701"/>
      <c r="BY187" s="701"/>
      <c r="BZ187" s="701"/>
      <c r="CA187" s="701"/>
      <c r="CB187" s="701"/>
      <c r="CC187" s="701"/>
      <c r="CD187" s="701"/>
      <c r="CE187" s="702"/>
      <c r="CF187" s="701"/>
      <c r="CG187" s="701"/>
      <c r="CH187" s="701"/>
      <c r="CI187" s="701"/>
      <c r="CJ187" s="701"/>
      <c r="CK187" s="701"/>
      <c r="CL187" s="701"/>
      <c r="CM187" s="702"/>
      <c r="CN187" s="701"/>
      <c r="CO187" s="702"/>
      <c r="CP187" s="702"/>
      <c r="CQ187" s="703"/>
      <c r="CR187" s="703"/>
      <c r="CS187" s="703"/>
      <c r="CT187" s="703"/>
      <c r="CU187" s="703"/>
      <c r="CV187" s="703"/>
      <c r="CW187" s="703"/>
      <c r="CY187" s="702"/>
    </row>
    <row r="188" spans="1:103" s="693" customFormat="1">
      <c r="B188" s="694"/>
      <c r="C188" s="695"/>
      <c r="D188" s="696"/>
      <c r="E188" s="697"/>
      <c r="F188" s="697"/>
      <c r="G188" s="697"/>
      <c r="H188" s="697"/>
      <c r="I188" s="697"/>
      <c r="J188" s="697"/>
      <c r="K188" s="697"/>
      <c r="L188" s="697"/>
      <c r="M188" s="697"/>
      <c r="N188" s="697"/>
      <c r="O188" s="697"/>
      <c r="P188" s="697"/>
      <c r="Q188" s="697"/>
      <c r="R188" s="697"/>
      <c r="S188" s="697"/>
      <c r="T188" s="697"/>
      <c r="U188" s="697"/>
      <c r="V188" s="697"/>
      <c r="W188" s="697"/>
      <c r="X188" s="697"/>
      <c r="Y188" s="697"/>
      <c r="Z188" s="697"/>
      <c r="AA188" s="697"/>
      <c r="AB188" s="697"/>
      <c r="AC188" s="697"/>
      <c r="AD188" s="698"/>
      <c r="AE188" s="698"/>
      <c r="AF188" s="699"/>
      <c r="AG188" s="698"/>
      <c r="AH188" s="698"/>
      <c r="AI188" s="698"/>
      <c r="AJ188" s="698"/>
      <c r="AK188" s="698"/>
      <c r="AL188" s="698"/>
      <c r="AM188" s="698"/>
      <c r="AN188" s="698"/>
      <c r="AO188" s="698"/>
      <c r="AP188" s="698"/>
      <c r="AQ188" s="699"/>
      <c r="AR188" s="698"/>
      <c r="AS188" s="698"/>
      <c r="AT188" s="698"/>
      <c r="AU188" s="699"/>
      <c r="AV188" s="698"/>
      <c r="AW188" s="698"/>
      <c r="AX188" s="698"/>
      <c r="AY188" s="698"/>
      <c r="AZ188" s="698"/>
      <c r="BA188" s="699"/>
      <c r="BB188" s="698"/>
      <c r="BC188" s="698"/>
      <c r="BD188" s="698"/>
      <c r="BE188" s="698"/>
      <c r="BF188" s="698"/>
      <c r="BG188" s="698"/>
      <c r="BH188" s="698"/>
      <c r="BI188" s="699"/>
      <c r="BJ188" s="699"/>
      <c r="BK188" s="700"/>
      <c r="BL188" s="700"/>
      <c r="BM188" s="700"/>
      <c r="BN188" s="700"/>
      <c r="BO188" s="700"/>
      <c r="BP188" s="700"/>
      <c r="BQ188" s="700"/>
      <c r="BR188" s="700"/>
      <c r="BS188" s="700"/>
      <c r="BT188" s="700"/>
      <c r="BU188" s="700"/>
      <c r="BV188" s="701"/>
      <c r="BW188" s="701"/>
      <c r="BX188" s="701"/>
      <c r="BY188" s="701"/>
      <c r="BZ188" s="701"/>
      <c r="CA188" s="701"/>
      <c r="CB188" s="701"/>
      <c r="CC188" s="701"/>
      <c r="CD188" s="701"/>
      <c r="CE188" s="702"/>
      <c r="CF188" s="701"/>
      <c r="CG188" s="701"/>
      <c r="CH188" s="701"/>
      <c r="CI188" s="701"/>
      <c r="CJ188" s="701"/>
      <c r="CK188" s="701"/>
      <c r="CL188" s="701"/>
      <c r="CM188" s="702"/>
      <c r="CN188" s="701"/>
      <c r="CO188" s="702"/>
      <c r="CP188" s="702"/>
      <c r="CQ188" s="703"/>
      <c r="CR188" s="703"/>
      <c r="CS188" s="703"/>
      <c r="CT188" s="703"/>
      <c r="CU188" s="703"/>
      <c r="CV188" s="703"/>
      <c r="CW188" s="703"/>
      <c r="CY188" s="702"/>
    </row>
    <row r="189" spans="1:103" s="693" customFormat="1">
      <c r="B189" s="694"/>
      <c r="C189" s="695"/>
      <c r="D189" s="696"/>
      <c r="E189" s="697"/>
      <c r="F189" s="697"/>
      <c r="G189" s="697"/>
      <c r="H189" s="697"/>
      <c r="I189" s="697"/>
      <c r="J189" s="697"/>
      <c r="K189" s="697"/>
      <c r="L189" s="697"/>
      <c r="M189" s="697"/>
      <c r="N189" s="697"/>
      <c r="O189" s="697"/>
      <c r="P189" s="697"/>
      <c r="Q189" s="697"/>
      <c r="R189" s="697"/>
      <c r="S189" s="697"/>
      <c r="T189" s="697"/>
      <c r="U189" s="697"/>
      <c r="V189" s="697"/>
      <c r="W189" s="697"/>
      <c r="X189" s="697"/>
      <c r="Y189" s="697"/>
      <c r="Z189" s="697"/>
      <c r="AA189" s="697"/>
      <c r="AB189" s="697"/>
      <c r="AC189" s="697"/>
      <c r="AD189" s="698"/>
      <c r="AE189" s="698"/>
      <c r="AF189" s="699"/>
      <c r="AG189" s="698"/>
      <c r="AH189" s="698"/>
      <c r="AI189" s="698"/>
      <c r="AJ189" s="698"/>
      <c r="AK189" s="698"/>
      <c r="AL189" s="698"/>
      <c r="AM189" s="698"/>
      <c r="AN189" s="698"/>
      <c r="AO189" s="698"/>
      <c r="AP189" s="698"/>
      <c r="AQ189" s="699"/>
      <c r="AR189" s="698"/>
      <c r="AS189" s="698"/>
      <c r="AT189" s="698"/>
      <c r="AU189" s="699"/>
      <c r="AV189" s="698"/>
      <c r="AW189" s="698"/>
      <c r="AX189" s="698"/>
      <c r="AY189" s="698"/>
      <c r="AZ189" s="698"/>
      <c r="BA189" s="699"/>
      <c r="BB189" s="698"/>
      <c r="BC189" s="698"/>
      <c r="BD189" s="698"/>
      <c r="BE189" s="698"/>
      <c r="BF189" s="698"/>
      <c r="BG189" s="698"/>
      <c r="BH189" s="698"/>
      <c r="BI189" s="699"/>
      <c r="BJ189" s="699"/>
      <c r="BK189" s="700"/>
      <c r="BL189" s="700"/>
      <c r="BM189" s="700"/>
      <c r="BN189" s="700"/>
      <c r="BO189" s="700"/>
      <c r="BP189" s="700"/>
      <c r="BQ189" s="700"/>
      <c r="BR189" s="700"/>
      <c r="BS189" s="700"/>
      <c r="BT189" s="700"/>
      <c r="BU189" s="700"/>
      <c r="BV189" s="701"/>
      <c r="BW189" s="701"/>
      <c r="BX189" s="701"/>
      <c r="BY189" s="701"/>
      <c r="BZ189" s="701"/>
      <c r="CA189" s="701"/>
      <c r="CB189" s="701"/>
      <c r="CC189" s="701"/>
      <c r="CD189" s="701"/>
      <c r="CE189" s="702"/>
      <c r="CF189" s="701"/>
      <c r="CG189" s="701"/>
      <c r="CH189" s="701"/>
      <c r="CI189" s="701"/>
      <c r="CJ189" s="701"/>
      <c r="CK189" s="701"/>
      <c r="CL189" s="701"/>
      <c r="CM189" s="702"/>
      <c r="CN189" s="701"/>
      <c r="CO189" s="702"/>
      <c r="CP189" s="702"/>
      <c r="CQ189" s="703"/>
      <c r="CR189" s="703"/>
      <c r="CS189" s="703"/>
      <c r="CT189" s="703"/>
      <c r="CU189" s="703"/>
      <c r="CV189" s="703"/>
      <c r="CW189" s="703"/>
      <c r="CY189" s="702"/>
    </row>
    <row r="190" spans="1:103" s="693" customFormat="1">
      <c r="B190" s="694"/>
      <c r="C190" s="695"/>
      <c r="D190" s="696"/>
      <c r="E190" s="697"/>
      <c r="F190" s="697"/>
      <c r="G190" s="697"/>
      <c r="H190" s="697"/>
      <c r="I190" s="697"/>
      <c r="J190" s="697"/>
      <c r="K190" s="697"/>
      <c r="L190" s="697"/>
      <c r="M190" s="697"/>
      <c r="N190" s="697"/>
      <c r="O190" s="697"/>
      <c r="P190" s="697"/>
      <c r="Q190" s="697"/>
      <c r="R190" s="697"/>
      <c r="S190" s="697"/>
      <c r="T190" s="697"/>
      <c r="U190" s="697"/>
      <c r="V190" s="697"/>
      <c r="W190" s="697"/>
      <c r="X190" s="697"/>
      <c r="Y190" s="697"/>
      <c r="Z190" s="697"/>
      <c r="AA190" s="697"/>
      <c r="AB190" s="697"/>
      <c r="AC190" s="697"/>
      <c r="AD190" s="698"/>
      <c r="AE190" s="698"/>
      <c r="AF190" s="699"/>
      <c r="AG190" s="698"/>
      <c r="AH190" s="698"/>
      <c r="AI190" s="698"/>
      <c r="AJ190" s="698"/>
      <c r="AK190" s="698"/>
      <c r="AL190" s="698"/>
      <c r="AM190" s="698"/>
      <c r="AN190" s="698"/>
      <c r="AO190" s="698"/>
      <c r="AP190" s="698"/>
      <c r="AQ190" s="699"/>
      <c r="AR190" s="698"/>
      <c r="AS190" s="698"/>
      <c r="AT190" s="698"/>
      <c r="AU190" s="699"/>
      <c r="AV190" s="698"/>
      <c r="AW190" s="698"/>
      <c r="AX190" s="698"/>
      <c r="AY190" s="698"/>
      <c r="AZ190" s="698"/>
      <c r="BA190" s="699"/>
      <c r="BB190" s="698"/>
      <c r="BC190" s="698"/>
      <c r="BD190" s="698"/>
      <c r="BE190" s="698"/>
      <c r="BF190" s="698"/>
      <c r="BG190" s="698"/>
      <c r="BH190" s="698"/>
      <c r="BI190" s="699"/>
      <c r="BJ190" s="699"/>
      <c r="BK190" s="700"/>
      <c r="BL190" s="700"/>
      <c r="BM190" s="700"/>
      <c r="BN190" s="700"/>
      <c r="BO190" s="700"/>
      <c r="BP190" s="700"/>
      <c r="BQ190" s="700"/>
      <c r="BR190" s="700"/>
      <c r="BS190" s="700"/>
      <c r="BT190" s="700"/>
      <c r="BU190" s="700"/>
      <c r="BV190" s="701"/>
      <c r="BW190" s="701"/>
      <c r="BX190" s="701"/>
      <c r="BY190" s="701"/>
      <c r="BZ190" s="701"/>
      <c r="CA190" s="701"/>
      <c r="CB190" s="701"/>
      <c r="CC190" s="701"/>
      <c r="CD190" s="701"/>
      <c r="CE190" s="702"/>
      <c r="CF190" s="701"/>
      <c r="CG190" s="701"/>
      <c r="CH190" s="701"/>
      <c r="CI190" s="701"/>
      <c r="CJ190" s="701"/>
      <c r="CK190" s="701"/>
      <c r="CL190" s="701"/>
      <c r="CM190" s="702"/>
      <c r="CN190" s="701"/>
      <c r="CO190" s="702"/>
      <c r="CP190" s="702"/>
      <c r="CQ190" s="703"/>
      <c r="CR190" s="703"/>
      <c r="CS190" s="703"/>
      <c r="CT190" s="703"/>
      <c r="CU190" s="703"/>
      <c r="CV190" s="703"/>
      <c r="CW190" s="703"/>
      <c r="CY190" s="702"/>
    </row>
    <row r="191" spans="1:103" s="693" customFormat="1">
      <c r="B191" s="694"/>
      <c r="C191" s="695"/>
      <c r="D191" s="696"/>
      <c r="E191" s="697"/>
      <c r="F191" s="697"/>
      <c r="G191" s="697"/>
      <c r="H191" s="697"/>
      <c r="I191" s="697"/>
      <c r="J191" s="697"/>
      <c r="K191" s="697"/>
      <c r="L191" s="697"/>
      <c r="M191" s="697"/>
      <c r="N191" s="697"/>
      <c r="O191" s="697"/>
      <c r="P191" s="697"/>
      <c r="Q191" s="697"/>
      <c r="R191" s="697"/>
      <c r="S191" s="697"/>
      <c r="T191" s="697"/>
      <c r="U191" s="697"/>
      <c r="V191" s="697"/>
      <c r="W191" s="697"/>
      <c r="X191" s="697"/>
      <c r="Y191" s="697"/>
      <c r="Z191" s="697"/>
      <c r="AA191" s="697"/>
      <c r="AB191" s="697"/>
      <c r="AC191" s="697"/>
      <c r="AD191" s="698"/>
      <c r="AE191" s="698"/>
      <c r="AF191" s="699"/>
      <c r="AG191" s="698"/>
      <c r="AH191" s="698"/>
      <c r="AI191" s="698"/>
      <c r="AJ191" s="698"/>
      <c r="AK191" s="698"/>
      <c r="AL191" s="698"/>
      <c r="AM191" s="698"/>
      <c r="AN191" s="698"/>
      <c r="AO191" s="698"/>
      <c r="AP191" s="698"/>
      <c r="AQ191" s="699"/>
      <c r="AR191" s="698"/>
      <c r="AS191" s="698"/>
      <c r="AT191" s="698"/>
      <c r="AU191" s="699"/>
      <c r="AV191" s="698"/>
      <c r="AW191" s="698"/>
      <c r="AX191" s="698"/>
      <c r="AY191" s="698"/>
      <c r="AZ191" s="698"/>
      <c r="BA191" s="699"/>
      <c r="BB191" s="698"/>
      <c r="BC191" s="698"/>
      <c r="BD191" s="698"/>
      <c r="BE191" s="698"/>
      <c r="BF191" s="698"/>
      <c r="BG191" s="698"/>
      <c r="BH191" s="698"/>
      <c r="BI191" s="699"/>
      <c r="BJ191" s="699"/>
      <c r="BK191" s="700"/>
      <c r="BL191" s="700"/>
      <c r="BM191" s="700"/>
      <c r="BN191" s="700"/>
      <c r="BO191" s="700"/>
      <c r="BP191" s="700"/>
      <c r="BQ191" s="700"/>
      <c r="BR191" s="700"/>
      <c r="BS191" s="700"/>
      <c r="BT191" s="700"/>
      <c r="BU191" s="700"/>
      <c r="BV191" s="701"/>
      <c r="BW191" s="701"/>
      <c r="BX191" s="701"/>
      <c r="BY191" s="701"/>
      <c r="BZ191" s="701"/>
      <c r="CA191" s="701"/>
      <c r="CB191" s="701"/>
      <c r="CC191" s="701"/>
      <c r="CD191" s="701"/>
      <c r="CE191" s="702"/>
      <c r="CF191" s="701"/>
      <c r="CG191" s="701"/>
      <c r="CH191" s="701"/>
      <c r="CI191" s="701"/>
      <c r="CJ191" s="701"/>
      <c r="CK191" s="701"/>
      <c r="CL191" s="701"/>
      <c r="CM191" s="702"/>
      <c r="CN191" s="701"/>
      <c r="CO191" s="702"/>
      <c r="CP191" s="702"/>
      <c r="CQ191" s="703"/>
      <c r="CR191" s="703"/>
      <c r="CS191" s="703"/>
      <c r="CT191" s="703"/>
      <c r="CU191" s="703"/>
      <c r="CV191" s="703"/>
      <c r="CW191" s="703"/>
      <c r="CY191" s="702"/>
    </row>
    <row r="192" spans="1:103" s="693" customFormat="1">
      <c r="B192" s="694"/>
      <c r="C192" s="695"/>
      <c r="D192" s="696"/>
      <c r="E192" s="697"/>
      <c r="F192" s="697"/>
      <c r="G192" s="697"/>
      <c r="H192" s="697"/>
      <c r="I192" s="697"/>
      <c r="J192" s="697"/>
      <c r="K192" s="697"/>
      <c r="L192" s="697"/>
      <c r="M192" s="697"/>
      <c r="N192" s="697"/>
      <c r="O192" s="697"/>
      <c r="P192" s="697"/>
      <c r="Q192" s="697"/>
      <c r="R192" s="697"/>
      <c r="S192" s="697"/>
      <c r="T192" s="697"/>
      <c r="U192" s="697"/>
      <c r="V192" s="697"/>
      <c r="W192" s="697"/>
      <c r="X192" s="697"/>
      <c r="Y192" s="697"/>
      <c r="Z192" s="697"/>
      <c r="AA192" s="697"/>
      <c r="AB192" s="697"/>
      <c r="AC192" s="697"/>
      <c r="AD192" s="698"/>
      <c r="AE192" s="698"/>
      <c r="AF192" s="699"/>
      <c r="AG192" s="698"/>
      <c r="AH192" s="698"/>
      <c r="AI192" s="698"/>
      <c r="AJ192" s="698"/>
      <c r="AK192" s="698"/>
      <c r="AL192" s="698"/>
      <c r="AM192" s="698"/>
      <c r="AN192" s="698"/>
      <c r="AO192" s="698"/>
      <c r="AP192" s="698"/>
      <c r="AQ192" s="699"/>
      <c r="AR192" s="698"/>
      <c r="AS192" s="698"/>
      <c r="AT192" s="698"/>
      <c r="AU192" s="699"/>
      <c r="AV192" s="698"/>
      <c r="AW192" s="698"/>
      <c r="AX192" s="698"/>
      <c r="AY192" s="698"/>
      <c r="AZ192" s="698"/>
      <c r="BA192" s="699"/>
      <c r="BB192" s="698"/>
      <c r="BC192" s="698"/>
      <c r="BD192" s="698"/>
      <c r="BE192" s="698"/>
      <c r="BF192" s="698"/>
      <c r="BG192" s="698"/>
      <c r="BH192" s="698"/>
      <c r="BI192" s="699"/>
      <c r="BJ192" s="699"/>
      <c r="BK192" s="700"/>
      <c r="BL192" s="700"/>
      <c r="BM192" s="700"/>
      <c r="BN192" s="700"/>
      <c r="BO192" s="700"/>
      <c r="BP192" s="700"/>
      <c r="BQ192" s="700"/>
      <c r="BR192" s="700"/>
      <c r="BS192" s="700"/>
      <c r="BT192" s="700"/>
      <c r="BU192" s="700"/>
      <c r="BV192" s="701"/>
      <c r="BW192" s="701"/>
      <c r="BX192" s="701"/>
      <c r="BY192" s="701"/>
      <c r="BZ192" s="701"/>
      <c r="CA192" s="701"/>
      <c r="CB192" s="701"/>
      <c r="CC192" s="701"/>
      <c r="CD192" s="701"/>
      <c r="CE192" s="702"/>
      <c r="CF192" s="701"/>
      <c r="CG192" s="701"/>
      <c r="CH192" s="701"/>
      <c r="CI192" s="701"/>
      <c r="CJ192" s="701"/>
      <c r="CK192" s="701"/>
      <c r="CL192" s="701"/>
      <c r="CM192" s="702"/>
      <c r="CN192" s="701"/>
      <c r="CO192" s="702"/>
      <c r="CP192" s="702"/>
      <c r="CQ192" s="703"/>
      <c r="CR192" s="703"/>
      <c r="CS192" s="703"/>
      <c r="CT192" s="703"/>
      <c r="CU192" s="703"/>
      <c r="CV192" s="703"/>
      <c r="CW192" s="703"/>
      <c r="CY192" s="702"/>
    </row>
  </sheetData>
  <mergeCells count="60">
    <mergeCell ref="CX1:CX5"/>
    <mergeCell ref="CY1:CY5"/>
    <mergeCell ref="CN1:CO2"/>
    <mergeCell ref="CP1:CP5"/>
    <mergeCell ref="CQ1:CS2"/>
    <mergeCell ref="CT1:CW2"/>
    <mergeCell ref="CO3:CO5"/>
    <mergeCell ref="CQ3:CR3"/>
    <mergeCell ref="CS3:CS5"/>
    <mergeCell ref="CT3:CV3"/>
    <mergeCell ref="CW3:CW5"/>
    <mergeCell ref="BV1:CE2"/>
    <mergeCell ref="CF1:CM2"/>
    <mergeCell ref="AG3:AP3"/>
    <mergeCell ref="CM3:CM5"/>
    <mergeCell ref="AV1:BA2"/>
    <mergeCell ref="BB1:BI2"/>
    <mergeCell ref="BJ1:BJ5"/>
    <mergeCell ref="BK1:BO2"/>
    <mergeCell ref="BP1:BS2"/>
    <mergeCell ref="BA3:BA5"/>
    <mergeCell ref="AV3:AZ3"/>
    <mergeCell ref="BP3:BR3"/>
    <mergeCell ref="BS3:BS5"/>
    <mergeCell ref="BV3:CD3"/>
    <mergeCell ref="CE3:CE5"/>
    <mergeCell ref="CF3:CL3"/>
    <mergeCell ref="BT1:BU2"/>
    <mergeCell ref="BB3:BH3"/>
    <mergeCell ref="BI3:BI5"/>
    <mergeCell ref="BK3:BN3"/>
    <mergeCell ref="BO3:BO5"/>
    <mergeCell ref="BU3:BU5"/>
    <mergeCell ref="R1:X2"/>
    <mergeCell ref="Y1:AB2"/>
    <mergeCell ref="AC1:AC5"/>
    <mergeCell ref="AD1:AF2"/>
    <mergeCell ref="AG1:AQ2"/>
    <mergeCell ref="AQ3:AQ5"/>
    <mergeCell ref="R3:W3"/>
    <mergeCell ref="X3:X5"/>
    <mergeCell ref="AR1:AU2"/>
    <mergeCell ref="Y3:AA3"/>
    <mergeCell ref="AB3:AB5"/>
    <mergeCell ref="AD3:AE3"/>
    <mergeCell ref="AF3:AF5"/>
    <mergeCell ref="AR3:AT3"/>
    <mergeCell ref="AU3:AU5"/>
    <mergeCell ref="O1:Q2"/>
    <mergeCell ref="B1:B5"/>
    <mergeCell ref="C1:C5"/>
    <mergeCell ref="D1:D5"/>
    <mergeCell ref="E1:I2"/>
    <mergeCell ref="J1:N2"/>
    <mergeCell ref="Q3:Q5"/>
    <mergeCell ref="E3:H3"/>
    <mergeCell ref="I3:I5"/>
    <mergeCell ref="J3:M3"/>
    <mergeCell ref="N3:N5"/>
    <mergeCell ref="O3:P3"/>
  </mergeCells>
  <conditionalFormatting sqref="E16:M19 O16:AC19 O21:AC21 E21:M21 E38:M52 O38:AC52 O65:AC67 E65:M67 O57:AC60 E57:M60 E74:M74 O74:AC74 O83:AC84 E83:M84 E104:M116 O104:AC116 O120:AC135 E120:M135 E137:M149 O137:AC149 O151:AC181 E151:M181 E27:M28 O27:AC28 E87:M92 O87:AC92 O97:AC97 E97:M97 E99:M99 O99:AC99 O94:AC94 E94:M94 O76:AC80 E76:M80 O30:AC30 E30:M30">
    <cfRule type="cellIs" dxfId="48" priority="47" operator="equal">
      <formula>0</formula>
    </cfRule>
  </conditionalFormatting>
  <conditionalFormatting sqref="N7:N19 N21 N38:N52 N65:N67 N57:N60 N74 N83:N84 N104:N116 N120:N135 N137:N149 N151:N181 N27:N28 N87:N92 N97 N99 N94 N76:N80 N30">
    <cfRule type="cellIs" dxfId="47" priority="46" operator="equal">
      <formula>0</formula>
    </cfRule>
  </conditionalFormatting>
  <conditionalFormatting sqref="AD14:BJ19 AD21:BJ21 AD38:BJ52 AD65:BJ67 AD57:BJ60 AD74:BJ74 AD83:BJ84 AD104:BJ116 AD120:BJ135 AD137:BJ149 AD151:BJ181 AD27:BJ28 AD87:BJ92 AD97:BJ97 AD99:BJ99 AD94:BJ94 AD76:BJ80 AD30:BJ30">
    <cfRule type="cellIs" dxfId="46" priority="45" operator="equal">
      <formula>0</formula>
    </cfRule>
  </conditionalFormatting>
  <conditionalFormatting sqref="BX14:BY19 BX21:BY21 BX38:BY52 BX65:BY67 BX57:BY60 BX74:BY74 BX83:BY84 BX104:BY116 BX120:BY135 BX137:BY149 BX151:BY181 BX27:BY28 BX87:BY92 BX97:BY97 BX99:BY99 BX94:BY94 BX76:BY80 BX30:BY30">
    <cfRule type="cellIs" dxfId="45" priority="42" operator="equal">
      <formula>0</formula>
    </cfRule>
  </conditionalFormatting>
  <conditionalFormatting sqref="BK14:BP19 BK21:BP21 BK38:BP52 BK65:BP67 BK57:BP60 BK74:BP74 BK83:BP84 BK104:BP116 BK120:BP135 BK137:BP149 BK151:BP181 BK27:BP28 BS27:BW28 BS151:BW181 BS137:BW149 BS120:BW135 BS104:BW116 BS83:BW84 BS74:BW74 BS57:BW60 BS65:BW67 BS38:BW52 BS21:BW21 BS14:BW19 BZ14:CP19 BZ21:CP21 BZ38:CP52 BZ65:CP67 BZ57:CP60 BZ74:CP74 BZ83:CP84 BZ104:CP116 BZ120:CP135 BZ137:CP149 BZ151:CP181 BZ27:CP28 BZ87:CP92 BS87:BW92 BK87:BP92 BK97:BP97 BS97:BW97 BZ97:CP97 BZ99:CP99 BS99:BW99 BK99:BP99 BK94:BP94 BS94:BW94 BZ94:CP94 BZ76:CP80 BS76:BW80 BK76:BP80 BZ30:CP30 BS30:BW30 BK30:BP30">
    <cfRule type="cellIs" dxfId="44" priority="44" operator="equal">
      <formula>0</formula>
    </cfRule>
  </conditionalFormatting>
  <conditionalFormatting sqref="BQ14:BR19 BQ21:BR21 BQ38:BR52 BQ65:BR67 BQ57:BR60 BQ74:BR74 BQ83:BR84 BQ104:BR116 BQ120:BR135 BQ137:BR149 BQ151:BR181 BQ27:BR28 BQ87:BR92 BQ97:BR97 BQ99:BR99 BQ94:BR94 BQ76:BR80 BQ30:BR30">
    <cfRule type="cellIs" dxfId="43" priority="43" operator="equal">
      <formula>0</formula>
    </cfRule>
  </conditionalFormatting>
  <conditionalFormatting sqref="CY14:CY19 CY21 CY38:CY52 CY65:CY67 CY57:CY60 CY74 CY83:CY84 CY104:CY116 CY120:CY135 CY137:CY149 CY151:CY181 CY27:CY28 CY87:CY92 CY97 CY99 CY94 CY76:CY80 CY30">
    <cfRule type="cellIs" dxfId="42" priority="41" operator="equal">
      <formula>0</formula>
    </cfRule>
  </conditionalFormatting>
  <conditionalFormatting sqref="E7:CP28 E184:CP184 E76:CP181 E30:CP74 CY30:CY74 CY76:CY181 CY184 CY7:CY28">
    <cfRule type="cellIs" dxfId="41" priority="40" operator="equal">
      <formula>0</formula>
    </cfRule>
  </conditionalFormatting>
  <conditionalFormatting sqref="O182:AC182 E182:M182">
    <cfRule type="cellIs" dxfId="40" priority="39" operator="equal">
      <formula>0</formula>
    </cfRule>
  </conditionalFormatting>
  <conditionalFormatting sqref="N182">
    <cfRule type="cellIs" dxfId="39" priority="38" operator="equal">
      <formula>0</formula>
    </cfRule>
  </conditionalFormatting>
  <conditionalFormatting sqref="AD182:BJ182">
    <cfRule type="cellIs" dxfId="38" priority="37" operator="equal">
      <formula>0</formula>
    </cfRule>
  </conditionalFormatting>
  <conditionalFormatting sqref="BX182:BY182">
    <cfRule type="cellIs" dxfId="37" priority="34" operator="equal">
      <formula>0</formula>
    </cfRule>
  </conditionalFormatting>
  <conditionalFormatting sqref="BK182:BP182 BS182:BW182 BZ182:CP182">
    <cfRule type="cellIs" dxfId="36" priority="36" operator="equal">
      <formula>0</formula>
    </cfRule>
  </conditionalFormatting>
  <conditionalFormatting sqref="BQ182:BR182">
    <cfRule type="cellIs" dxfId="35" priority="35" operator="equal">
      <formula>0</formula>
    </cfRule>
  </conditionalFormatting>
  <conditionalFormatting sqref="CY182">
    <cfRule type="cellIs" dxfId="34" priority="33" operator="equal">
      <formula>0</formula>
    </cfRule>
  </conditionalFormatting>
  <conditionalFormatting sqref="E182:CP182 CY182">
    <cfRule type="cellIs" dxfId="33" priority="32" operator="equal">
      <formula>0</formula>
    </cfRule>
  </conditionalFormatting>
  <conditionalFormatting sqref="O183:AC183 E183:M183">
    <cfRule type="cellIs" dxfId="32" priority="31" operator="equal">
      <formula>0</formula>
    </cfRule>
  </conditionalFormatting>
  <conditionalFormatting sqref="N183">
    <cfRule type="cellIs" dxfId="31" priority="30" operator="equal">
      <formula>0</formula>
    </cfRule>
  </conditionalFormatting>
  <conditionalFormatting sqref="AD183:BJ183">
    <cfRule type="cellIs" dxfId="30" priority="29" operator="equal">
      <formula>0</formula>
    </cfRule>
  </conditionalFormatting>
  <conditionalFormatting sqref="BX183:BY183">
    <cfRule type="cellIs" dxfId="29" priority="26" operator="equal">
      <formula>0</formula>
    </cfRule>
  </conditionalFormatting>
  <conditionalFormatting sqref="BK183:BP183 BS183:BW183 BZ183:CP183">
    <cfRule type="cellIs" dxfId="28" priority="28" operator="equal">
      <formula>0</formula>
    </cfRule>
  </conditionalFormatting>
  <conditionalFormatting sqref="BQ183:BR183">
    <cfRule type="cellIs" dxfId="27" priority="27" operator="equal">
      <formula>0</formula>
    </cfRule>
  </conditionalFormatting>
  <conditionalFormatting sqref="CY183">
    <cfRule type="cellIs" dxfId="26" priority="25" operator="equal">
      <formula>0</formula>
    </cfRule>
  </conditionalFormatting>
  <conditionalFormatting sqref="E183:CP183 CY183">
    <cfRule type="cellIs" dxfId="25" priority="24" operator="equal">
      <formula>0</formula>
    </cfRule>
  </conditionalFormatting>
  <conditionalFormatting sqref="CQ183:CS183">
    <cfRule type="cellIs" dxfId="24" priority="18" operator="equal">
      <formula>0</formula>
    </cfRule>
  </conditionalFormatting>
  <conditionalFormatting sqref="CQ16:CS19 CQ21:CS21 CQ38:CS52 CQ65:CS67 CQ57:CS60 CQ74:CS74 CQ83:CS84 CQ104:CS116 CQ120:CS135 CQ137:CS149 CQ151:CS181 CQ27:CS28 CQ87:CS92 CQ97:CS97 CQ99:CS99 CQ94:CS94 CQ76:CS80 CQ30:CS30">
    <cfRule type="cellIs" dxfId="23" priority="23" operator="equal">
      <formula>0</formula>
    </cfRule>
  </conditionalFormatting>
  <conditionalFormatting sqref="CQ7:CS28 CQ76:CS85 CQ30:CS31 CQ33:CS71 CQ74:CS74 CQ87:CS94 CQ96:CS181">
    <cfRule type="cellIs" dxfId="22" priority="22" operator="equal">
      <formula>0</formula>
    </cfRule>
  </conditionalFormatting>
  <conditionalFormatting sqref="CQ182:CS182">
    <cfRule type="cellIs" dxfId="21" priority="21" operator="equal">
      <formula>0</formula>
    </cfRule>
  </conditionalFormatting>
  <conditionalFormatting sqref="CQ182:CS182">
    <cfRule type="cellIs" dxfId="20" priority="20" operator="equal">
      <formula>0</formula>
    </cfRule>
  </conditionalFormatting>
  <conditionalFormatting sqref="CQ183:CS183">
    <cfRule type="cellIs" dxfId="19" priority="19" operator="equal">
      <formula>0</formula>
    </cfRule>
  </conditionalFormatting>
  <conditionalFormatting sqref="CT16:CX19 CT21:CX21 CT38:CX52 CT65:CX67 CT57:CX60 CT74:CX74 CT83:CX84 CT104:CX116 CT120:CX135 CT137:CX149 CT151:CX181 CT27:CX28 CT87:CX92 CT97:CX97 CT99:CX99 CT94:CX94 CT76:CX80 CT30:CX30">
    <cfRule type="cellIs" dxfId="18" priority="17" operator="equal">
      <formula>0</formula>
    </cfRule>
  </conditionalFormatting>
  <conditionalFormatting sqref="CT7:CX28 CT76:CX85 CT30:CX31 CT33:CX71 CT74:CX74 CT87:CX94 CT96:CX181">
    <cfRule type="cellIs" dxfId="17" priority="16" operator="equal">
      <formula>0</formula>
    </cfRule>
  </conditionalFormatting>
  <conditionalFormatting sqref="CT182:CX182">
    <cfRule type="cellIs" dxfId="16" priority="15" operator="equal">
      <formula>0</formula>
    </cfRule>
  </conditionalFormatting>
  <conditionalFormatting sqref="CT182:CX182">
    <cfRule type="cellIs" dxfId="15" priority="14" operator="equal">
      <formula>0</formula>
    </cfRule>
  </conditionalFormatting>
  <conditionalFormatting sqref="CT183:CX183">
    <cfRule type="cellIs" dxfId="14" priority="13" operator="equal">
      <formula>0</formula>
    </cfRule>
  </conditionalFormatting>
  <conditionalFormatting sqref="CT183:CX183">
    <cfRule type="cellIs" dxfId="13" priority="12" operator="equal">
      <formula>0</formula>
    </cfRule>
  </conditionalFormatting>
  <conditionalFormatting sqref="CQ32:CS32">
    <cfRule type="cellIs" dxfId="12" priority="11" operator="equal">
      <formula>0</formula>
    </cfRule>
  </conditionalFormatting>
  <conditionalFormatting sqref="CT32:CX32">
    <cfRule type="cellIs" dxfId="11" priority="10" operator="equal">
      <formula>0</formula>
    </cfRule>
  </conditionalFormatting>
  <conditionalFormatting sqref="CQ72:CS72 CQ73:CR73">
    <cfRule type="cellIs" dxfId="10" priority="9" operator="equal">
      <formula>0</formula>
    </cfRule>
  </conditionalFormatting>
  <conditionalFormatting sqref="CT72:CX73">
    <cfRule type="cellIs" dxfId="9" priority="8" operator="equal">
      <formula>0</formula>
    </cfRule>
  </conditionalFormatting>
  <conditionalFormatting sqref="CS73">
    <cfRule type="cellIs" dxfId="8" priority="7" operator="equal">
      <formula>0</formula>
    </cfRule>
  </conditionalFormatting>
  <conditionalFormatting sqref="CQ86:CR86">
    <cfRule type="cellIs" dxfId="7" priority="6" operator="equal">
      <formula>0</formula>
    </cfRule>
  </conditionalFormatting>
  <conditionalFormatting sqref="CT86:CX86">
    <cfRule type="cellIs" dxfId="6" priority="5" operator="equal">
      <formula>0</formula>
    </cfRule>
  </conditionalFormatting>
  <conditionalFormatting sqref="CS86">
    <cfRule type="cellIs" dxfId="5" priority="4" operator="equal">
      <formula>0</formula>
    </cfRule>
  </conditionalFormatting>
  <conditionalFormatting sqref="CQ95:CS95">
    <cfRule type="cellIs" dxfId="4" priority="3" operator="equal">
      <formula>0</formula>
    </cfRule>
  </conditionalFormatting>
  <conditionalFormatting sqref="CT95:CV95 CX95">
    <cfRule type="cellIs" dxfId="3" priority="2" operator="equal">
      <formula>0</formula>
    </cfRule>
  </conditionalFormatting>
  <conditionalFormatting sqref="CW95">
    <cfRule type="cellIs" dxfId="2" priority="1" operator="equal">
      <formula>0</formula>
    </cfRule>
  </conditionalFormatting>
  <pageMargins left="0.19685039370078741" right="0.19685039370078741" top="0.19685039370078741" bottom="0.19685039370078741" header="0.31496062992125984" footer="0.19685039370078741"/>
  <pageSetup scale="58" fitToWidth="8" fitToHeight="3" orientation="landscape" r:id="rId1"/>
  <headerFooter>
    <oddFooter>&amp;R&amp;P de &amp;N</oddFooter>
  </headerFooter>
  <colBreaks count="8" manualBreakCount="8">
    <brk id="17" max="182" man="1"/>
    <brk id="29" max="182" man="1"/>
    <brk id="43" max="182" man="1"/>
    <brk id="53" max="182" man="1"/>
    <brk id="62" max="182" man="1"/>
    <brk id="73" max="182" man="1"/>
    <brk id="83" max="182" man="1"/>
    <brk id="94" max="182"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pageSetUpPr fitToPage="1"/>
  </sheetPr>
  <dimension ref="A1:K154"/>
  <sheetViews>
    <sheetView view="pageBreakPreview" zoomScale="60" zoomScaleNormal="85" workbookViewId="0">
      <pane ySplit="1" topLeftCell="A8" activePane="bottomLeft" state="frozen"/>
      <selection activeCell="E40" sqref="E40"/>
      <selection pane="bottomLeft" activeCell="E40" sqref="E40"/>
    </sheetView>
  </sheetViews>
  <sheetFormatPr baseColWidth="10" defaultColWidth="11.42578125" defaultRowHeight="12.75" outlineLevelRow="1"/>
  <cols>
    <col min="1" max="1" width="0" style="727" hidden="1" customWidth="1"/>
    <col min="2" max="2" width="87" style="727" customWidth="1"/>
    <col min="3" max="3" width="11.42578125" style="727"/>
    <col min="4" max="10" width="11.7109375" style="727" customWidth="1"/>
    <col min="11" max="11" width="76" style="727" hidden="1" customWidth="1"/>
    <col min="12" max="16384" width="11.42578125" style="727"/>
  </cols>
  <sheetData>
    <row r="1" spans="1:11" s="712" customFormat="1" ht="25.5">
      <c r="A1" s="710" t="s">
        <v>1036</v>
      </c>
      <c r="B1" s="710" t="s">
        <v>1037</v>
      </c>
      <c r="C1" s="710" t="s">
        <v>218</v>
      </c>
      <c r="D1" s="711" t="s">
        <v>1038</v>
      </c>
      <c r="E1" s="710" t="s">
        <v>1039</v>
      </c>
      <c r="F1" s="710" t="s">
        <v>1040</v>
      </c>
      <c r="G1" s="710" t="s">
        <v>1041</v>
      </c>
      <c r="H1" s="710" t="s">
        <v>1042</v>
      </c>
      <c r="I1" s="710" t="s">
        <v>1043</v>
      </c>
      <c r="J1" s="710" t="s">
        <v>1044</v>
      </c>
    </row>
    <row r="2" spans="1:11" s="715" customFormat="1">
      <c r="A2" s="713">
        <v>1</v>
      </c>
      <c r="B2" s="714" t="s">
        <v>1045</v>
      </c>
      <c r="C2" s="714"/>
      <c r="D2" s="714"/>
      <c r="E2" s="714"/>
      <c r="F2" s="714"/>
      <c r="G2" s="714"/>
      <c r="H2" s="714"/>
      <c r="I2" s="714"/>
      <c r="J2" s="714"/>
    </row>
    <row r="3" spans="1:11" s="720" customFormat="1" outlineLevel="1">
      <c r="A3" s="716">
        <v>2</v>
      </c>
      <c r="B3" s="717" t="s">
        <v>1046</v>
      </c>
      <c r="C3" s="718" t="s">
        <v>201</v>
      </c>
      <c r="D3" s="719">
        <v>1</v>
      </c>
      <c r="E3" s="719" t="s">
        <v>816</v>
      </c>
      <c r="F3" s="716" t="s">
        <v>816</v>
      </c>
      <c r="G3" s="716" t="s">
        <v>816</v>
      </c>
      <c r="H3" s="716" t="s">
        <v>816</v>
      </c>
      <c r="I3" s="716" t="s">
        <v>816</v>
      </c>
      <c r="J3" s="719">
        <f>SUM(D3:I3)</f>
        <v>1</v>
      </c>
      <c r="K3" s="720" t="s">
        <v>1045</v>
      </c>
    </row>
    <row r="4" spans="1:11" s="720" customFormat="1" outlineLevel="1">
      <c r="A4" s="713">
        <v>3</v>
      </c>
      <c r="B4" s="721" t="s">
        <v>1047</v>
      </c>
      <c r="C4" s="718" t="s">
        <v>201</v>
      </c>
      <c r="D4" s="719" t="s">
        <v>816</v>
      </c>
      <c r="E4" s="719" t="s">
        <v>816</v>
      </c>
      <c r="F4" s="716" t="s">
        <v>816</v>
      </c>
      <c r="G4" s="719" t="s">
        <v>816</v>
      </c>
      <c r="H4" s="719">
        <v>1</v>
      </c>
      <c r="I4" s="719">
        <v>1</v>
      </c>
      <c r="J4" s="719">
        <f>SUM(D4:I4)</f>
        <v>2</v>
      </c>
      <c r="K4" s="720" t="s">
        <v>1045</v>
      </c>
    </row>
    <row r="5" spans="1:11" s="720" customFormat="1" outlineLevel="1">
      <c r="A5" s="716">
        <v>4</v>
      </c>
      <c r="B5" s="717" t="s">
        <v>1048</v>
      </c>
      <c r="C5" s="718" t="s">
        <v>201</v>
      </c>
      <c r="D5" s="719" t="s">
        <v>816</v>
      </c>
      <c r="E5" s="719" t="s">
        <v>816</v>
      </c>
      <c r="F5" s="719">
        <v>1</v>
      </c>
      <c r="G5" s="719">
        <v>1</v>
      </c>
      <c r="H5" s="719" t="s">
        <v>816</v>
      </c>
      <c r="I5" s="719" t="s">
        <v>816</v>
      </c>
      <c r="J5" s="719">
        <f>SUM(D5:I5)</f>
        <v>2</v>
      </c>
      <c r="K5" s="720" t="s">
        <v>1045</v>
      </c>
    </row>
    <row r="6" spans="1:11" s="720" customFormat="1" outlineLevel="1">
      <c r="A6" s="713">
        <v>5</v>
      </c>
      <c r="B6" s="717" t="s">
        <v>1049</v>
      </c>
      <c r="C6" s="718" t="s">
        <v>219</v>
      </c>
      <c r="D6" s="719">
        <v>86.31</v>
      </c>
      <c r="E6" s="719">
        <v>0</v>
      </c>
      <c r="F6" s="719">
        <v>200</v>
      </c>
      <c r="G6" s="719">
        <v>0</v>
      </c>
      <c r="H6" s="719">
        <v>0</v>
      </c>
      <c r="I6" s="719">
        <v>0</v>
      </c>
      <c r="J6" s="719">
        <f>SUM(D6:I6)</f>
        <v>286.31</v>
      </c>
      <c r="K6" s="720" t="s">
        <v>1045</v>
      </c>
    </row>
    <row r="7" spans="1:11" s="720" customFormat="1" outlineLevel="1">
      <c r="A7" s="716">
        <v>6</v>
      </c>
      <c r="B7" s="717" t="s">
        <v>1050</v>
      </c>
      <c r="C7" s="718" t="s">
        <v>218</v>
      </c>
      <c r="D7" s="719">
        <v>20</v>
      </c>
      <c r="E7" s="719">
        <v>0</v>
      </c>
      <c r="F7" s="719">
        <v>5</v>
      </c>
      <c r="G7" s="719">
        <v>5</v>
      </c>
      <c r="H7" s="719">
        <v>0</v>
      </c>
      <c r="I7" s="719">
        <v>0</v>
      </c>
      <c r="J7" s="719">
        <f>SUM(D7:I7)</f>
        <v>30</v>
      </c>
      <c r="K7" s="720" t="s">
        <v>1045</v>
      </c>
    </row>
    <row r="8" spans="1:11" s="725" customFormat="1">
      <c r="A8" s="713">
        <v>7</v>
      </c>
      <c r="B8" s="722" t="s">
        <v>1051</v>
      </c>
      <c r="C8" s="723"/>
      <c r="D8" s="724"/>
      <c r="E8" s="724"/>
      <c r="F8" s="724"/>
      <c r="G8" s="724"/>
      <c r="H8" s="724"/>
      <c r="I8" s="724"/>
      <c r="J8" s="724"/>
    </row>
    <row r="9" spans="1:11" outlineLevel="1">
      <c r="A9" s="716">
        <v>8</v>
      </c>
      <c r="B9" s="717" t="s">
        <v>1052</v>
      </c>
      <c r="C9" s="718" t="s">
        <v>1053</v>
      </c>
      <c r="D9" s="726">
        <v>2</v>
      </c>
      <c r="E9" s="726">
        <v>0</v>
      </c>
      <c r="F9" s="726">
        <v>1</v>
      </c>
      <c r="G9" s="726">
        <v>0</v>
      </c>
      <c r="H9" s="726">
        <v>0</v>
      </c>
      <c r="I9" s="726">
        <v>0</v>
      </c>
      <c r="J9" s="726">
        <f>SUM(D9:I9)</f>
        <v>3</v>
      </c>
      <c r="K9" s="727" t="s">
        <v>1051</v>
      </c>
    </row>
    <row r="10" spans="1:11" outlineLevel="1">
      <c r="A10" s="713">
        <v>9</v>
      </c>
      <c r="B10" s="717" t="s">
        <v>1054</v>
      </c>
      <c r="C10" s="718" t="s">
        <v>40</v>
      </c>
      <c r="D10" s="726" t="s">
        <v>816</v>
      </c>
      <c r="E10" s="726">
        <v>8.19</v>
      </c>
      <c r="F10" s="726">
        <v>15</v>
      </c>
      <c r="G10" s="726">
        <v>0</v>
      </c>
      <c r="H10" s="726">
        <v>7.875</v>
      </c>
      <c r="I10" s="726">
        <v>900</v>
      </c>
      <c r="J10" s="726">
        <f>SUM(D10:I10)</f>
        <v>931.06500000000005</v>
      </c>
      <c r="K10" s="727" t="s">
        <v>1051</v>
      </c>
    </row>
    <row r="11" spans="1:11" outlineLevel="1">
      <c r="A11" s="716">
        <v>10</v>
      </c>
      <c r="B11" s="717" t="s">
        <v>1055</v>
      </c>
      <c r="C11" s="718" t="s">
        <v>40</v>
      </c>
      <c r="D11" s="726">
        <v>63</v>
      </c>
      <c r="E11" s="726">
        <v>0</v>
      </c>
      <c r="F11" s="726">
        <v>3</v>
      </c>
      <c r="G11" s="726">
        <v>0</v>
      </c>
      <c r="H11" s="726">
        <v>0</v>
      </c>
      <c r="I11" s="726">
        <v>113.4</v>
      </c>
      <c r="J11" s="726">
        <f>SUM(D11:I11)</f>
        <v>179.4</v>
      </c>
      <c r="K11" s="727" t="s">
        <v>1051</v>
      </c>
    </row>
    <row r="12" spans="1:11" s="725" customFormat="1">
      <c r="A12" s="713">
        <v>11</v>
      </c>
      <c r="B12" s="722" t="s">
        <v>125</v>
      </c>
      <c r="C12" s="728"/>
      <c r="D12" s="724"/>
      <c r="E12" s="724"/>
      <c r="F12" s="724"/>
      <c r="G12" s="724"/>
      <c r="H12" s="724"/>
      <c r="I12" s="724"/>
      <c r="J12" s="724"/>
    </row>
    <row r="13" spans="1:11" outlineLevel="1">
      <c r="A13" s="716">
        <v>12</v>
      </c>
      <c r="B13" s="721" t="s">
        <v>1056</v>
      </c>
      <c r="C13" s="718" t="s">
        <v>40</v>
      </c>
      <c r="D13" s="726">
        <v>329.34</v>
      </c>
      <c r="E13" s="726" t="s">
        <v>816</v>
      </c>
      <c r="F13" s="729" t="s">
        <v>816</v>
      </c>
      <c r="G13" s="726" t="s">
        <v>816</v>
      </c>
      <c r="H13" s="726">
        <v>0</v>
      </c>
      <c r="I13" s="726">
        <v>8.3800000000000008</v>
      </c>
      <c r="J13" s="726">
        <f t="shared" ref="J13:J22" si="0">SUM(D13:I13)</f>
        <v>337.71999999999997</v>
      </c>
      <c r="K13" s="727" t="s">
        <v>125</v>
      </c>
    </row>
    <row r="14" spans="1:11" outlineLevel="1">
      <c r="A14" s="713">
        <v>13</v>
      </c>
      <c r="B14" s="717" t="s">
        <v>1057</v>
      </c>
      <c r="C14" s="718" t="s">
        <v>40</v>
      </c>
      <c r="D14" s="726">
        <v>29.2</v>
      </c>
      <c r="E14" s="726">
        <v>0</v>
      </c>
      <c r="F14" s="726">
        <v>309.988</v>
      </c>
      <c r="G14" s="726">
        <v>0</v>
      </c>
      <c r="H14" s="726">
        <v>0</v>
      </c>
      <c r="I14" s="726">
        <v>74.02</v>
      </c>
      <c r="J14" s="726">
        <f t="shared" si="0"/>
        <v>413.20799999999997</v>
      </c>
      <c r="K14" s="727" t="s">
        <v>125</v>
      </c>
    </row>
    <row r="15" spans="1:11" outlineLevel="1">
      <c r="A15" s="716">
        <v>14</v>
      </c>
      <c r="B15" s="717" t="s">
        <v>1058</v>
      </c>
      <c r="C15" s="718" t="s">
        <v>40</v>
      </c>
      <c r="D15" s="726">
        <v>543.82559999999989</v>
      </c>
      <c r="E15" s="726">
        <v>12.6</v>
      </c>
      <c r="F15" s="726">
        <v>2170.2149000000004</v>
      </c>
      <c r="G15" s="726">
        <v>2100</v>
      </c>
      <c r="H15" s="726">
        <v>71.28</v>
      </c>
      <c r="I15" s="726">
        <v>0</v>
      </c>
      <c r="J15" s="726">
        <f t="shared" si="0"/>
        <v>4897.9205000000002</v>
      </c>
      <c r="K15" s="727" t="s">
        <v>125</v>
      </c>
    </row>
    <row r="16" spans="1:11" outlineLevel="1">
      <c r="A16" s="713">
        <v>15</v>
      </c>
      <c r="B16" s="717" t="s">
        <v>1059</v>
      </c>
      <c r="C16" s="718" t="s">
        <v>40</v>
      </c>
      <c r="D16" s="726" t="s">
        <v>816</v>
      </c>
      <c r="E16" s="726">
        <v>0</v>
      </c>
      <c r="F16" s="726">
        <v>495.00000000000006</v>
      </c>
      <c r="G16" s="726">
        <v>0</v>
      </c>
      <c r="H16" s="726" t="s">
        <v>816</v>
      </c>
      <c r="I16" s="726" t="s">
        <v>816</v>
      </c>
      <c r="J16" s="726">
        <f t="shared" si="0"/>
        <v>495.00000000000006</v>
      </c>
      <c r="K16" s="727" t="s">
        <v>125</v>
      </c>
    </row>
    <row r="17" spans="1:11" outlineLevel="1">
      <c r="A17" s="716">
        <v>16</v>
      </c>
      <c r="B17" s="717" t="s">
        <v>1060</v>
      </c>
      <c r="C17" s="718" t="s">
        <v>40</v>
      </c>
      <c r="D17" s="726">
        <v>0</v>
      </c>
      <c r="E17" s="726">
        <v>0</v>
      </c>
      <c r="F17" s="726">
        <v>0</v>
      </c>
      <c r="G17" s="726">
        <v>0</v>
      </c>
      <c r="H17" s="726">
        <v>0</v>
      </c>
      <c r="I17" s="726">
        <v>0</v>
      </c>
      <c r="J17" s="726">
        <f t="shared" si="0"/>
        <v>0</v>
      </c>
      <c r="K17" s="727" t="s">
        <v>125</v>
      </c>
    </row>
    <row r="18" spans="1:11" outlineLevel="1">
      <c r="A18" s="713">
        <v>17</v>
      </c>
      <c r="B18" s="717" t="s">
        <v>1061</v>
      </c>
      <c r="C18" s="718" t="s">
        <v>40</v>
      </c>
      <c r="D18" s="726">
        <v>0</v>
      </c>
      <c r="E18" s="726">
        <v>0</v>
      </c>
      <c r="F18" s="726">
        <v>0</v>
      </c>
      <c r="G18" s="726">
        <v>0</v>
      </c>
      <c r="H18" s="726">
        <v>0</v>
      </c>
      <c r="I18" s="726">
        <v>0</v>
      </c>
      <c r="J18" s="726">
        <f t="shared" si="0"/>
        <v>0</v>
      </c>
      <c r="K18" s="727" t="s">
        <v>125</v>
      </c>
    </row>
    <row r="19" spans="1:11" outlineLevel="1">
      <c r="A19" s="716">
        <v>18</v>
      </c>
      <c r="B19" s="717" t="s">
        <v>1062</v>
      </c>
      <c r="C19" s="718" t="s">
        <v>68</v>
      </c>
      <c r="D19" s="726" t="s">
        <v>816</v>
      </c>
      <c r="E19" s="726">
        <v>0</v>
      </c>
      <c r="F19" s="726">
        <v>0</v>
      </c>
      <c r="G19" s="726">
        <v>0</v>
      </c>
      <c r="H19" s="726" t="s">
        <v>816</v>
      </c>
      <c r="I19" s="726" t="s">
        <v>816</v>
      </c>
      <c r="J19" s="726">
        <f t="shared" si="0"/>
        <v>0</v>
      </c>
      <c r="K19" s="727" t="s">
        <v>125</v>
      </c>
    </row>
    <row r="20" spans="1:11" outlineLevel="1">
      <c r="A20" s="713">
        <v>19</v>
      </c>
      <c r="B20" s="717" t="s">
        <v>1063</v>
      </c>
      <c r="C20" s="718" t="s">
        <v>40</v>
      </c>
      <c r="D20" s="726">
        <v>195.404</v>
      </c>
      <c r="E20" s="726">
        <v>0</v>
      </c>
      <c r="F20" s="726">
        <v>3240</v>
      </c>
      <c r="G20" s="726">
        <v>2100</v>
      </c>
      <c r="H20" s="726">
        <v>0</v>
      </c>
      <c r="I20" s="726">
        <v>909.21</v>
      </c>
      <c r="J20" s="726">
        <f t="shared" si="0"/>
        <v>6444.6140000000005</v>
      </c>
      <c r="K20" s="727" t="s">
        <v>125</v>
      </c>
    </row>
    <row r="21" spans="1:11" outlineLevel="1">
      <c r="A21" s="716">
        <v>20</v>
      </c>
      <c r="B21" s="717" t="s">
        <v>1064</v>
      </c>
      <c r="C21" s="718" t="s">
        <v>40</v>
      </c>
      <c r="D21" s="726">
        <v>20.526000000000003</v>
      </c>
      <c r="E21" s="726">
        <v>0</v>
      </c>
      <c r="F21" s="726">
        <v>63.5</v>
      </c>
      <c r="G21" s="726">
        <v>840</v>
      </c>
      <c r="H21" s="726">
        <v>0</v>
      </c>
      <c r="I21" s="726">
        <v>367.49</v>
      </c>
      <c r="J21" s="726">
        <f t="shared" si="0"/>
        <v>1291.5160000000001</v>
      </c>
      <c r="K21" s="727" t="s">
        <v>125</v>
      </c>
    </row>
    <row r="22" spans="1:11" outlineLevel="1">
      <c r="A22" s="713">
        <v>21</v>
      </c>
      <c r="B22" s="717" t="s">
        <v>1065</v>
      </c>
      <c r="C22" s="718" t="s">
        <v>40</v>
      </c>
      <c r="D22" s="726">
        <v>965.36559999999986</v>
      </c>
      <c r="E22" s="726">
        <v>0</v>
      </c>
      <c r="F22" s="726">
        <v>4753.28406</v>
      </c>
      <c r="G22" s="726">
        <v>2940</v>
      </c>
      <c r="H22" s="726">
        <v>110.81699999999999</v>
      </c>
      <c r="I22" s="726">
        <v>1563.5200000000002</v>
      </c>
      <c r="J22" s="726">
        <f t="shared" si="0"/>
        <v>10332.986659999999</v>
      </c>
      <c r="K22" s="727" t="s">
        <v>125</v>
      </c>
    </row>
    <row r="23" spans="1:11" s="725" customFormat="1">
      <c r="A23" s="716">
        <v>22</v>
      </c>
      <c r="B23" s="722" t="s">
        <v>1066</v>
      </c>
      <c r="C23" s="728"/>
      <c r="D23" s="724"/>
      <c r="E23" s="724"/>
      <c r="F23" s="724"/>
      <c r="G23" s="724"/>
      <c r="H23" s="724"/>
      <c r="I23" s="724"/>
      <c r="J23" s="724"/>
    </row>
    <row r="24" spans="1:11" s="720" customFormat="1" outlineLevel="1">
      <c r="A24" s="713">
        <v>23</v>
      </c>
      <c r="B24" s="721" t="s">
        <v>1067</v>
      </c>
      <c r="C24" s="718" t="s">
        <v>1068</v>
      </c>
      <c r="D24" s="719">
        <v>965.36559999999986</v>
      </c>
      <c r="E24" s="719" t="s">
        <v>816</v>
      </c>
      <c r="F24" s="716" t="s">
        <v>816</v>
      </c>
      <c r="G24" s="719" t="s">
        <v>816</v>
      </c>
      <c r="H24" s="716" t="s">
        <v>816</v>
      </c>
      <c r="I24" s="716" t="s">
        <v>816</v>
      </c>
      <c r="J24" s="719">
        <f t="shared" ref="J24:J68" si="1">SUM(D24:I24)</f>
        <v>965.36559999999986</v>
      </c>
      <c r="K24" s="720" t="s">
        <v>1066</v>
      </c>
    </row>
    <row r="25" spans="1:11" s="720" customFormat="1" outlineLevel="1">
      <c r="A25" s="716">
        <v>24</v>
      </c>
      <c r="B25" s="717" t="s">
        <v>1069</v>
      </c>
      <c r="C25" s="718" t="s">
        <v>47</v>
      </c>
      <c r="D25" s="719">
        <v>20.32</v>
      </c>
      <c r="E25" s="719" t="s">
        <v>816</v>
      </c>
      <c r="F25" s="716" t="s">
        <v>816</v>
      </c>
      <c r="G25" s="719" t="s">
        <v>816</v>
      </c>
      <c r="H25" s="716" t="s">
        <v>816</v>
      </c>
      <c r="I25" s="716">
        <v>16</v>
      </c>
      <c r="J25" s="719">
        <f t="shared" si="1"/>
        <v>36.32</v>
      </c>
      <c r="K25" s="720" t="s">
        <v>1066</v>
      </c>
    </row>
    <row r="26" spans="1:11" s="720" customFormat="1" outlineLevel="1">
      <c r="A26" s="713">
        <v>25</v>
      </c>
      <c r="B26" s="717" t="s">
        <v>1070</v>
      </c>
      <c r="C26" s="718" t="s">
        <v>1068</v>
      </c>
      <c r="D26" s="719" t="s">
        <v>816</v>
      </c>
      <c r="E26" s="719">
        <v>29.105999999999998</v>
      </c>
      <c r="F26" s="719">
        <v>4753.28406</v>
      </c>
      <c r="G26" s="719">
        <v>2940</v>
      </c>
      <c r="H26" s="719">
        <v>110.81699999999999</v>
      </c>
      <c r="I26" s="719">
        <v>1563.5200000000002</v>
      </c>
      <c r="J26" s="719">
        <f>SUM(D26:I26)</f>
        <v>9396.7270599999993</v>
      </c>
      <c r="K26" s="720" t="s">
        <v>1066</v>
      </c>
    </row>
    <row r="27" spans="1:11" s="725" customFormat="1">
      <c r="A27" s="716">
        <v>26</v>
      </c>
      <c r="B27" s="722" t="s">
        <v>1071</v>
      </c>
      <c r="C27" s="728"/>
      <c r="D27" s="724"/>
      <c r="E27" s="724"/>
      <c r="F27" s="724"/>
      <c r="G27" s="724"/>
      <c r="H27" s="724"/>
      <c r="I27" s="724"/>
      <c r="J27" s="724"/>
    </row>
    <row r="28" spans="1:11" s="720" customFormat="1" outlineLevel="1">
      <c r="A28" s="713">
        <v>27</v>
      </c>
      <c r="B28" s="717" t="s">
        <v>1072</v>
      </c>
      <c r="C28" s="718" t="s">
        <v>201</v>
      </c>
      <c r="D28" s="719">
        <v>1</v>
      </c>
      <c r="E28" s="719" t="s">
        <v>816</v>
      </c>
      <c r="F28" s="716" t="s">
        <v>816</v>
      </c>
      <c r="G28" s="719" t="s">
        <v>816</v>
      </c>
      <c r="H28" s="716" t="s">
        <v>816</v>
      </c>
      <c r="I28" s="716">
        <v>1</v>
      </c>
      <c r="J28" s="719">
        <f t="shared" si="1"/>
        <v>2</v>
      </c>
      <c r="K28" s="720" t="s">
        <v>1071</v>
      </c>
    </row>
    <row r="29" spans="1:11" s="720" customFormat="1" outlineLevel="1">
      <c r="A29" s="716">
        <v>28</v>
      </c>
      <c r="B29" s="721" t="s">
        <v>1073</v>
      </c>
      <c r="C29" s="718" t="s">
        <v>68</v>
      </c>
      <c r="D29" s="719">
        <v>0</v>
      </c>
      <c r="E29" s="719" t="s">
        <v>816</v>
      </c>
      <c r="F29" s="716" t="s">
        <v>816</v>
      </c>
      <c r="G29" s="719" t="s">
        <v>816</v>
      </c>
      <c r="H29" s="719">
        <v>0</v>
      </c>
      <c r="I29" s="719">
        <v>0</v>
      </c>
      <c r="J29" s="719">
        <f t="shared" si="1"/>
        <v>0</v>
      </c>
      <c r="K29" s="720" t="s">
        <v>1071</v>
      </c>
    </row>
    <row r="30" spans="1:11" s="720" customFormat="1" outlineLevel="1">
      <c r="A30" s="713">
        <v>29</v>
      </c>
      <c r="B30" s="721" t="s">
        <v>1074</v>
      </c>
      <c r="C30" s="718" t="s">
        <v>40</v>
      </c>
      <c r="D30" s="719">
        <v>0</v>
      </c>
      <c r="E30" s="719" t="s">
        <v>816</v>
      </c>
      <c r="F30" s="716" t="s">
        <v>816</v>
      </c>
      <c r="G30" s="719" t="s">
        <v>816</v>
      </c>
      <c r="H30" s="719">
        <v>0</v>
      </c>
      <c r="I30" s="719">
        <v>0</v>
      </c>
      <c r="J30" s="719">
        <f t="shared" si="1"/>
        <v>0</v>
      </c>
      <c r="K30" s="720" t="s">
        <v>1071</v>
      </c>
    </row>
    <row r="31" spans="1:11" s="720" customFormat="1" outlineLevel="1">
      <c r="A31" s="716">
        <v>30</v>
      </c>
      <c r="B31" s="721" t="s">
        <v>1075</v>
      </c>
      <c r="C31" s="718" t="s">
        <v>219</v>
      </c>
      <c r="D31" s="719">
        <v>0</v>
      </c>
      <c r="E31" s="719" t="s">
        <v>816</v>
      </c>
      <c r="F31" s="716" t="s">
        <v>816</v>
      </c>
      <c r="G31" s="719" t="s">
        <v>816</v>
      </c>
      <c r="H31" s="719">
        <v>0</v>
      </c>
      <c r="I31" s="719">
        <v>0</v>
      </c>
      <c r="J31" s="719">
        <f t="shared" si="1"/>
        <v>0</v>
      </c>
      <c r="K31" s="720" t="s">
        <v>1071</v>
      </c>
    </row>
    <row r="32" spans="1:11" s="720" customFormat="1" outlineLevel="1">
      <c r="A32" s="713">
        <v>31</v>
      </c>
      <c r="B32" s="721" t="s">
        <v>1076</v>
      </c>
      <c r="C32" s="718" t="s">
        <v>219</v>
      </c>
      <c r="D32" s="719">
        <v>0</v>
      </c>
      <c r="E32" s="719" t="s">
        <v>816</v>
      </c>
      <c r="F32" s="716" t="s">
        <v>816</v>
      </c>
      <c r="G32" s="719" t="s">
        <v>816</v>
      </c>
      <c r="H32" s="719">
        <v>0</v>
      </c>
      <c r="I32" s="719">
        <v>0</v>
      </c>
      <c r="J32" s="719">
        <f t="shared" si="1"/>
        <v>0</v>
      </c>
      <c r="K32" s="720" t="s">
        <v>1071</v>
      </c>
    </row>
    <row r="33" spans="1:11" s="720" customFormat="1" outlineLevel="1">
      <c r="A33" s="716">
        <v>32</v>
      </c>
      <c r="B33" s="721" t="s">
        <v>1077</v>
      </c>
      <c r="C33" s="718" t="s">
        <v>68</v>
      </c>
      <c r="D33" s="719">
        <v>0</v>
      </c>
      <c r="E33" s="719" t="s">
        <v>816</v>
      </c>
      <c r="F33" s="716" t="s">
        <v>816</v>
      </c>
      <c r="G33" s="719" t="s">
        <v>816</v>
      </c>
      <c r="H33" s="719">
        <v>0</v>
      </c>
      <c r="I33" s="719">
        <v>0</v>
      </c>
      <c r="J33" s="719">
        <f t="shared" si="1"/>
        <v>0</v>
      </c>
      <c r="K33" s="720" t="s">
        <v>1071</v>
      </c>
    </row>
    <row r="34" spans="1:11" s="720" customFormat="1" outlineLevel="1">
      <c r="A34" s="713">
        <v>33</v>
      </c>
      <c r="B34" s="717" t="s">
        <v>1078</v>
      </c>
      <c r="C34" s="718" t="s">
        <v>68</v>
      </c>
      <c r="D34" s="719" t="s">
        <v>816</v>
      </c>
      <c r="E34" s="719">
        <v>0</v>
      </c>
      <c r="F34" s="719">
        <v>0</v>
      </c>
      <c r="G34" s="719">
        <v>4500</v>
      </c>
      <c r="H34" s="719" t="s">
        <v>816</v>
      </c>
      <c r="I34" s="719" t="s">
        <v>816</v>
      </c>
      <c r="J34" s="719">
        <f t="shared" si="1"/>
        <v>4500</v>
      </c>
      <c r="K34" s="720" t="s">
        <v>1071</v>
      </c>
    </row>
    <row r="35" spans="1:11" s="725" customFormat="1">
      <c r="A35" s="716">
        <v>34</v>
      </c>
      <c r="B35" s="722" t="s">
        <v>1079</v>
      </c>
      <c r="C35" s="728"/>
      <c r="D35" s="724"/>
      <c r="E35" s="724"/>
      <c r="F35" s="724"/>
      <c r="G35" s="724"/>
      <c r="H35" s="724"/>
      <c r="I35" s="724"/>
      <c r="J35" s="724"/>
    </row>
    <row r="36" spans="1:11" outlineLevel="1">
      <c r="A36" s="713">
        <v>35</v>
      </c>
      <c r="B36" s="721" t="s">
        <v>1080</v>
      </c>
      <c r="C36" s="718" t="s">
        <v>40</v>
      </c>
      <c r="D36" s="726">
        <v>0</v>
      </c>
      <c r="E36" s="726" t="s">
        <v>816</v>
      </c>
      <c r="F36" s="729" t="s">
        <v>816</v>
      </c>
      <c r="G36" s="726" t="s">
        <v>816</v>
      </c>
      <c r="H36" s="726">
        <v>0</v>
      </c>
      <c r="I36" s="726">
        <v>21</v>
      </c>
      <c r="J36" s="726">
        <f t="shared" ref="J36:J52" si="2">SUM(D36:I36)</f>
        <v>21</v>
      </c>
      <c r="K36" s="727" t="s">
        <v>1079</v>
      </c>
    </row>
    <row r="37" spans="1:11" outlineLevel="1">
      <c r="A37" s="716">
        <v>36</v>
      </c>
      <c r="B37" s="721" t="s">
        <v>1081</v>
      </c>
      <c r="C37" s="718" t="s">
        <v>40</v>
      </c>
      <c r="D37" s="726">
        <v>0</v>
      </c>
      <c r="E37" s="726" t="s">
        <v>816</v>
      </c>
      <c r="F37" s="729" t="s">
        <v>816</v>
      </c>
      <c r="G37" s="726" t="s">
        <v>816</v>
      </c>
      <c r="H37" s="726">
        <v>0</v>
      </c>
      <c r="I37" s="726">
        <v>31.499999999999996</v>
      </c>
      <c r="J37" s="726">
        <f t="shared" si="2"/>
        <v>31.499999999999996</v>
      </c>
      <c r="K37" s="727" t="s">
        <v>1079</v>
      </c>
    </row>
    <row r="38" spans="1:11" outlineLevel="1">
      <c r="A38" s="713">
        <v>37</v>
      </c>
      <c r="B38" s="721" t="s">
        <v>1082</v>
      </c>
      <c r="C38" s="718" t="s">
        <v>40</v>
      </c>
      <c r="D38" s="726">
        <v>0</v>
      </c>
      <c r="E38" s="726" t="s">
        <v>816</v>
      </c>
      <c r="F38" s="729" t="s">
        <v>816</v>
      </c>
      <c r="G38" s="726" t="s">
        <v>816</v>
      </c>
      <c r="H38" s="726">
        <v>0</v>
      </c>
      <c r="I38" s="726">
        <v>0</v>
      </c>
      <c r="J38" s="726">
        <f t="shared" si="2"/>
        <v>0</v>
      </c>
      <c r="K38" s="727" t="s">
        <v>1079</v>
      </c>
    </row>
    <row r="39" spans="1:11" outlineLevel="1">
      <c r="A39" s="716">
        <v>38</v>
      </c>
      <c r="B39" s="721" t="s">
        <v>1083</v>
      </c>
      <c r="C39" s="718" t="s">
        <v>33</v>
      </c>
      <c r="D39" s="726">
        <v>0</v>
      </c>
      <c r="E39" s="726" t="s">
        <v>816</v>
      </c>
      <c r="F39" s="729" t="s">
        <v>816</v>
      </c>
      <c r="G39" s="726" t="s">
        <v>816</v>
      </c>
      <c r="H39" s="726">
        <v>0</v>
      </c>
      <c r="I39" s="726">
        <v>1131</v>
      </c>
      <c r="J39" s="726">
        <f t="shared" si="2"/>
        <v>1131</v>
      </c>
      <c r="K39" s="727" t="s">
        <v>1079</v>
      </c>
    </row>
    <row r="40" spans="1:11" outlineLevel="1">
      <c r="A40" s="713">
        <v>39</v>
      </c>
      <c r="B40" s="721" t="s">
        <v>1084</v>
      </c>
      <c r="C40" s="718" t="s">
        <v>68</v>
      </c>
      <c r="D40" s="726">
        <v>0</v>
      </c>
      <c r="E40" s="726" t="s">
        <v>816</v>
      </c>
      <c r="F40" s="729" t="s">
        <v>816</v>
      </c>
      <c r="G40" s="726" t="s">
        <v>816</v>
      </c>
      <c r="H40" s="726">
        <v>0</v>
      </c>
      <c r="I40" s="726">
        <v>108.5</v>
      </c>
      <c r="J40" s="726">
        <f t="shared" si="2"/>
        <v>108.5</v>
      </c>
      <c r="K40" s="727" t="s">
        <v>1079</v>
      </c>
    </row>
    <row r="41" spans="1:11" s="720" customFormat="1" outlineLevel="1">
      <c r="A41" s="716">
        <v>40</v>
      </c>
      <c r="B41" s="717" t="s">
        <v>1085</v>
      </c>
      <c r="C41" s="718" t="s">
        <v>219</v>
      </c>
      <c r="D41" s="719" t="s">
        <v>816</v>
      </c>
      <c r="E41" s="719" t="s">
        <v>816</v>
      </c>
      <c r="F41" s="719">
        <v>139</v>
      </c>
      <c r="G41" s="719" t="s">
        <v>816</v>
      </c>
      <c r="H41" s="719" t="s">
        <v>816</v>
      </c>
      <c r="I41" s="719" t="s">
        <v>816</v>
      </c>
      <c r="J41" s="719">
        <f t="shared" si="2"/>
        <v>139</v>
      </c>
      <c r="K41" s="720" t="s">
        <v>1079</v>
      </c>
    </row>
    <row r="42" spans="1:11" outlineLevel="1">
      <c r="A42" s="713">
        <v>41</v>
      </c>
      <c r="B42" s="717" t="s">
        <v>1086</v>
      </c>
      <c r="C42" s="718" t="s">
        <v>40</v>
      </c>
      <c r="D42" s="726" t="s">
        <v>816</v>
      </c>
      <c r="E42" s="726">
        <v>0</v>
      </c>
      <c r="F42" s="726">
        <v>0</v>
      </c>
      <c r="G42" s="726">
        <v>750</v>
      </c>
      <c r="H42" s="726" t="s">
        <v>816</v>
      </c>
      <c r="I42" s="726" t="s">
        <v>816</v>
      </c>
      <c r="J42" s="726">
        <f t="shared" si="2"/>
        <v>750</v>
      </c>
      <c r="K42" s="727" t="s">
        <v>1079</v>
      </c>
    </row>
    <row r="43" spans="1:11" outlineLevel="1">
      <c r="A43" s="716">
        <v>42</v>
      </c>
      <c r="B43" s="717" t="s">
        <v>1087</v>
      </c>
      <c r="C43" s="718" t="s">
        <v>68</v>
      </c>
      <c r="D43" s="726">
        <v>0</v>
      </c>
      <c r="E43" s="726">
        <v>0</v>
      </c>
      <c r="F43" s="726">
        <v>0</v>
      </c>
      <c r="G43" s="726">
        <v>0</v>
      </c>
      <c r="H43" s="726">
        <v>0</v>
      </c>
      <c r="I43" s="726">
        <v>0</v>
      </c>
      <c r="J43" s="726">
        <f t="shared" si="2"/>
        <v>0</v>
      </c>
      <c r="K43" s="727" t="s">
        <v>1079</v>
      </c>
    </row>
    <row r="44" spans="1:11" outlineLevel="1">
      <c r="A44" s="713">
        <v>43</v>
      </c>
      <c r="B44" s="717" t="s">
        <v>1088</v>
      </c>
      <c r="C44" s="718" t="s">
        <v>40</v>
      </c>
      <c r="D44" s="726">
        <v>0</v>
      </c>
      <c r="E44" s="726">
        <v>0</v>
      </c>
      <c r="F44" s="726">
        <v>0</v>
      </c>
      <c r="G44" s="726">
        <v>150</v>
      </c>
      <c r="H44" s="726">
        <v>0</v>
      </c>
      <c r="I44" s="726">
        <v>0</v>
      </c>
      <c r="J44" s="726">
        <f t="shared" si="2"/>
        <v>150</v>
      </c>
      <c r="K44" s="727" t="s">
        <v>1079</v>
      </c>
    </row>
    <row r="45" spans="1:11" outlineLevel="1">
      <c r="A45" s="716">
        <v>44</v>
      </c>
      <c r="B45" s="717" t="s">
        <v>1089</v>
      </c>
      <c r="C45" s="718" t="s">
        <v>40</v>
      </c>
      <c r="D45" s="726">
        <v>0</v>
      </c>
      <c r="E45" s="726">
        <v>0</v>
      </c>
      <c r="F45" s="726">
        <v>0</v>
      </c>
      <c r="G45" s="726">
        <v>0</v>
      </c>
      <c r="H45" s="726">
        <v>0</v>
      </c>
      <c r="I45" s="726">
        <v>0</v>
      </c>
      <c r="J45" s="726">
        <f t="shared" si="2"/>
        <v>0</v>
      </c>
      <c r="K45" s="727" t="s">
        <v>1079</v>
      </c>
    </row>
    <row r="46" spans="1:11" outlineLevel="1">
      <c r="A46" s="713">
        <v>45</v>
      </c>
      <c r="B46" s="717" t="s">
        <v>1090</v>
      </c>
      <c r="C46" s="718" t="s">
        <v>40</v>
      </c>
      <c r="D46" s="726">
        <v>0</v>
      </c>
      <c r="E46" s="726">
        <v>0</v>
      </c>
      <c r="F46" s="726">
        <v>0</v>
      </c>
      <c r="G46" s="726">
        <v>0</v>
      </c>
      <c r="H46" s="726">
        <v>0</v>
      </c>
      <c r="I46" s="726">
        <v>0</v>
      </c>
      <c r="J46" s="726">
        <f t="shared" si="2"/>
        <v>0</v>
      </c>
      <c r="K46" s="727" t="s">
        <v>1079</v>
      </c>
    </row>
    <row r="47" spans="1:11" outlineLevel="1">
      <c r="A47" s="716">
        <v>46</v>
      </c>
      <c r="B47" s="717" t="s">
        <v>1091</v>
      </c>
      <c r="C47" s="718" t="s">
        <v>40</v>
      </c>
      <c r="D47" s="726">
        <v>26.999999999999996</v>
      </c>
      <c r="E47" s="726">
        <v>0</v>
      </c>
      <c r="F47" s="726">
        <v>0</v>
      </c>
      <c r="G47" s="726">
        <v>112.5</v>
      </c>
      <c r="H47" s="726">
        <v>0</v>
      </c>
      <c r="I47" s="726" t="s">
        <v>816</v>
      </c>
      <c r="J47" s="726">
        <f t="shared" si="2"/>
        <v>139.5</v>
      </c>
      <c r="K47" s="727" t="s">
        <v>1079</v>
      </c>
    </row>
    <row r="48" spans="1:11" outlineLevel="1">
      <c r="A48" s="713">
        <v>47</v>
      </c>
      <c r="B48" s="717" t="s">
        <v>1092</v>
      </c>
      <c r="C48" s="718" t="s">
        <v>33</v>
      </c>
      <c r="D48" s="726">
        <v>0</v>
      </c>
      <c r="E48" s="726">
        <v>0</v>
      </c>
      <c r="F48" s="726">
        <v>0</v>
      </c>
      <c r="G48" s="726">
        <v>5700</v>
      </c>
      <c r="H48" s="726">
        <v>0</v>
      </c>
      <c r="I48" s="726" t="s">
        <v>816</v>
      </c>
      <c r="J48" s="726">
        <f t="shared" si="2"/>
        <v>5700</v>
      </c>
      <c r="K48" s="727" t="s">
        <v>1079</v>
      </c>
    </row>
    <row r="49" spans="1:11" outlineLevel="1">
      <c r="A49" s="716">
        <v>48</v>
      </c>
      <c r="B49" s="717" t="s">
        <v>1093</v>
      </c>
      <c r="C49" s="718" t="s">
        <v>68</v>
      </c>
      <c r="D49" s="726">
        <v>93</v>
      </c>
      <c r="E49" s="726">
        <v>0</v>
      </c>
      <c r="F49" s="726">
        <v>0</v>
      </c>
      <c r="G49" s="726">
        <v>387.5</v>
      </c>
      <c r="H49" s="726">
        <v>0</v>
      </c>
      <c r="I49" s="726" t="s">
        <v>816</v>
      </c>
      <c r="J49" s="726">
        <f t="shared" si="2"/>
        <v>480.5</v>
      </c>
      <c r="K49" s="727" t="s">
        <v>1079</v>
      </c>
    </row>
    <row r="50" spans="1:11" outlineLevel="1">
      <c r="A50" s="713">
        <v>49</v>
      </c>
      <c r="B50" s="717" t="s">
        <v>1094</v>
      </c>
      <c r="C50" s="718" t="s">
        <v>219</v>
      </c>
      <c r="D50" s="726">
        <v>0</v>
      </c>
      <c r="E50" s="726">
        <v>0</v>
      </c>
      <c r="F50" s="726">
        <v>0</v>
      </c>
      <c r="G50" s="726">
        <v>0</v>
      </c>
      <c r="H50" s="726">
        <v>0</v>
      </c>
      <c r="I50" s="726">
        <v>0</v>
      </c>
      <c r="J50" s="726">
        <f t="shared" si="2"/>
        <v>0</v>
      </c>
      <c r="K50" s="727" t="s">
        <v>1079</v>
      </c>
    </row>
    <row r="51" spans="1:11" outlineLevel="1">
      <c r="A51" s="716">
        <v>50</v>
      </c>
      <c r="B51" s="717" t="s">
        <v>1095</v>
      </c>
      <c r="C51" s="718" t="s">
        <v>219</v>
      </c>
      <c r="D51" s="726">
        <v>13.5</v>
      </c>
      <c r="E51" s="726">
        <v>0</v>
      </c>
      <c r="F51" s="726">
        <v>0</v>
      </c>
      <c r="G51" s="726">
        <v>380</v>
      </c>
      <c r="H51" s="726">
        <v>0</v>
      </c>
      <c r="I51" s="726">
        <v>21</v>
      </c>
      <c r="J51" s="726">
        <f t="shared" si="2"/>
        <v>414.5</v>
      </c>
      <c r="K51" s="727" t="s">
        <v>1079</v>
      </c>
    </row>
    <row r="52" spans="1:11" outlineLevel="1">
      <c r="A52" s="713">
        <v>51</v>
      </c>
      <c r="B52" s="717" t="s">
        <v>1096</v>
      </c>
      <c r="C52" s="718" t="s">
        <v>219</v>
      </c>
      <c r="D52" s="726" t="s">
        <v>816</v>
      </c>
      <c r="E52" s="726">
        <v>0</v>
      </c>
      <c r="F52" s="726">
        <v>0</v>
      </c>
      <c r="G52" s="726">
        <v>0</v>
      </c>
      <c r="H52" s="726" t="s">
        <v>816</v>
      </c>
      <c r="I52" s="726" t="s">
        <v>816</v>
      </c>
      <c r="J52" s="726">
        <f t="shared" si="2"/>
        <v>0</v>
      </c>
      <c r="K52" s="727" t="s">
        <v>1079</v>
      </c>
    </row>
    <row r="53" spans="1:11" s="725" customFormat="1">
      <c r="A53" s="716">
        <v>52</v>
      </c>
      <c r="B53" s="722" t="s">
        <v>1097</v>
      </c>
      <c r="C53" s="728"/>
      <c r="D53" s="724"/>
      <c r="E53" s="724"/>
      <c r="F53" s="724"/>
      <c r="G53" s="724"/>
      <c r="H53" s="724"/>
      <c r="I53" s="724"/>
      <c r="J53" s="724"/>
    </row>
    <row r="54" spans="1:11" s="720" customFormat="1" outlineLevel="1">
      <c r="A54" s="713">
        <v>53</v>
      </c>
      <c r="B54" s="717" t="s">
        <v>1098</v>
      </c>
      <c r="C54" s="718" t="s">
        <v>68</v>
      </c>
      <c r="D54" s="719">
        <v>255.91799999999998</v>
      </c>
      <c r="E54" s="719" t="s">
        <v>816</v>
      </c>
      <c r="F54" s="716" t="s">
        <v>816</v>
      </c>
      <c r="G54" s="719" t="s">
        <v>816</v>
      </c>
      <c r="H54" s="716" t="s">
        <v>816</v>
      </c>
      <c r="I54" s="716" t="s">
        <v>816</v>
      </c>
      <c r="J54" s="719">
        <f t="shared" si="1"/>
        <v>255.91799999999998</v>
      </c>
      <c r="K54" s="720" t="s">
        <v>1097</v>
      </c>
    </row>
    <row r="55" spans="1:11" s="720" customFormat="1" outlineLevel="1">
      <c r="A55" s="716">
        <v>54</v>
      </c>
      <c r="B55" s="717" t="s">
        <v>1099</v>
      </c>
      <c r="C55" s="718" t="s">
        <v>1100</v>
      </c>
      <c r="D55" s="719">
        <v>4</v>
      </c>
      <c r="E55" s="719" t="s">
        <v>816</v>
      </c>
      <c r="F55" s="716" t="s">
        <v>816</v>
      </c>
      <c r="G55" s="719" t="s">
        <v>816</v>
      </c>
      <c r="H55" s="716" t="s">
        <v>816</v>
      </c>
      <c r="I55" s="716">
        <v>4</v>
      </c>
      <c r="J55" s="719">
        <f t="shared" si="1"/>
        <v>8</v>
      </c>
      <c r="K55" s="720" t="s">
        <v>1097</v>
      </c>
    </row>
    <row r="56" spans="1:11" outlineLevel="1">
      <c r="A56" s="713">
        <v>55</v>
      </c>
      <c r="B56" s="721" t="s">
        <v>1101</v>
      </c>
      <c r="C56" s="718" t="s">
        <v>40</v>
      </c>
      <c r="D56" s="726">
        <v>0</v>
      </c>
      <c r="E56" s="726">
        <v>0</v>
      </c>
      <c r="F56" s="726" t="s">
        <v>816</v>
      </c>
      <c r="G56" s="726" t="s">
        <v>816</v>
      </c>
      <c r="H56" s="726">
        <v>0</v>
      </c>
      <c r="I56" s="726">
        <v>38.43</v>
      </c>
      <c r="J56" s="726">
        <f t="shared" si="1"/>
        <v>38.43</v>
      </c>
      <c r="K56" s="727" t="s">
        <v>1097</v>
      </c>
    </row>
    <row r="57" spans="1:11" outlineLevel="1">
      <c r="A57" s="716">
        <v>56</v>
      </c>
      <c r="B57" s="721" t="s">
        <v>1102</v>
      </c>
      <c r="C57" s="718" t="s">
        <v>40</v>
      </c>
      <c r="D57" s="726">
        <v>0</v>
      </c>
      <c r="E57" s="726">
        <v>0</v>
      </c>
      <c r="F57" s="726" t="s">
        <v>816</v>
      </c>
      <c r="G57" s="726" t="s">
        <v>816</v>
      </c>
      <c r="H57" s="726">
        <v>0</v>
      </c>
      <c r="I57" s="726">
        <v>0</v>
      </c>
      <c r="J57" s="726">
        <f t="shared" si="1"/>
        <v>0</v>
      </c>
      <c r="K57" s="727" t="s">
        <v>1097</v>
      </c>
    </row>
    <row r="58" spans="1:11" outlineLevel="1">
      <c r="A58" s="713">
        <v>57</v>
      </c>
      <c r="B58" s="721" t="s">
        <v>1103</v>
      </c>
      <c r="C58" s="718" t="s">
        <v>40</v>
      </c>
      <c r="D58" s="726">
        <v>0</v>
      </c>
      <c r="E58" s="726">
        <v>0</v>
      </c>
      <c r="F58" s="726" t="s">
        <v>816</v>
      </c>
      <c r="G58" s="726" t="s">
        <v>816</v>
      </c>
      <c r="H58" s="726">
        <v>0</v>
      </c>
      <c r="I58" s="726">
        <v>0</v>
      </c>
      <c r="J58" s="726">
        <f t="shared" si="1"/>
        <v>0</v>
      </c>
      <c r="K58" s="727" t="s">
        <v>1097</v>
      </c>
    </row>
    <row r="59" spans="1:11" outlineLevel="1">
      <c r="A59" s="716">
        <v>58</v>
      </c>
      <c r="B59" s="721" t="s">
        <v>1104</v>
      </c>
      <c r="C59" s="718" t="s">
        <v>40</v>
      </c>
      <c r="D59" s="726">
        <v>326.72000000000003</v>
      </c>
      <c r="E59" s="726">
        <v>12.434999999999999</v>
      </c>
      <c r="F59" s="726" t="s">
        <v>816</v>
      </c>
      <c r="G59" s="726" t="s">
        <v>816</v>
      </c>
      <c r="H59" s="726">
        <v>0</v>
      </c>
      <c r="I59" s="726">
        <v>793.51</v>
      </c>
      <c r="J59" s="726">
        <f t="shared" si="1"/>
        <v>1132.665</v>
      </c>
      <c r="K59" s="727" t="s">
        <v>1097</v>
      </c>
    </row>
    <row r="60" spans="1:11" outlineLevel="1">
      <c r="A60" s="713">
        <v>59</v>
      </c>
      <c r="B60" s="721" t="s">
        <v>1105</v>
      </c>
      <c r="C60" s="718" t="s">
        <v>33</v>
      </c>
      <c r="D60" s="726">
        <v>0</v>
      </c>
      <c r="E60" s="726">
        <v>0</v>
      </c>
      <c r="F60" s="726" t="s">
        <v>816</v>
      </c>
      <c r="G60" s="726" t="s">
        <v>816</v>
      </c>
      <c r="H60" s="726">
        <v>0</v>
      </c>
      <c r="I60" s="726">
        <v>0</v>
      </c>
      <c r="J60" s="726">
        <f t="shared" si="1"/>
        <v>0</v>
      </c>
      <c r="K60" s="727" t="s">
        <v>1097</v>
      </c>
    </row>
    <row r="61" spans="1:11" outlineLevel="1">
      <c r="A61" s="716">
        <v>60</v>
      </c>
      <c r="B61" s="721" t="s">
        <v>1106</v>
      </c>
      <c r="C61" s="718" t="s">
        <v>33</v>
      </c>
      <c r="D61" s="726">
        <v>25171.81</v>
      </c>
      <c r="E61" s="726">
        <v>1747</v>
      </c>
      <c r="F61" s="726" t="s">
        <v>816</v>
      </c>
      <c r="G61" s="726" t="s">
        <v>816</v>
      </c>
      <c r="H61" s="726">
        <v>0</v>
      </c>
      <c r="I61" s="726">
        <v>160544.95999999999</v>
      </c>
      <c r="J61" s="726">
        <f t="shared" si="1"/>
        <v>187463.77</v>
      </c>
      <c r="K61" s="727" t="s">
        <v>1097</v>
      </c>
    </row>
    <row r="62" spans="1:11" outlineLevel="1">
      <c r="A62" s="713">
        <v>61</v>
      </c>
      <c r="B62" s="721" t="s">
        <v>1107</v>
      </c>
      <c r="C62" s="718" t="s">
        <v>68</v>
      </c>
      <c r="D62" s="726">
        <v>0</v>
      </c>
      <c r="E62" s="726">
        <v>42</v>
      </c>
      <c r="F62" s="726" t="s">
        <v>816</v>
      </c>
      <c r="G62" s="726" t="s">
        <v>816</v>
      </c>
      <c r="H62" s="726">
        <v>0</v>
      </c>
      <c r="I62" s="726">
        <v>0</v>
      </c>
      <c r="J62" s="726">
        <f t="shared" si="1"/>
        <v>42</v>
      </c>
      <c r="K62" s="727" t="s">
        <v>1097</v>
      </c>
    </row>
    <row r="63" spans="1:11" outlineLevel="1">
      <c r="A63" s="716">
        <v>62</v>
      </c>
      <c r="B63" s="721" t="s">
        <v>1108</v>
      </c>
      <c r="C63" s="718" t="s">
        <v>68</v>
      </c>
      <c r="D63" s="726">
        <v>0</v>
      </c>
      <c r="E63" s="726">
        <v>0</v>
      </c>
      <c r="F63" s="726" t="s">
        <v>816</v>
      </c>
      <c r="G63" s="726" t="s">
        <v>816</v>
      </c>
      <c r="H63" s="726">
        <v>0</v>
      </c>
      <c r="I63" s="726">
        <v>0</v>
      </c>
      <c r="J63" s="726">
        <f t="shared" si="1"/>
        <v>0</v>
      </c>
      <c r="K63" s="727" t="s">
        <v>1097</v>
      </c>
    </row>
    <row r="64" spans="1:11" outlineLevel="1">
      <c r="A64" s="713">
        <v>63</v>
      </c>
      <c r="B64" s="721" t="s">
        <v>1109</v>
      </c>
      <c r="C64" s="718" t="s">
        <v>33</v>
      </c>
      <c r="D64" s="726" t="s">
        <v>816</v>
      </c>
      <c r="E64" s="726">
        <v>0</v>
      </c>
      <c r="F64" s="726" t="s">
        <v>816</v>
      </c>
      <c r="G64" s="726" t="s">
        <v>816</v>
      </c>
      <c r="H64" s="726">
        <v>0</v>
      </c>
      <c r="I64" s="726">
        <v>0</v>
      </c>
      <c r="J64" s="726">
        <f t="shared" si="1"/>
        <v>0</v>
      </c>
      <c r="K64" s="727" t="s">
        <v>1097</v>
      </c>
    </row>
    <row r="65" spans="1:11" outlineLevel="1">
      <c r="A65" s="716">
        <v>64</v>
      </c>
      <c r="B65" s="721" t="s">
        <v>1110</v>
      </c>
      <c r="C65" s="718" t="s">
        <v>33</v>
      </c>
      <c r="D65" s="726">
        <v>3280.08</v>
      </c>
      <c r="E65" s="726">
        <v>0</v>
      </c>
      <c r="F65" s="726" t="s">
        <v>816</v>
      </c>
      <c r="G65" s="726" t="s">
        <v>816</v>
      </c>
      <c r="H65" s="726">
        <v>0</v>
      </c>
      <c r="I65" s="726">
        <v>3482.94</v>
      </c>
      <c r="J65" s="726">
        <f t="shared" si="1"/>
        <v>6763.02</v>
      </c>
      <c r="K65" s="727" t="s">
        <v>1097</v>
      </c>
    </row>
    <row r="66" spans="1:11" outlineLevel="1">
      <c r="A66" s="713">
        <v>65</v>
      </c>
      <c r="B66" s="721" t="s">
        <v>1111</v>
      </c>
      <c r="C66" s="718" t="s">
        <v>1112</v>
      </c>
      <c r="D66" s="726">
        <v>110.88</v>
      </c>
      <c r="E66" s="726">
        <v>0</v>
      </c>
      <c r="F66" s="726" t="s">
        <v>816</v>
      </c>
      <c r="G66" s="726" t="s">
        <v>816</v>
      </c>
      <c r="H66" s="726">
        <v>0</v>
      </c>
      <c r="I66" s="726">
        <v>110.88</v>
      </c>
      <c r="J66" s="726">
        <f t="shared" si="1"/>
        <v>221.76</v>
      </c>
      <c r="K66" s="727" t="s">
        <v>1097</v>
      </c>
    </row>
    <row r="67" spans="1:11" outlineLevel="1">
      <c r="A67" s="713"/>
      <c r="B67" s="721" t="s">
        <v>1113</v>
      </c>
      <c r="C67" s="718"/>
      <c r="D67" s="726"/>
      <c r="E67" s="726"/>
      <c r="F67" s="726"/>
      <c r="G67" s="726"/>
      <c r="H67" s="726"/>
      <c r="I67" s="726">
        <v>257.54999999999995</v>
      </c>
      <c r="J67" s="726"/>
    </row>
    <row r="68" spans="1:11" outlineLevel="1">
      <c r="A68" s="716">
        <v>66</v>
      </c>
      <c r="B68" s="721" t="s">
        <v>1114</v>
      </c>
      <c r="C68" s="718" t="s">
        <v>219</v>
      </c>
      <c r="D68" s="726">
        <v>72</v>
      </c>
      <c r="E68" s="726">
        <v>0</v>
      </c>
      <c r="F68" s="726" t="s">
        <v>816</v>
      </c>
      <c r="G68" s="726" t="s">
        <v>816</v>
      </c>
      <c r="H68" s="726">
        <v>0</v>
      </c>
      <c r="I68" s="726">
        <v>72</v>
      </c>
      <c r="J68" s="726">
        <f t="shared" si="1"/>
        <v>144</v>
      </c>
      <c r="K68" s="727" t="s">
        <v>1097</v>
      </c>
    </row>
    <row r="69" spans="1:11" s="725" customFormat="1">
      <c r="A69" s="713">
        <v>67</v>
      </c>
      <c r="B69" s="722" t="s">
        <v>1115</v>
      </c>
      <c r="C69" s="728"/>
      <c r="D69" s="724"/>
      <c r="E69" s="724"/>
      <c r="F69" s="724"/>
      <c r="G69" s="724"/>
      <c r="H69" s="724"/>
      <c r="I69" s="724"/>
      <c r="J69" s="724"/>
    </row>
    <row r="70" spans="1:11" outlineLevel="1">
      <c r="A70" s="716">
        <v>68</v>
      </c>
      <c r="B70" s="721" t="s">
        <v>1116</v>
      </c>
      <c r="C70" s="718" t="s">
        <v>40</v>
      </c>
      <c r="D70" s="726">
        <v>0</v>
      </c>
      <c r="E70" s="726" t="s">
        <v>816</v>
      </c>
      <c r="F70" s="729" t="s">
        <v>816</v>
      </c>
      <c r="G70" s="726" t="s">
        <v>816</v>
      </c>
      <c r="H70" s="726">
        <v>0</v>
      </c>
      <c r="I70" s="726">
        <v>0</v>
      </c>
      <c r="J70" s="726">
        <f t="shared" ref="J70:J77" si="3">SUM(D70:I70)</f>
        <v>0</v>
      </c>
      <c r="K70" s="727" t="s">
        <v>1115</v>
      </c>
    </row>
    <row r="71" spans="1:11" s="720" customFormat="1" outlineLevel="1">
      <c r="A71" s="713">
        <v>69</v>
      </c>
      <c r="B71" s="717" t="s">
        <v>1117</v>
      </c>
      <c r="C71" s="718" t="s">
        <v>40</v>
      </c>
      <c r="D71" s="719" t="s">
        <v>816</v>
      </c>
      <c r="E71" s="719" t="s">
        <v>816</v>
      </c>
      <c r="F71" s="719">
        <v>234</v>
      </c>
      <c r="G71" s="719">
        <v>208</v>
      </c>
      <c r="H71" s="719" t="s">
        <v>816</v>
      </c>
      <c r="I71" s="719" t="s">
        <v>816</v>
      </c>
      <c r="J71" s="719">
        <f t="shared" si="3"/>
        <v>442</v>
      </c>
      <c r="K71" s="720" t="s">
        <v>1115</v>
      </c>
    </row>
    <row r="72" spans="1:11" outlineLevel="1">
      <c r="A72" s="716">
        <v>70</v>
      </c>
      <c r="B72" s="717" t="s">
        <v>1118</v>
      </c>
      <c r="C72" s="718" t="s">
        <v>40</v>
      </c>
      <c r="D72" s="726">
        <v>0</v>
      </c>
      <c r="E72" s="726">
        <v>0</v>
      </c>
      <c r="F72" s="726">
        <v>420.00000000000006</v>
      </c>
      <c r="G72" s="726">
        <v>294.00000000000006</v>
      </c>
      <c r="H72" s="726">
        <v>0</v>
      </c>
      <c r="I72" s="726">
        <v>0</v>
      </c>
      <c r="J72" s="726">
        <f t="shared" si="3"/>
        <v>714.00000000000011</v>
      </c>
      <c r="K72" s="727" t="s">
        <v>1115</v>
      </c>
    </row>
    <row r="73" spans="1:11" outlineLevel="1">
      <c r="A73" s="713">
        <v>71</v>
      </c>
      <c r="B73" s="717" t="s">
        <v>1119</v>
      </c>
      <c r="C73" s="718" t="s">
        <v>40</v>
      </c>
      <c r="D73" s="726">
        <v>345</v>
      </c>
      <c r="E73" s="726">
        <v>0</v>
      </c>
      <c r="F73" s="726">
        <v>1329.2419</v>
      </c>
      <c r="G73" s="726">
        <v>1134</v>
      </c>
      <c r="H73" s="726">
        <v>0</v>
      </c>
      <c r="I73" s="726">
        <v>655.99999999999989</v>
      </c>
      <c r="J73" s="726">
        <f t="shared" si="3"/>
        <v>3464.2419</v>
      </c>
      <c r="K73" s="727" t="s">
        <v>1115</v>
      </c>
    </row>
    <row r="74" spans="1:11" outlineLevel="1">
      <c r="A74" s="716">
        <v>72</v>
      </c>
      <c r="B74" s="717" t="s">
        <v>1120</v>
      </c>
      <c r="C74" s="718" t="s">
        <v>40</v>
      </c>
      <c r="D74" s="726">
        <v>322</v>
      </c>
      <c r="E74" s="726">
        <v>0</v>
      </c>
      <c r="F74" s="726">
        <v>1039.9939999999999</v>
      </c>
      <c r="G74" s="726">
        <v>840</v>
      </c>
      <c r="H74" s="726">
        <v>0</v>
      </c>
      <c r="I74" s="726">
        <v>655.99999999999989</v>
      </c>
      <c r="J74" s="726">
        <f t="shared" si="3"/>
        <v>2857.9939999999997</v>
      </c>
      <c r="K74" s="727" t="s">
        <v>1115</v>
      </c>
    </row>
    <row r="75" spans="1:11" outlineLevel="1">
      <c r="A75" s="713">
        <v>73</v>
      </c>
      <c r="B75" s="717" t="s">
        <v>750</v>
      </c>
      <c r="C75" s="718" t="s">
        <v>68</v>
      </c>
      <c r="D75" s="726">
        <v>0</v>
      </c>
      <c r="E75" s="726">
        <v>0</v>
      </c>
      <c r="F75" s="726">
        <v>0</v>
      </c>
      <c r="G75" s="726">
        <v>0</v>
      </c>
      <c r="H75" s="726">
        <v>0</v>
      </c>
      <c r="I75" s="726">
        <v>0</v>
      </c>
      <c r="J75" s="726">
        <f t="shared" si="3"/>
        <v>0</v>
      </c>
      <c r="K75" s="727" t="s">
        <v>1115</v>
      </c>
    </row>
    <row r="76" spans="1:11" outlineLevel="1">
      <c r="A76" s="716">
        <v>74</v>
      </c>
      <c r="B76" s="717" t="s">
        <v>1121</v>
      </c>
      <c r="C76" s="718" t="s">
        <v>68</v>
      </c>
      <c r="D76" s="726">
        <v>1281.5</v>
      </c>
      <c r="E76" s="726">
        <v>0</v>
      </c>
      <c r="F76" s="726">
        <v>3424.9700000000003</v>
      </c>
      <c r="G76" s="726">
        <v>2688</v>
      </c>
      <c r="H76" s="726">
        <v>0</v>
      </c>
      <c r="I76" s="726">
        <v>1530.6666666666665</v>
      </c>
      <c r="J76" s="726">
        <f t="shared" si="3"/>
        <v>8925.1366666666672</v>
      </c>
      <c r="K76" s="727" t="s">
        <v>1115</v>
      </c>
    </row>
    <row r="77" spans="1:11" outlineLevel="1">
      <c r="A77" s="713">
        <v>75</v>
      </c>
      <c r="B77" s="717" t="s">
        <v>1122</v>
      </c>
      <c r="C77" s="718" t="s">
        <v>40</v>
      </c>
      <c r="D77" s="726">
        <v>115.33499999999999</v>
      </c>
      <c r="E77" s="726">
        <v>0</v>
      </c>
      <c r="F77" s="726">
        <v>564.7473</v>
      </c>
      <c r="G77" s="726">
        <v>241.92000000000002</v>
      </c>
      <c r="H77" s="726">
        <v>0</v>
      </c>
      <c r="I77" s="726">
        <v>198.98666666666665</v>
      </c>
      <c r="J77" s="726">
        <f t="shared" si="3"/>
        <v>1120.9889666666668</v>
      </c>
      <c r="K77" s="727" t="s">
        <v>1115</v>
      </c>
    </row>
    <row r="78" spans="1:11" s="725" customFormat="1">
      <c r="A78" s="716">
        <v>76</v>
      </c>
      <c r="B78" s="722" t="s">
        <v>1123</v>
      </c>
      <c r="C78" s="728"/>
      <c r="D78" s="724"/>
      <c r="E78" s="724"/>
      <c r="F78" s="724"/>
      <c r="G78" s="724"/>
      <c r="H78" s="724"/>
      <c r="I78" s="724"/>
      <c r="J78" s="724"/>
    </row>
    <row r="79" spans="1:11" outlineLevel="1">
      <c r="A79" s="713">
        <v>77</v>
      </c>
      <c r="B79" s="721" t="s">
        <v>1124</v>
      </c>
      <c r="C79" s="718" t="s">
        <v>218</v>
      </c>
      <c r="D79" s="726">
        <v>0</v>
      </c>
      <c r="E79" s="726" t="s">
        <v>816</v>
      </c>
      <c r="F79" s="729" t="s">
        <v>816</v>
      </c>
      <c r="G79" s="726" t="s">
        <v>816</v>
      </c>
      <c r="H79" s="726">
        <v>0</v>
      </c>
      <c r="I79" s="726" t="s">
        <v>816</v>
      </c>
      <c r="J79" s="726">
        <f t="shared" ref="J79:J85" si="4">SUM(D79:I79)</f>
        <v>0</v>
      </c>
      <c r="K79" s="727" t="s">
        <v>1123</v>
      </c>
    </row>
    <row r="80" spans="1:11" outlineLevel="1">
      <c r="A80" s="716">
        <v>78</v>
      </c>
      <c r="B80" s="717" t="s">
        <v>1125</v>
      </c>
      <c r="C80" s="718" t="s">
        <v>219</v>
      </c>
      <c r="D80" s="726">
        <v>25</v>
      </c>
      <c r="E80" s="726">
        <v>0</v>
      </c>
      <c r="F80" s="726">
        <v>150</v>
      </c>
      <c r="G80" s="726">
        <v>140</v>
      </c>
      <c r="H80" s="726">
        <v>0</v>
      </c>
      <c r="I80" s="726">
        <v>0</v>
      </c>
      <c r="J80" s="726">
        <f t="shared" si="4"/>
        <v>315</v>
      </c>
      <c r="K80" s="727" t="s">
        <v>1123</v>
      </c>
    </row>
    <row r="81" spans="1:11" outlineLevel="1">
      <c r="A81" s="713">
        <v>79</v>
      </c>
      <c r="B81" s="717" t="s">
        <v>1126</v>
      </c>
      <c r="C81" s="718" t="s">
        <v>219</v>
      </c>
      <c r="D81" s="726">
        <v>143.84</v>
      </c>
      <c r="E81" s="726">
        <v>0</v>
      </c>
      <c r="F81" s="726">
        <v>2200</v>
      </c>
      <c r="G81" s="726">
        <v>3504</v>
      </c>
      <c r="H81" s="726">
        <v>0</v>
      </c>
      <c r="I81" s="726">
        <v>720</v>
      </c>
      <c r="J81" s="726">
        <f t="shared" si="4"/>
        <v>6567.84</v>
      </c>
      <c r="K81" s="727" t="s">
        <v>1123</v>
      </c>
    </row>
    <row r="82" spans="1:11" outlineLevel="1">
      <c r="A82" s="716">
        <v>80</v>
      </c>
      <c r="B82" s="717" t="s">
        <v>1127</v>
      </c>
      <c r="C82" s="718" t="s">
        <v>218</v>
      </c>
      <c r="D82" s="726">
        <v>40</v>
      </c>
      <c r="E82" s="726">
        <v>0</v>
      </c>
      <c r="F82" s="726">
        <v>733</v>
      </c>
      <c r="G82" s="726">
        <v>1168</v>
      </c>
      <c r="H82" s="726">
        <v>0</v>
      </c>
      <c r="I82" s="726">
        <v>75</v>
      </c>
      <c r="J82" s="726">
        <f t="shared" si="4"/>
        <v>2016</v>
      </c>
      <c r="K82" s="727" t="s">
        <v>1123</v>
      </c>
    </row>
    <row r="83" spans="1:11" outlineLevel="1">
      <c r="A83" s="713">
        <v>81</v>
      </c>
      <c r="B83" s="717" t="s">
        <v>1128</v>
      </c>
      <c r="C83" s="718" t="s">
        <v>218</v>
      </c>
      <c r="D83" s="726">
        <v>0</v>
      </c>
      <c r="E83" s="726">
        <v>0</v>
      </c>
      <c r="F83" s="726">
        <v>0</v>
      </c>
      <c r="G83" s="726">
        <v>3</v>
      </c>
      <c r="H83" s="726">
        <v>0</v>
      </c>
      <c r="I83" s="726">
        <v>0</v>
      </c>
      <c r="J83" s="726">
        <f t="shared" si="4"/>
        <v>3</v>
      </c>
      <c r="K83" s="727" t="s">
        <v>1123</v>
      </c>
    </row>
    <row r="84" spans="1:11" outlineLevel="1">
      <c r="A84" s="716">
        <v>82</v>
      </c>
      <c r="B84" s="717" t="s">
        <v>1129</v>
      </c>
      <c r="C84" s="718" t="s">
        <v>218</v>
      </c>
      <c r="D84" s="726">
        <v>11</v>
      </c>
      <c r="E84" s="726">
        <v>0</v>
      </c>
      <c r="F84" s="726">
        <v>32</v>
      </c>
      <c r="G84" s="726">
        <v>12</v>
      </c>
      <c r="H84" s="726">
        <v>0</v>
      </c>
      <c r="I84" s="726">
        <v>11</v>
      </c>
      <c r="J84" s="726">
        <f t="shared" si="4"/>
        <v>66</v>
      </c>
      <c r="K84" s="727" t="s">
        <v>1123</v>
      </c>
    </row>
    <row r="85" spans="1:11" outlineLevel="1">
      <c r="A85" s="713">
        <v>83</v>
      </c>
      <c r="B85" s="717" t="s">
        <v>1130</v>
      </c>
      <c r="C85" s="718" t="s">
        <v>218</v>
      </c>
      <c r="D85" s="726" t="s">
        <v>816</v>
      </c>
      <c r="E85" s="726">
        <v>0</v>
      </c>
      <c r="F85" s="726">
        <v>10</v>
      </c>
      <c r="G85" s="726">
        <v>11</v>
      </c>
      <c r="H85" s="726" t="s">
        <v>816</v>
      </c>
      <c r="I85" s="726" t="s">
        <v>816</v>
      </c>
      <c r="J85" s="726">
        <f t="shared" si="4"/>
        <v>21</v>
      </c>
      <c r="K85" s="727" t="s">
        <v>1123</v>
      </c>
    </row>
    <row r="86" spans="1:11" s="725" customFormat="1">
      <c r="A86" s="716">
        <v>84</v>
      </c>
      <c r="B86" s="722" t="s">
        <v>1131</v>
      </c>
      <c r="C86" s="728"/>
      <c r="D86" s="724"/>
      <c r="E86" s="724"/>
      <c r="F86" s="724"/>
      <c r="G86" s="724"/>
      <c r="H86" s="724"/>
      <c r="I86" s="724"/>
      <c r="J86" s="724"/>
    </row>
    <row r="87" spans="1:11" outlineLevel="1">
      <c r="A87" s="713">
        <v>85</v>
      </c>
      <c r="B87" s="721" t="s">
        <v>1132</v>
      </c>
      <c r="C87" s="718" t="s">
        <v>219</v>
      </c>
      <c r="D87" s="726">
        <v>0</v>
      </c>
      <c r="E87" s="726" t="s">
        <v>816</v>
      </c>
      <c r="F87" s="729" t="s">
        <v>816</v>
      </c>
      <c r="G87" s="726" t="s">
        <v>816</v>
      </c>
      <c r="H87" s="726" t="s">
        <v>816</v>
      </c>
      <c r="I87" s="726" t="s">
        <v>816</v>
      </c>
      <c r="J87" s="726">
        <f t="shared" ref="J87:J129" si="5">SUM(D87:I87)</f>
        <v>0</v>
      </c>
      <c r="K87" s="727" t="s">
        <v>1131</v>
      </c>
    </row>
    <row r="88" spans="1:11" s="720" customFormat="1" outlineLevel="1">
      <c r="A88" s="716">
        <v>86</v>
      </c>
      <c r="B88" s="717" t="s">
        <v>1133</v>
      </c>
      <c r="C88" s="718" t="s">
        <v>218</v>
      </c>
      <c r="D88" s="719" t="s">
        <v>816</v>
      </c>
      <c r="E88" s="719" t="s">
        <v>816</v>
      </c>
      <c r="F88" s="719">
        <v>5</v>
      </c>
      <c r="G88" s="719" t="s">
        <v>816</v>
      </c>
      <c r="H88" s="719" t="s">
        <v>816</v>
      </c>
      <c r="I88" s="719" t="s">
        <v>816</v>
      </c>
      <c r="J88" s="719">
        <f t="shared" si="5"/>
        <v>5</v>
      </c>
      <c r="K88" s="720" t="s">
        <v>1131</v>
      </c>
    </row>
    <row r="89" spans="1:11" s="720" customFormat="1" outlineLevel="1">
      <c r="A89" s="713">
        <v>87</v>
      </c>
      <c r="B89" s="717" t="s">
        <v>1134</v>
      </c>
      <c r="C89" s="718" t="s">
        <v>68</v>
      </c>
      <c r="D89" s="719" t="s">
        <v>816</v>
      </c>
      <c r="E89" s="719" t="s">
        <v>816</v>
      </c>
      <c r="F89" s="719">
        <v>356.40000000000003</v>
      </c>
      <c r="G89" s="719" t="s">
        <v>816</v>
      </c>
      <c r="H89" s="719" t="s">
        <v>816</v>
      </c>
      <c r="I89" s="719" t="s">
        <v>816</v>
      </c>
      <c r="J89" s="719">
        <f t="shared" si="5"/>
        <v>356.40000000000003</v>
      </c>
      <c r="K89" s="720" t="s">
        <v>1131</v>
      </c>
    </row>
    <row r="90" spans="1:11" s="720" customFormat="1" outlineLevel="1">
      <c r="A90" s="716">
        <v>88</v>
      </c>
      <c r="B90" s="717" t="s">
        <v>1135</v>
      </c>
      <c r="C90" s="718" t="s">
        <v>33</v>
      </c>
      <c r="D90" s="719" t="s">
        <v>816</v>
      </c>
      <c r="E90" s="719" t="s">
        <v>816</v>
      </c>
      <c r="F90" s="719">
        <v>4320.8</v>
      </c>
      <c r="G90" s="719" t="s">
        <v>816</v>
      </c>
      <c r="H90" s="719" t="s">
        <v>816</v>
      </c>
      <c r="I90" s="719" t="s">
        <v>816</v>
      </c>
      <c r="J90" s="719">
        <f t="shared" si="5"/>
        <v>4320.8</v>
      </c>
      <c r="K90" s="720" t="s">
        <v>1131</v>
      </c>
    </row>
    <row r="91" spans="1:11" s="720" customFormat="1" outlineLevel="1">
      <c r="A91" s="713">
        <v>89</v>
      </c>
      <c r="B91" s="717" t="s">
        <v>1136</v>
      </c>
      <c r="C91" s="718" t="s">
        <v>40</v>
      </c>
      <c r="D91" s="719" t="s">
        <v>816</v>
      </c>
      <c r="E91" s="719" t="s">
        <v>816</v>
      </c>
      <c r="F91" s="719">
        <v>25.2</v>
      </c>
      <c r="G91" s="719" t="s">
        <v>816</v>
      </c>
      <c r="H91" s="719" t="s">
        <v>816</v>
      </c>
      <c r="I91" s="719" t="s">
        <v>816</v>
      </c>
      <c r="J91" s="719">
        <f t="shared" si="5"/>
        <v>25.2</v>
      </c>
      <c r="K91" s="720" t="s">
        <v>1131</v>
      </c>
    </row>
    <row r="92" spans="1:11" s="720" customFormat="1" outlineLevel="1">
      <c r="A92" s="716">
        <v>90</v>
      </c>
      <c r="B92" s="717" t="s">
        <v>1137</v>
      </c>
      <c r="C92" s="718" t="s">
        <v>68</v>
      </c>
      <c r="D92" s="719" t="s">
        <v>816</v>
      </c>
      <c r="E92" s="719" t="s">
        <v>816</v>
      </c>
      <c r="F92" s="719">
        <v>83</v>
      </c>
      <c r="G92" s="719" t="s">
        <v>816</v>
      </c>
      <c r="H92" s="719" t="s">
        <v>816</v>
      </c>
      <c r="I92" s="719" t="s">
        <v>816</v>
      </c>
      <c r="J92" s="719">
        <f t="shared" si="5"/>
        <v>83</v>
      </c>
      <c r="K92" s="720" t="s">
        <v>1131</v>
      </c>
    </row>
    <row r="93" spans="1:11" s="720" customFormat="1" outlineLevel="1">
      <c r="A93" s="713">
        <v>91</v>
      </c>
      <c r="B93" s="717" t="s">
        <v>1138</v>
      </c>
      <c r="C93" s="718" t="s">
        <v>219</v>
      </c>
      <c r="D93" s="719" t="s">
        <v>816</v>
      </c>
      <c r="E93" s="719" t="s">
        <v>816</v>
      </c>
      <c r="F93" s="719">
        <v>20</v>
      </c>
      <c r="G93" s="719" t="s">
        <v>816</v>
      </c>
      <c r="H93" s="719" t="s">
        <v>816</v>
      </c>
      <c r="I93" s="719" t="s">
        <v>816</v>
      </c>
      <c r="J93" s="719">
        <f t="shared" si="5"/>
        <v>20</v>
      </c>
      <c r="K93" s="720" t="s">
        <v>1131</v>
      </c>
    </row>
    <row r="94" spans="1:11" s="720" customFormat="1" outlineLevel="1">
      <c r="A94" s="716">
        <v>92</v>
      </c>
      <c r="B94" s="717" t="s">
        <v>1139</v>
      </c>
      <c r="C94" s="718" t="s">
        <v>219</v>
      </c>
      <c r="D94" s="719" t="s">
        <v>816</v>
      </c>
      <c r="E94" s="719" t="s">
        <v>816</v>
      </c>
      <c r="F94" s="719">
        <v>80</v>
      </c>
      <c r="G94" s="719" t="s">
        <v>816</v>
      </c>
      <c r="H94" s="719" t="s">
        <v>816</v>
      </c>
      <c r="I94" s="719" t="s">
        <v>816</v>
      </c>
      <c r="J94" s="719">
        <f t="shared" si="5"/>
        <v>80</v>
      </c>
      <c r="K94" s="720" t="s">
        <v>1131</v>
      </c>
    </row>
    <row r="95" spans="1:11" s="720" customFormat="1" outlineLevel="1">
      <c r="A95" s="713">
        <v>93</v>
      </c>
      <c r="B95" s="717" t="s">
        <v>1140</v>
      </c>
      <c r="C95" s="718" t="s">
        <v>218</v>
      </c>
      <c r="D95" s="719" t="s">
        <v>816</v>
      </c>
      <c r="E95" s="719" t="s">
        <v>816</v>
      </c>
      <c r="F95" s="719">
        <v>1</v>
      </c>
      <c r="G95" s="719" t="s">
        <v>816</v>
      </c>
      <c r="H95" s="719" t="s">
        <v>816</v>
      </c>
      <c r="I95" s="719" t="s">
        <v>816</v>
      </c>
      <c r="J95" s="719">
        <f t="shared" si="5"/>
        <v>1</v>
      </c>
      <c r="K95" s="720" t="s">
        <v>1131</v>
      </c>
    </row>
    <row r="96" spans="1:11" s="720" customFormat="1" outlineLevel="1">
      <c r="A96" s="716">
        <v>94</v>
      </c>
      <c r="B96" s="717" t="s">
        <v>1141</v>
      </c>
      <c r="C96" s="718" t="s">
        <v>68</v>
      </c>
      <c r="D96" s="719" t="s">
        <v>816</v>
      </c>
      <c r="E96" s="719" t="s">
        <v>816</v>
      </c>
      <c r="F96" s="719">
        <v>70.194999999999993</v>
      </c>
      <c r="G96" s="719" t="s">
        <v>816</v>
      </c>
      <c r="H96" s="719" t="s">
        <v>816</v>
      </c>
      <c r="I96" s="719" t="s">
        <v>816</v>
      </c>
      <c r="J96" s="719">
        <f t="shared" si="5"/>
        <v>70.194999999999993</v>
      </c>
      <c r="K96" s="720" t="s">
        <v>1131</v>
      </c>
    </row>
    <row r="97" spans="1:11" s="720" customFormat="1" outlineLevel="1">
      <c r="A97" s="713">
        <v>95</v>
      </c>
      <c r="B97" s="717" t="s">
        <v>1142</v>
      </c>
      <c r="C97" s="718" t="s">
        <v>218</v>
      </c>
      <c r="D97" s="719" t="s">
        <v>816</v>
      </c>
      <c r="E97" s="719" t="s">
        <v>816</v>
      </c>
      <c r="F97" s="719">
        <v>2</v>
      </c>
      <c r="G97" s="719" t="s">
        <v>816</v>
      </c>
      <c r="H97" s="719" t="s">
        <v>816</v>
      </c>
      <c r="I97" s="719" t="s">
        <v>816</v>
      </c>
      <c r="J97" s="719">
        <f t="shared" si="5"/>
        <v>2</v>
      </c>
      <c r="K97" s="720" t="s">
        <v>1131</v>
      </c>
    </row>
    <row r="98" spans="1:11" s="720" customFormat="1" outlineLevel="1">
      <c r="A98" s="716">
        <v>96</v>
      </c>
      <c r="B98" s="717" t="s">
        <v>1143</v>
      </c>
      <c r="C98" s="718" t="s">
        <v>218</v>
      </c>
      <c r="D98" s="719" t="s">
        <v>816</v>
      </c>
      <c r="E98" s="719" t="s">
        <v>816</v>
      </c>
      <c r="F98" s="719">
        <v>8</v>
      </c>
      <c r="G98" s="719" t="s">
        <v>816</v>
      </c>
      <c r="H98" s="719" t="s">
        <v>816</v>
      </c>
      <c r="I98" s="719" t="s">
        <v>816</v>
      </c>
      <c r="J98" s="719">
        <f t="shared" si="5"/>
        <v>8</v>
      </c>
      <c r="K98" s="720" t="s">
        <v>1131</v>
      </c>
    </row>
    <row r="99" spans="1:11" s="720" customFormat="1" outlineLevel="1">
      <c r="A99" s="713">
        <v>97</v>
      </c>
      <c r="B99" s="717" t="s">
        <v>1144</v>
      </c>
      <c r="C99" s="718" t="s">
        <v>218</v>
      </c>
      <c r="D99" s="719" t="s">
        <v>816</v>
      </c>
      <c r="E99" s="719" t="s">
        <v>816</v>
      </c>
      <c r="F99" s="719">
        <v>1</v>
      </c>
      <c r="G99" s="719" t="s">
        <v>816</v>
      </c>
      <c r="H99" s="719" t="s">
        <v>816</v>
      </c>
      <c r="I99" s="719" t="s">
        <v>816</v>
      </c>
      <c r="J99" s="719">
        <f t="shared" si="5"/>
        <v>1</v>
      </c>
      <c r="K99" s="720" t="s">
        <v>1131</v>
      </c>
    </row>
    <row r="100" spans="1:11" s="720" customFormat="1" outlineLevel="1">
      <c r="A100" s="716">
        <v>98</v>
      </c>
      <c r="B100" s="717" t="s">
        <v>1145</v>
      </c>
      <c r="C100" s="718" t="s">
        <v>218</v>
      </c>
      <c r="D100" s="719" t="s">
        <v>816</v>
      </c>
      <c r="E100" s="719" t="s">
        <v>816</v>
      </c>
      <c r="F100" s="719">
        <v>1</v>
      </c>
      <c r="G100" s="719" t="s">
        <v>816</v>
      </c>
      <c r="H100" s="719" t="s">
        <v>816</v>
      </c>
      <c r="I100" s="719" t="s">
        <v>816</v>
      </c>
      <c r="J100" s="719">
        <f t="shared" si="5"/>
        <v>1</v>
      </c>
      <c r="K100" s="720" t="s">
        <v>1131</v>
      </c>
    </row>
    <row r="101" spans="1:11" s="720" customFormat="1" outlineLevel="1">
      <c r="A101" s="713">
        <v>99</v>
      </c>
      <c r="B101" s="717" t="s">
        <v>1146</v>
      </c>
      <c r="C101" s="718" t="s">
        <v>218</v>
      </c>
      <c r="D101" s="719" t="s">
        <v>816</v>
      </c>
      <c r="E101" s="719" t="s">
        <v>816</v>
      </c>
      <c r="F101" s="719">
        <v>1</v>
      </c>
      <c r="G101" s="719" t="s">
        <v>816</v>
      </c>
      <c r="H101" s="719" t="s">
        <v>816</v>
      </c>
      <c r="I101" s="719" t="s">
        <v>816</v>
      </c>
      <c r="J101" s="719">
        <f t="shared" si="5"/>
        <v>1</v>
      </c>
      <c r="K101" s="720" t="s">
        <v>1131</v>
      </c>
    </row>
    <row r="102" spans="1:11" s="720" customFormat="1" outlineLevel="1">
      <c r="A102" s="716">
        <v>100</v>
      </c>
      <c r="B102" s="730" t="s">
        <v>1147</v>
      </c>
      <c r="C102" s="718" t="s">
        <v>201</v>
      </c>
      <c r="D102" s="719" t="s">
        <v>816</v>
      </c>
      <c r="E102" s="719" t="s">
        <v>816</v>
      </c>
      <c r="F102" s="719">
        <v>1</v>
      </c>
      <c r="G102" s="719" t="s">
        <v>816</v>
      </c>
      <c r="H102" s="719" t="s">
        <v>816</v>
      </c>
      <c r="I102" s="719" t="s">
        <v>816</v>
      </c>
      <c r="J102" s="719">
        <f t="shared" si="5"/>
        <v>1</v>
      </c>
      <c r="K102" s="720" t="s">
        <v>1131</v>
      </c>
    </row>
    <row r="103" spans="1:11" s="720" customFormat="1" outlineLevel="1">
      <c r="A103" s="713">
        <v>101</v>
      </c>
      <c r="B103" s="717" t="s">
        <v>1148</v>
      </c>
      <c r="C103" s="718" t="s">
        <v>218</v>
      </c>
      <c r="D103" s="719" t="s">
        <v>816</v>
      </c>
      <c r="E103" s="719" t="s">
        <v>816</v>
      </c>
      <c r="F103" s="719" t="s">
        <v>816</v>
      </c>
      <c r="G103" s="719">
        <v>1</v>
      </c>
      <c r="H103" s="719" t="s">
        <v>816</v>
      </c>
      <c r="I103" s="719" t="s">
        <v>816</v>
      </c>
      <c r="J103" s="719">
        <f t="shared" si="5"/>
        <v>1</v>
      </c>
      <c r="K103" s="720" t="s">
        <v>1131</v>
      </c>
    </row>
    <row r="104" spans="1:11" s="720" customFormat="1" outlineLevel="1">
      <c r="A104" s="716">
        <v>102</v>
      </c>
      <c r="B104" s="717" t="s">
        <v>1149</v>
      </c>
      <c r="C104" s="718" t="s">
        <v>218</v>
      </c>
      <c r="D104" s="719" t="s">
        <v>816</v>
      </c>
      <c r="E104" s="719" t="s">
        <v>816</v>
      </c>
      <c r="F104" s="719" t="s">
        <v>816</v>
      </c>
      <c r="G104" s="719">
        <v>1</v>
      </c>
      <c r="H104" s="719" t="s">
        <v>816</v>
      </c>
      <c r="I104" s="719" t="s">
        <v>816</v>
      </c>
      <c r="J104" s="719">
        <f t="shared" si="5"/>
        <v>1</v>
      </c>
      <c r="K104" s="720" t="s">
        <v>1131</v>
      </c>
    </row>
    <row r="105" spans="1:11" s="720" customFormat="1" outlineLevel="1">
      <c r="A105" s="713">
        <v>103</v>
      </c>
      <c r="B105" s="717" t="s">
        <v>1150</v>
      </c>
      <c r="C105" s="718" t="s">
        <v>68</v>
      </c>
      <c r="D105" s="719" t="s">
        <v>816</v>
      </c>
      <c r="E105" s="719" t="s">
        <v>816</v>
      </c>
      <c r="F105" s="719">
        <v>53.04</v>
      </c>
      <c r="G105" s="719">
        <v>98.155999999999992</v>
      </c>
      <c r="H105" s="719" t="s">
        <v>816</v>
      </c>
      <c r="I105" s="719" t="s">
        <v>816</v>
      </c>
      <c r="J105" s="719">
        <f t="shared" si="5"/>
        <v>151.196</v>
      </c>
      <c r="K105" s="720" t="s">
        <v>1131</v>
      </c>
    </row>
    <row r="106" spans="1:11" s="720" customFormat="1" outlineLevel="1">
      <c r="A106" s="716">
        <v>104</v>
      </c>
      <c r="B106" s="717" t="s">
        <v>1151</v>
      </c>
      <c r="C106" s="718" t="s">
        <v>68</v>
      </c>
      <c r="D106" s="719" t="s">
        <v>816</v>
      </c>
      <c r="E106" s="719" t="s">
        <v>816</v>
      </c>
      <c r="F106" s="719" t="s">
        <v>816</v>
      </c>
      <c r="G106" s="719">
        <v>66</v>
      </c>
      <c r="H106" s="719" t="s">
        <v>816</v>
      </c>
      <c r="I106" s="719" t="s">
        <v>816</v>
      </c>
      <c r="J106" s="719">
        <f t="shared" si="5"/>
        <v>66</v>
      </c>
      <c r="K106" s="720" t="s">
        <v>1131</v>
      </c>
    </row>
    <row r="107" spans="1:11" s="720" customFormat="1" outlineLevel="1">
      <c r="A107" s="713">
        <v>105</v>
      </c>
      <c r="B107" s="717" t="s">
        <v>1152</v>
      </c>
      <c r="C107" s="718" t="s">
        <v>218</v>
      </c>
      <c r="D107" s="719" t="s">
        <v>816</v>
      </c>
      <c r="E107" s="719" t="s">
        <v>816</v>
      </c>
      <c r="F107" s="719">
        <v>33</v>
      </c>
      <c r="G107" s="719">
        <v>6</v>
      </c>
      <c r="H107" s="719" t="s">
        <v>816</v>
      </c>
      <c r="I107" s="719" t="s">
        <v>816</v>
      </c>
      <c r="J107" s="719">
        <f t="shared" si="5"/>
        <v>39</v>
      </c>
      <c r="K107" s="720" t="s">
        <v>1131</v>
      </c>
    </row>
    <row r="108" spans="1:11" s="720" customFormat="1" outlineLevel="1">
      <c r="A108" s="716">
        <v>106</v>
      </c>
      <c r="B108" s="717" t="s">
        <v>1153</v>
      </c>
      <c r="C108" s="718" t="s">
        <v>68</v>
      </c>
      <c r="D108" s="719" t="s">
        <v>816</v>
      </c>
      <c r="E108" s="719" t="s">
        <v>816</v>
      </c>
      <c r="F108" s="719">
        <v>55.889999999999993</v>
      </c>
      <c r="G108" s="719">
        <v>70.5</v>
      </c>
      <c r="H108" s="719" t="s">
        <v>816</v>
      </c>
      <c r="I108" s="719" t="s">
        <v>816</v>
      </c>
      <c r="J108" s="719">
        <f t="shared" si="5"/>
        <v>126.38999999999999</v>
      </c>
      <c r="K108" s="720" t="s">
        <v>1131</v>
      </c>
    </row>
    <row r="109" spans="1:11" s="720" customFormat="1" outlineLevel="1">
      <c r="A109" s="713">
        <v>107</v>
      </c>
      <c r="B109" s="717" t="s">
        <v>1154</v>
      </c>
      <c r="C109" s="718" t="s">
        <v>218</v>
      </c>
      <c r="D109" s="719" t="s">
        <v>816</v>
      </c>
      <c r="E109" s="719" t="s">
        <v>816</v>
      </c>
      <c r="F109" s="719">
        <v>11</v>
      </c>
      <c r="G109" s="719">
        <v>2</v>
      </c>
      <c r="H109" s="719" t="s">
        <v>816</v>
      </c>
      <c r="I109" s="719" t="s">
        <v>816</v>
      </c>
      <c r="J109" s="719">
        <f t="shared" si="5"/>
        <v>13</v>
      </c>
      <c r="K109" s="720" t="s">
        <v>1131</v>
      </c>
    </row>
    <row r="110" spans="1:11" s="720" customFormat="1" outlineLevel="1">
      <c r="A110" s="716">
        <v>108</v>
      </c>
      <c r="B110" s="717" t="s">
        <v>1155</v>
      </c>
      <c r="C110" s="718" t="s">
        <v>68</v>
      </c>
      <c r="D110" s="719" t="s">
        <v>816</v>
      </c>
      <c r="E110" s="719" t="s">
        <v>816</v>
      </c>
      <c r="F110" s="719">
        <v>275.39999999999998</v>
      </c>
      <c r="G110" s="719">
        <v>301.5</v>
      </c>
      <c r="H110" s="719" t="s">
        <v>816</v>
      </c>
      <c r="I110" s="719" t="s">
        <v>816</v>
      </c>
      <c r="J110" s="719">
        <f t="shared" si="5"/>
        <v>576.9</v>
      </c>
      <c r="K110" s="720" t="s">
        <v>1131</v>
      </c>
    </row>
    <row r="111" spans="1:11" s="720" customFormat="1" outlineLevel="1">
      <c r="A111" s="713">
        <v>109</v>
      </c>
      <c r="B111" s="717" t="s">
        <v>1156</v>
      </c>
      <c r="C111" s="718" t="s">
        <v>218</v>
      </c>
      <c r="D111" s="719" t="s">
        <v>816</v>
      </c>
      <c r="E111" s="719" t="s">
        <v>816</v>
      </c>
      <c r="F111" s="719">
        <v>1</v>
      </c>
      <c r="G111" s="719">
        <v>1</v>
      </c>
      <c r="H111" s="719" t="s">
        <v>816</v>
      </c>
      <c r="I111" s="719" t="s">
        <v>816</v>
      </c>
      <c r="J111" s="719">
        <f t="shared" si="5"/>
        <v>2</v>
      </c>
      <c r="K111" s="720" t="s">
        <v>1131</v>
      </c>
    </row>
    <row r="112" spans="1:11" s="720" customFormat="1" outlineLevel="1">
      <c r="A112" s="716">
        <v>110</v>
      </c>
      <c r="B112" s="717" t="s">
        <v>1157</v>
      </c>
      <c r="C112" s="718" t="s">
        <v>68</v>
      </c>
      <c r="D112" s="719" t="s">
        <v>816</v>
      </c>
      <c r="E112" s="719" t="s">
        <v>816</v>
      </c>
      <c r="F112" s="719">
        <v>1227.45</v>
      </c>
      <c r="G112" s="719">
        <v>3850</v>
      </c>
      <c r="H112" s="719" t="s">
        <v>816</v>
      </c>
      <c r="I112" s="719" t="s">
        <v>816</v>
      </c>
      <c r="J112" s="719">
        <f t="shared" si="5"/>
        <v>5077.45</v>
      </c>
      <c r="K112" s="720" t="s">
        <v>1131</v>
      </c>
    </row>
    <row r="113" spans="1:11" s="720" customFormat="1" outlineLevel="1">
      <c r="A113" s="713">
        <v>111</v>
      </c>
      <c r="B113" s="717" t="s">
        <v>1158</v>
      </c>
      <c r="C113" s="718" t="s">
        <v>201</v>
      </c>
      <c r="D113" s="719" t="s">
        <v>816</v>
      </c>
      <c r="E113" s="719" t="s">
        <v>816</v>
      </c>
      <c r="F113" s="719">
        <v>1</v>
      </c>
      <c r="G113" s="719">
        <v>1</v>
      </c>
      <c r="H113" s="719" t="s">
        <v>816</v>
      </c>
      <c r="I113" s="719" t="s">
        <v>816</v>
      </c>
      <c r="J113" s="719">
        <f t="shared" si="5"/>
        <v>2</v>
      </c>
      <c r="K113" s="720" t="s">
        <v>1131</v>
      </c>
    </row>
    <row r="114" spans="1:11" s="720" customFormat="1" outlineLevel="1">
      <c r="A114" s="716">
        <v>112</v>
      </c>
      <c r="B114" s="717" t="s">
        <v>1159</v>
      </c>
      <c r="C114" s="718" t="s">
        <v>201</v>
      </c>
      <c r="D114" s="719" t="s">
        <v>816</v>
      </c>
      <c r="E114" s="719" t="s">
        <v>816</v>
      </c>
      <c r="F114" s="719">
        <v>1</v>
      </c>
      <c r="G114" s="719">
        <v>1</v>
      </c>
      <c r="H114" s="719" t="s">
        <v>816</v>
      </c>
      <c r="I114" s="719" t="s">
        <v>816</v>
      </c>
      <c r="J114" s="719">
        <f t="shared" si="5"/>
        <v>2</v>
      </c>
      <c r="K114" s="720" t="s">
        <v>1131</v>
      </c>
    </row>
    <row r="115" spans="1:11" s="720" customFormat="1" outlineLevel="1">
      <c r="A115" s="713">
        <v>113</v>
      </c>
      <c r="B115" s="717" t="s">
        <v>1160</v>
      </c>
      <c r="C115" s="718" t="s">
        <v>201</v>
      </c>
      <c r="D115" s="719" t="s">
        <v>816</v>
      </c>
      <c r="E115" s="719" t="s">
        <v>816</v>
      </c>
      <c r="F115" s="719" t="s">
        <v>816</v>
      </c>
      <c r="G115" s="719">
        <v>1</v>
      </c>
      <c r="H115" s="719" t="s">
        <v>816</v>
      </c>
      <c r="I115" s="719" t="s">
        <v>816</v>
      </c>
      <c r="J115" s="719">
        <f t="shared" si="5"/>
        <v>1</v>
      </c>
      <c r="K115" s="720" t="s">
        <v>1131</v>
      </c>
    </row>
    <row r="116" spans="1:11" s="720" customFormat="1" outlineLevel="1">
      <c r="A116" s="716">
        <v>114</v>
      </c>
      <c r="B116" s="717" t="s">
        <v>1161</v>
      </c>
      <c r="C116" s="718" t="s">
        <v>201</v>
      </c>
      <c r="D116" s="719" t="s">
        <v>816</v>
      </c>
      <c r="E116" s="719" t="s">
        <v>816</v>
      </c>
      <c r="F116" s="719">
        <v>1</v>
      </c>
      <c r="G116" s="719">
        <v>1</v>
      </c>
      <c r="H116" s="719" t="s">
        <v>816</v>
      </c>
      <c r="I116" s="719" t="s">
        <v>816</v>
      </c>
      <c r="J116" s="719">
        <f t="shared" si="5"/>
        <v>2</v>
      </c>
      <c r="K116" s="720" t="s">
        <v>1131</v>
      </c>
    </row>
    <row r="117" spans="1:11" s="720" customFormat="1" ht="25.5" outlineLevel="1">
      <c r="A117" s="713">
        <v>115</v>
      </c>
      <c r="B117" s="717" t="s">
        <v>1162</v>
      </c>
      <c r="C117" s="718" t="s">
        <v>201</v>
      </c>
      <c r="D117" s="719" t="s">
        <v>816</v>
      </c>
      <c r="E117" s="719" t="s">
        <v>816</v>
      </c>
      <c r="F117" s="719">
        <v>1</v>
      </c>
      <c r="G117" s="719">
        <v>1</v>
      </c>
      <c r="H117" s="719" t="s">
        <v>816</v>
      </c>
      <c r="I117" s="719" t="s">
        <v>816</v>
      </c>
      <c r="J117" s="719">
        <f t="shared" si="5"/>
        <v>2</v>
      </c>
      <c r="K117" s="720" t="s">
        <v>1131</v>
      </c>
    </row>
    <row r="118" spans="1:11" s="720" customFormat="1" outlineLevel="1">
      <c r="A118" s="716">
        <v>116</v>
      </c>
      <c r="B118" s="717" t="s">
        <v>1163</v>
      </c>
      <c r="C118" s="718" t="s">
        <v>218</v>
      </c>
      <c r="D118" s="719" t="s">
        <v>816</v>
      </c>
      <c r="E118" s="719" t="s">
        <v>816</v>
      </c>
      <c r="F118" s="719" t="s">
        <v>816</v>
      </c>
      <c r="G118" s="719">
        <v>15</v>
      </c>
      <c r="H118" s="719" t="s">
        <v>816</v>
      </c>
      <c r="I118" s="719" t="s">
        <v>816</v>
      </c>
      <c r="J118" s="719">
        <f t="shared" si="5"/>
        <v>15</v>
      </c>
      <c r="K118" s="720" t="s">
        <v>1131</v>
      </c>
    </row>
    <row r="119" spans="1:11" s="720" customFormat="1" ht="25.5" outlineLevel="1">
      <c r="A119" s="713">
        <v>117</v>
      </c>
      <c r="B119" s="730" t="s">
        <v>1164</v>
      </c>
      <c r="C119" s="718" t="s">
        <v>201</v>
      </c>
      <c r="D119" s="719" t="s">
        <v>816</v>
      </c>
      <c r="E119" s="719" t="s">
        <v>816</v>
      </c>
      <c r="F119" s="719">
        <v>1</v>
      </c>
      <c r="G119" s="719">
        <v>1</v>
      </c>
      <c r="H119" s="719" t="s">
        <v>816</v>
      </c>
      <c r="I119" s="719" t="s">
        <v>816</v>
      </c>
      <c r="J119" s="719">
        <f t="shared" si="5"/>
        <v>2</v>
      </c>
      <c r="K119" s="720" t="s">
        <v>1131</v>
      </c>
    </row>
    <row r="120" spans="1:11" s="720" customFormat="1" outlineLevel="1">
      <c r="A120" s="716">
        <v>118</v>
      </c>
      <c r="B120" s="730" t="s">
        <v>1165</v>
      </c>
      <c r="C120" s="731" t="s">
        <v>201</v>
      </c>
      <c r="D120" s="719" t="s">
        <v>816</v>
      </c>
      <c r="E120" s="719" t="s">
        <v>816</v>
      </c>
      <c r="F120" s="719">
        <v>1</v>
      </c>
      <c r="G120" s="719">
        <v>1</v>
      </c>
      <c r="H120" s="719" t="s">
        <v>816</v>
      </c>
      <c r="I120" s="719" t="s">
        <v>816</v>
      </c>
      <c r="J120" s="719">
        <f t="shared" si="5"/>
        <v>2</v>
      </c>
      <c r="K120" s="720" t="s">
        <v>1131</v>
      </c>
    </row>
    <row r="121" spans="1:11" outlineLevel="1">
      <c r="A121" s="713">
        <v>119</v>
      </c>
      <c r="B121" s="717" t="s">
        <v>1166</v>
      </c>
      <c r="C121" s="718" t="s">
        <v>1053</v>
      </c>
      <c r="D121" s="726">
        <v>0</v>
      </c>
      <c r="E121" s="726">
        <v>0</v>
      </c>
      <c r="F121" s="726">
        <v>0</v>
      </c>
      <c r="G121" s="729">
        <v>0</v>
      </c>
      <c r="H121" s="726" t="s">
        <v>816</v>
      </c>
      <c r="I121" s="726">
        <v>0</v>
      </c>
      <c r="J121" s="726">
        <f t="shared" si="5"/>
        <v>0</v>
      </c>
      <c r="K121" s="727" t="s">
        <v>1131</v>
      </c>
    </row>
    <row r="122" spans="1:11" outlineLevel="1">
      <c r="A122" s="716">
        <v>120</v>
      </c>
      <c r="B122" s="717" t="s">
        <v>1167</v>
      </c>
      <c r="C122" s="718" t="s">
        <v>1053</v>
      </c>
      <c r="D122" s="726" t="s">
        <v>816</v>
      </c>
      <c r="E122" s="726">
        <v>0</v>
      </c>
      <c r="F122" s="726">
        <v>0</v>
      </c>
      <c r="G122" s="729">
        <v>0</v>
      </c>
      <c r="H122" s="726" t="s">
        <v>816</v>
      </c>
      <c r="I122" s="726">
        <v>0</v>
      </c>
      <c r="J122" s="726">
        <f t="shared" si="5"/>
        <v>0</v>
      </c>
      <c r="K122" s="727" t="s">
        <v>1131</v>
      </c>
    </row>
    <row r="123" spans="1:11" s="720" customFormat="1" outlineLevel="1">
      <c r="A123" s="713">
        <v>121</v>
      </c>
      <c r="B123" s="717" t="s">
        <v>1168</v>
      </c>
      <c r="C123" s="718" t="s">
        <v>218</v>
      </c>
      <c r="D123" s="719" t="s">
        <v>816</v>
      </c>
      <c r="E123" s="719">
        <v>4</v>
      </c>
      <c r="F123" s="719" t="s">
        <v>816</v>
      </c>
      <c r="G123" s="716" t="s">
        <v>816</v>
      </c>
      <c r="H123" s="719" t="s">
        <v>816</v>
      </c>
      <c r="I123" s="719" t="s">
        <v>816</v>
      </c>
      <c r="J123" s="719">
        <f t="shared" si="5"/>
        <v>4</v>
      </c>
      <c r="K123" s="720" t="s">
        <v>1131</v>
      </c>
    </row>
    <row r="124" spans="1:11" s="720" customFormat="1" outlineLevel="1">
      <c r="A124" s="716">
        <v>122</v>
      </c>
      <c r="B124" s="717" t="s">
        <v>1169</v>
      </c>
      <c r="C124" s="718" t="s">
        <v>33</v>
      </c>
      <c r="D124" s="719" t="s">
        <v>816</v>
      </c>
      <c r="E124" s="719">
        <v>14700</v>
      </c>
      <c r="F124" s="719" t="s">
        <v>816</v>
      </c>
      <c r="G124" s="716" t="s">
        <v>816</v>
      </c>
      <c r="H124" s="719" t="s">
        <v>816</v>
      </c>
      <c r="I124" s="719" t="s">
        <v>816</v>
      </c>
      <c r="J124" s="719">
        <f t="shared" si="5"/>
        <v>14700</v>
      </c>
      <c r="K124" s="720" t="s">
        <v>1131</v>
      </c>
    </row>
    <row r="125" spans="1:11" s="720" customFormat="1" outlineLevel="1">
      <c r="A125" s="713">
        <v>123</v>
      </c>
      <c r="B125" s="717" t="s">
        <v>1170</v>
      </c>
      <c r="C125" s="718" t="s">
        <v>40</v>
      </c>
      <c r="D125" s="719" t="s">
        <v>816</v>
      </c>
      <c r="E125" s="719">
        <v>7.08</v>
      </c>
      <c r="F125" s="719" t="s">
        <v>816</v>
      </c>
      <c r="G125" s="716" t="s">
        <v>816</v>
      </c>
      <c r="H125" s="719" t="s">
        <v>816</v>
      </c>
      <c r="I125" s="719" t="s">
        <v>816</v>
      </c>
      <c r="J125" s="719">
        <f t="shared" si="5"/>
        <v>7.08</v>
      </c>
      <c r="K125" s="720" t="s">
        <v>1131</v>
      </c>
    </row>
    <row r="126" spans="1:11" s="720" customFormat="1" outlineLevel="1">
      <c r="A126" s="716">
        <v>124</v>
      </c>
      <c r="B126" s="717" t="s">
        <v>1171</v>
      </c>
      <c r="C126" s="718" t="s">
        <v>33</v>
      </c>
      <c r="D126" s="719" t="s">
        <v>816</v>
      </c>
      <c r="E126" s="719">
        <v>10000</v>
      </c>
      <c r="F126" s="719" t="s">
        <v>816</v>
      </c>
      <c r="G126" s="716" t="s">
        <v>816</v>
      </c>
      <c r="H126" s="719" t="s">
        <v>816</v>
      </c>
      <c r="I126" s="719" t="s">
        <v>816</v>
      </c>
      <c r="J126" s="719">
        <f t="shared" si="5"/>
        <v>10000</v>
      </c>
      <c r="K126" s="720" t="s">
        <v>1131</v>
      </c>
    </row>
    <row r="127" spans="1:11" s="720" customFormat="1" outlineLevel="1">
      <c r="A127" s="713">
        <v>125</v>
      </c>
      <c r="B127" s="717" t="s">
        <v>1172</v>
      </c>
      <c r="C127" s="718" t="s">
        <v>33</v>
      </c>
      <c r="D127" s="719" t="s">
        <v>816</v>
      </c>
      <c r="E127" s="719">
        <v>7800</v>
      </c>
      <c r="F127" s="719" t="s">
        <v>816</v>
      </c>
      <c r="G127" s="716" t="s">
        <v>816</v>
      </c>
      <c r="H127" s="719" t="s">
        <v>816</v>
      </c>
      <c r="I127" s="719" t="s">
        <v>816</v>
      </c>
      <c r="J127" s="719">
        <f t="shared" si="5"/>
        <v>7800</v>
      </c>
      <c r="K127" s="720" t="s">
        <v>1131</v>
      </c>
    </row>
    <row r="128" spans="1:11" s="720" customFormat="1" outlineLevel="1">
      <c r="A128" s="716">
        <v>126</v>
      </c>
      <c r="B128" s="717" t="s">
        <v>1173</v>
      </c>
      <c r="C128" s="718" t="s">
        <v>201</v>
      </c>
      <c r="D128" s="719" t="s">
        <v>816</v>
      </c>
      <c r="E128" s="719">
        <v>1</v>
      </c>
      <c r="F128" s="719" t="s">
        <v>816</v>
      </c>
      <c r="G128" s="716" t="s">
        <v>816</v>
      </c>
      <c r="H128" s="719" t="s">
        <v>816</v>
      </c>
      <c r="I128" s="719" t="s">
        <v>816</v>
      </c>
      <c r="J128" s="719">
        <f t="shared" si="5"/>
        <v>1</v>
      </c>
      <c r="K128" s="720" t="s">
        <v>1131</v>
      </c>
    </row>
    <row r="129" spans="1:11" s="720" customFormat="1" outlineLevel="1">
      <c r="A129" s="713">
        <v>127</v>
      </c>
      <c r="B129" s="730" t="s">
        <v>1174</v>
      </c>
      <c r="C129" s="731" t="s">
        <v>201</v>
      </c>
      <c r="D129" s="719" t="s">
        <v>816</v>
      </c>
      <c r="E129" s="719">
        <v>1</v>
      </c>
      <c r="F129" s="719" t="s">
        <v>816</v>
      </c>
      <c r="G129" s="716" t="s">
        <v>816</v>
      </c>
      <c r="H129" s="719" t="s">
        <v>816</v>
      </c>
      <c r="I129" s="719" t="s">
        <v>816</v>
      </c>
      <c r="J129" s="719">
        <f t="shared" si="5"/>
        <v>1</v>
      </c>
      <c r="K129" s="720" t="s">
        <v>1131</v>
      </c>
    </row>
    <row r="130" spans="1:11" s="725" customFormat="1">
      <c r="A130" s="716">
        <v>128</v>
      </c>
      <c r="B130" s="722" t="s">
        <v>1175</v>
      </c>
      <c r="C130" s="728"/>
      <c r="D130" s="724"/>
      <c r="E130" s="724"/>
      <c r="F130" s="724"/>
      <c r="G130" s="724"/>
      <c r="H130" s="724"/>
      <c r="I130" s="724"/>
      <c r="J130" s="724"/>
    </row>
    <row r="131" spans="1:11" outlineLevel="1">
      <c r="A131" s="713">
        <v>129</v>
      </c>
      <c r="B131" s="721" t="s">
        <v>1176</v>
      </c>
      <c r="C131" s="718" t="s">
        <v>68</v>
      </c>
      <c r="D131" s="726">
        <v>0</v>
      </c>
      <c r="E131" s="726" t="s">
        <v>816</v>
      </c>
      <c r="F131" s="729" t="s">
        <v>816</v>
      </c>
      <c r="G131" s="726" t="s">
        <v>816</v>
      </c>
      <c r="H131" s="726">
        <v>0</v>
      </c>
      <c r="I131" s="726">
        <v>0</v>
      </c>
      <c r="J131" s="726">
        <f t="shared" ref="J131:J153" si="6">SUM(D131:I131)</f>
        <v>0</v>
      </c>
      <c r="K131" s="727" t="s">
        <v>1175</v>
      </c>
    </row>
    <row r="132" spans="1:11" outlineLevel="1">
      <c r="A132" s="716">
        <v>130</v>
      </c>
      <c r="B132" s="721" t="s">
        <v>1177</v>
      </c>
      <c r="C132" s="718" t="s">
        <v>40</v>
      </c>
      <c r="D132" s="726">
        <v>0</v>
      </c>
      <c r="E132" s="726" t="s">
        <v>816</v>
      </c>
      <c r="F132" s="729" t="s">
        <v>816</v>
      </c>
      <c r="G132" s="726" t="s">
        <v>816</v>
      </c>
      <c r="H132" s="726">
        <v>0.10800000000000001</v>
      </c>
      <c r="I132" s="726">
        <v>0</v>
      </c>
      <c r="J132" s="726">
        <f t="shared" si="6"/>
        <v>0.10800000000000001</v>
      </c>
      <c r="K132" s="727" t="s">
        <v>1175</v>
      </c>
    </row>
    <row r="133" spans="1:11" outlineLevel="1">
      <c r="A133" s="713">
        <v>131</v>
      </c>
      <c r="B133" s="721" t="s">
        <v>1178</v>
      </c>
      <c r="C133" s="718" t="s">
        <v>40</v>
      </c>
      <c r="D133" s="726">
        <v>0</v>
      </c>
      <c r="E133" s="726" t="s">
        <v>816</v>
      </c>
      <c r="F133" s="729" t="s">
        <v>816</v>
      </c>
      <c r="G133" s="726" t="s">
        <v>816</v>
      </c>
      <c r="H133" s="726">
        <v>15.552</v>
      </c>
      <c r="I133" s="726">
        <v>0</v>
      </c>
      <c r="J133" s="726">
        <f t="shared" si="6"/>
        <v>15.552</v>
      </c>
      <c r="K133" s="727" t="s">
        <v>1175</v>
      </c>
    </row>
    <row r="134" spans="1:11" outlineLevel="1">
      <c r="A134" s="716">
        <v>132</v>
      </c>
      <c r="B134" s="721" t="s">
        <v>1179</v>
      </c>
      <c r="C134" s="718" t="s">
        <v>40</v>
      </c>
      <c r="D134" s="726">
        <v>0</v>
      </c>
      <c r="E134" s="726" t="s">
        <v>816</v>
      </c>
      <c r="F134" s="729" t="s">
        <v>816</v>
      </c>
      <c r="G134" s="726" t="s">
        <v>816</v>
      </c>
      <c r="H134" s="726">
        <v>14.2416</v>
      </c>
      <c r="I134" s="726">
        <v>14.18</v>
      </c>
      <c r="J134" s="726">
        <f t="shared" si="6"/>
        <v>28.421599999999998</v>
      </c>
      <c r="K134" s="727" t="s">
        <v>1175</v>
      </c>
    </row>
    <row r="135" spans="1:11" outlineLevel="1">
      <c r="A135" s="713">
        <v>133</v>
      </c>
      <c r="B135" s="721" t="s">
        <v>1180</v>
      </c>
      <c r="C135" s="718" t="s">
        <v>33</v>
      </c>
      <c r="D135" s="726">
        <v>0</v>
      </c>
      <c r="E135" s="726" t="s">
        <v>816</v>
      </c>
      <c r="F135" s="729" t="s">
        <v>816</v>
      </c>
      <c r="G135" s="726" t="s">
        <v>816</v>
      </c>
      <c r="H135" s="726">
        <v>2182.94</v>
      </c>
      <c r="I135" s="726">
        <v>1126.46</v>
      </c>
      <c r="J135" s="726">
        <f t="shared" si="6"/>
        <v>3309.4</v>
      </c>
      <c r="K135" s="727" t="s">
        <v>1175</v>
      </c>
    </row>
    <row r="136" spans="1:11" outlineLevel="1">
      <c r="A136" s="716">
        <v>134</v>
      </c>
      <c r="B136" s="721" t="s">
        <v>1181</v>
      </c>
      <c r="C136" s="718" t="s">
        <v>219</v>
      </c>
      <c r="D136" s="726">
        <v>0</v>
      </c>
      <c r="E136" s="726" t="s">
        <v>816</v>
      </c>
      <c r="F136" s="729" t="s">
        <v>816</v>
      </c>
      <c r="G136" s="726" t="s">
        <v>816</v>
      </c>
      <c r="H136" s="726">
        <v>0</v>
      </c>
      <c r="I136" s="726">
        <v>0</v>
      </c>
      <c r="J136" s="726">
        <f t="shared" si="6"/>
        <v>0</v>
      </c>
      <c r="K136" s="727" t="s">
        <v>1175</v>
      </c>
    </row>
    <row r="137" spans="1:11" outlineLevel="1">
      <c r="A137" s="713">
        <v>135</v>
      </c>
      <c r="B137" s="721" t="s">
        <v>1182</v>
      </c>
      <c r="C137" s="718" t="s">
        <v>68</v>
      </c>
      <c r="D137" s="726">
        <v>0</v>
      </c>
      <c r="E137" s="726" t="s">
        <v>816</v>
      </c>
      <c r="F137" s="729" t="s">
        <v>816</v>
      </c>
      <c r="G137" s="726" t="s">
        <v>816</v>
      </c>
      <c r="H137" s="726">
        <v>17.28</v>
      </c>
      <c r="I137" s="726">
        <v>0</v>
      </c>
      <c r="J137" s="726">
        <f t="shared" si="6"/>
        <v>17.28</v>
      </c>
      <c r="K137" s="727" t="s">
        <v>1175</v>
      </c>
    </row>
    <row r="138" spans="1:11" outlineLevel="1">
      <c r="A138" s="716">
        <v>136</v>
      </c>
      <c r="B138" s="721" t="s">
        <v>1183</v>
      </c>
      <c r="C138" s="718" t="s">
        <v>68</v>
      </c>
      <c r="D138" s="726">
        <v>0</v>
      </c>
      <c r="E138" s="726" t="s">
        <v>816</v>
      </c>
      <c r="F138" s="729" t="s">
        <v>816</v>
      </c>
      <c r="G138" s="726" t="s">
        <v>816</v>
      </c>
      <c r="H138" s="726">
        <v>73.44</v>
      </c>
      <c r="I138" s="726">
        <v>0</v>
      </c>
      <c r="J138" s="726">
        <f t="shared" si="6"/>
        <v>73.44</v>
      </c>
      <c r="K138" s="727" t="s">
        <v>1175</v>
      </c>
    </row>
    <row r="139" spans="1:11" outlineLevel="1">
      <c r="A139" s="713">
        <v>137</v>
      </c>
      <c r="B139" s="721" t="s">
        <v>1184</v>
      </c>
      <c r="C139" s="718" t="s">
        <v>40</v>
      </c>
      <c r="D139" s="726">
        <v>0</v>
      </c>
      <c r="E139" s="726" t="s">
        <v>816</v>
      </c>
      <c r="F139" s="729" t="s">
        <v>816</v>
      </c>
      <c r="G139" s="726" t="s">
        <v>816</v>
      </c>
      <c r="H139" s="726">
        <v>339.72840000000002</v>
      </c>
      <c r="I139" s="726">
        <v>211.36500000000001</v>
      </c>
      <c r="J139" s="726">
        <f t="shared" si="6"/>
        <v>551.09339999999997</v>
      </c>
      <c r="K139" s="727" t="s">
        <v>1175</v>
      </c>
    </row>
    <row r="140" spans="1:11" outlineLevel="1">
      <c r="A140" s="716">
        <v>138</v>
      </c>
      <c r="B140" s="721" t="s">
        <v>1185</v>
      </c>
      <c r="C140" s="718" t="s">
        <v>219</v>
      </c>
      <c r="D140" s="726">
        <v>0</v>
      </c>
      <c r="E140" s="726" t="s">
        <v>816</v>
      </c>
      <c r="F140" s="729" t="s">
        <v>816</v>
      </c>
      <c r="G140" s="726" t="s">
        <v>816</v>
      </c>
      <c r="H140" s="726">
        <v>0</v>
      </c>
      <c r="I140" s="726">
        <v>0</v>
      </c>
      <c r="J140" s="726">
        <f t="shared" si="6"/>
        <v>0</v>
      </c>
      <c r="K140" s="727" t="s">
        <v>1175</v>
      </c>
    </row>
    <row r="141" spans="1:11" outlineLevel="1">
      <c r="A141" s="713">
        <v>139</v>
      </c>
      <c r="B141" s="721" t="s">
        <v>1186</v>
      </c>
      <c r="C141" s="718" t="s">
        <v>219</v>
      </c>
      <c r="D141" s="726">
        <v>0</v>
      </c>
      <c r="E141" s="726" t="s">
        <v>816</v>
      </c>
      <c r="F141" s="729" t="s">
        <v>816</v>
      </c>
      <c r="G141" s="726" t="s">
        <v>816</v>
      </c>
      <c r="H141" s="726">
        <v>7.5</v>
      </c>
      <c r="I141" s="726">
        <v>0</v>
      </c>
      <c r="J141" s="726">
        <f t="shared" si="6"/>
        <v>7.5</v>
      </c>
      <c r="K141" s="727" t="s">
        <v>1175</v>
      </c>
    </row>
    <row r="142" spans="1:11" outlineLevel="1">
      <c r="A142" s="716">
        <v>140</v>
      </c>
      <c r="B142" s="721" t="s">
        <v>1187</v>
      </c>
      <c r="C142" s="718" t="s">
        <v>40</v>
      </c>
      <c r="D142" s="726">
        <v>0</v>
      </c>
      <c r="E142" s="726" t="s">
        <v>816</v>
      </c>
      <c r="F142" s="729" t="s">
        <v>816</v>
      </c>
      <c r="G142" s="726" t="s">
        <v>816</v>
      </c>
      <c r="H142" s="726">
        <v>0</v>
      </c>
      <c r="I142" s="726">
        <v>0</v>
      </c>
      <c r="J142" s="726">
        <f t="shared" si="6"/>
        <v>0</v>
      </c>
      <c r="K142" s="727" t="s">
        <v>1175</v>
      </c>
    </row>
    <row r="143" spans="1:11" outlineLevel="1">
      <c r="A143" s="713">
        <v>141</v>
      </c>
      <c r="B143" s="721" t="s">
        <v>1188</v>
      </c>
      <c r="C143" s="718" t="s">
        <v>40</v>
      </c>
      <c r="D143" s="726">
        <v>0</v>
      </c>
      <c r="E143" s="726" t="s">
        <v>816</v>
      </c>
      <c r="F143" s="729" t="s">
        <v>816</v>
      </c>
      <c r="G143" s="726" t="s">
        <v>816</v>
      </c>
      <c r="H143" s="726">
        <v>31.239519999999999</v>
      </c>
      <c r="I143" s="726">
        <v>0</v>
      </c>
      <c r="J143" s="726">
        <f>SUM(D143:I143)</f>
        <v>31.239519999999999</v>
      </c>
      <c r="K143" s="727" t="s">
        <v>1175</v>
      </c>
    </row>
    <row r="144" spans="1:11" outlineLevel="1">
      <c r="A144" s="716">
        <v>142</v>
      </c>
      <c r="B144" s="721" t="s">
        <v>1189</v>
      </c>
      <c r="C144" s="718" t="s">
        <v>33</v>
      </c>
      <c r="D144" s="726">
        <v>0</v>
      </c>
      <c r="E144" s="726" t="s">
        <v>816</v>
      </c>
      <c r="F144" s="729" t="s">
        <v>816</v>
      </c>
      <c r="G144" s="726" t="s">
        <v>816</v>
      </c>
      <c r="H144" s="726">
        <v>5535.96</v>
      </c>
      <c r="I144" s="726">
        <v>0</v>
      </c>
      <c r="J144" s="726">
        <f>SUM(D144:I144)</f>
        <v>5535.96</v>
      </c>
      <c r="K144" s="727" t="s">
        <v>1175</v>
      </c>
    </row>
    <row r="145" spans="1:11" s="725" customFormat="1">
      <c r="A145" s="713">
        <v>143</v>
      </c>
      <c r="B145" s="722" t="s">
        <v>1190</v>
      </c>
      <c r="C145" s="728"/>
      <c r="D145" s="724"/>
      <c r="E145" s="724"/>
      <c r="F145" s="724"/>
      <c r="G145" s="724"/>
      <c r="H145" s="724"/>
      <c r="I145" s="724"/>
      <c r="J145" s="724"/>
    </row>
    <row r="146" spans="1:11" outlineLevel="1">
      <c r="A146" s="716">
        <v>144</v>
      </c>
      <c r="B146" s="721" t="s">
        <v>1191</v>
      </c>
      <c r="C146" s="718" t="s">
        <v>40</v>
      </c>
      <c r="D146" s="726">
        <v>0</v>
      </c>
      <c r="E146" s="726" t="s">
        <v>816</v>
      </c>
      <c r="F146" s="729" t="s">
        <v>816</v>
      </c>
      <c r="G146" s="726" t="s">
        <v>816</v>
      </c>
      <c r="H146" s="726">
        <v>0</v>
      </c>
      <c r="I146" s="726">
        <v>0</v>
      </c>
      <c r="J146" s="726">
        <f t="shared" si="6"/>
        <v>0</v>
      </c>
      <c r="K146" s="727" t="s">
        <v>1190</v>
      </c>
    </row>
    <row r="147" spans="1:11" outlineLevel="1">
      <c r="A147" s="713">
        <v>145</v>
      </c>
      <c r="B147" s="721" t="s">
        <v>1192</v>
      </c>
      <c r="C147" s="718" t="s">
        <v>40</v>
      </c>
      <c r="D147" s="726">
        <v>0</v>
      </c>
      <c r="E147" s="726" t="s">
        <v>816</v>
      </c>
      <c r="F147" s="729" t="s">
        <v>816</v>
      </c>
      <c r="G147" s="726" t="s">
        <v>816</v>
      </c>
      <c r="H147" s="726">
        <v>0</v>
      </c>
      <c r="I147" s="726">
        <v>0</v>
      </c>
      <c r="J147" s="726">
        <f t="shared" si="6"/>
        <v>0</v>
      </c>
      <c r="K147" s="727" t="s">
        <v>1190</v>
      </c>
    </row>
    <row r="148" spans="1:11" outlineLevel="1">
      <c r="A148" s="716">
        <v>146</v>
      </c>
      <c r="B148" s="721" t="s">
        <v>1193</v>
      </c>
      <c r="C148" s="718" t="s">
        <v>33</v>
      </c>
      <c r="D148" s="726">
        <v>0</v>
      </c>
      <c r="E148" s="726" t="s">
        <v>816</v>
      </c>
      <c r="F148" s="729" t="s">
        <v>816</v>
      </c>
      <c r="G148" s="726" t="s">
        <v>816</v>
      </c>
      <c r="H148" s="726">
        <v>0</v>
      </c>
      <c r="I148" s="726">
        <v>0</v>
      </c>
      <c r="J148" s="726">
        <f t="shared" si="6"/>
        <v>0</v>
      </c>
      <c r="K148" s="727" t="s">
        <v>1190</v>
      </c>
    </row>
    <row r="149" spans="1:11" outlineLevel="1">
      <c r="A149" s="713">
        <v>147</v>
      </c>
      <c r="B149" s="721" t="s">
        <v>1194</v>
      </c>
      <c r="C149" s="718" t="s">
        <v>68</v>
      </c>
      <c r="D149" s="726">
        <v>0</v>
      </c>
      <c r="E149" s="726" t="s">
        <v>816</v>
      </c>
      <c r="F149" s="729" t="s">
        <v>816</v>
      </c>
      <c r="G149" s="726" t="s">
        <v>816</v>
      </c>
      <c r="H149" s="726">
        <v>0</v>
      </c>
      <c r="I149" s="726">
        <v>0</v>
      </c>
      <c r="J149" s="726">
        <f t="shared" si="6"/>
        <v>0</v>
      </c>
      <c r="K149" s="727" t="s">
        <v>1190</v>
      </c>
    </row>
    <row r="150" spans="1:11" outlineLevel="1">
      <c r="A150" s="716">
        <v>148</v>
      </c>
      <c r="B150" s="721" t="s">
        <v>1195</v>
      </c>
      <c r="C150" s="718" t="s">
        <v>68</v>
      </c>
      <c r="D150" s="726">
        <v>0</v>
      </c>
      <c r="E150" s="726" t="s">
        <v>816</v>
      </c>
      <c r="F150" s="729" t="s">
        <v>816</v>
      </c>
      <c r="G150" s="726" t="s">
        <v>816</v>
      </c>
      <c r="H150" s="726">
        <v>0</v>
      </c>
      <c r="I150" s="726">
        <v>0</v>
      </c>
      <c r="J150" s="726">
        <f t="shared" si="6"/>
        <v>0</v>
      </c>
      <c r="K150" s="727" t="s">
        <v>1190</v>
      </c>
    </row>
    <row r="151" spans="1:11" outlineLevel="1">
      <c r="A151" s="713">
        <v>149</v>
      </c>
      <c r="B151" s="721" t="s">
        <v>1196</v>
      </c>
      <c r="C151" s="718" t="s">
        <v>1112</v>
      </c>
      <c r="D151" s="726">
        <v>0</v>
      </c>
      <c r="E151" s="726" t="s">
        <v>816</v>
      </c>
      <c r="F151" s="729" t="s">
        <v>816</v>
      </c>
      <c r="G151" s="726" t="s">
        <v>816</v>
      </c>
      <c r="H151" s="726">
        <v>0</v>
      </c>
      <c r="I151" s="726">
        <v>0</v>
      </c>
      <c r="J151" s="726">
        <f t="shared" si="6"/>
        <v>0</v>
      </c>
      <c r="K151" s="727" t="s">
        <v>1190</v>
      </c>
    </row>
    <row r="152" spans="1:11" outlineLevel="1">
      <c r="A152" s="716">
        <v>150</v>
      </c>
      <c r="B152" s="721" t="s">
        <v>1197</v>
      </c>
      <c r="C152" s="718" t="s">
        <v>68</v>
      </c>
      <c r="D152" s="726">
        <v>0</v>
      </c>
      <c r="E152" s="726" t="s">
        <v>816</v>
      </c>
      <c r="F152" s="729" t="s">
        <v>816</v>
      </c>
      <c r="G152" s="726" t="s">
        <v>816</v>
      </c>
      <c r="H152" s="726">
        <v>0</v>
      </c>
      <c r="I152" s="726">
        <v>0</v>
      </c>
      <c r="J152" s="726">
        <f t="shared" si="6"/>
        <v>0</v>
      </c>
      <c r="K152" s="727" t="s">
        <v>1190</v>
      </c>
    </row>
    <row r="153" spans="1:11" outlineLevel="1">
      <c r="A153" s="713">
        <v>151</v>
      </c>
      <c r="B153" s="721" t="s">
        <v>1198</v>
      </c>
      <c r="C153" s="718" t="s">
        <v>40</v>
      </c>
      <c r="D153" s="726">
        <v>0</v>
      </c>
      <c r="E153" s="726" t="s">
        <v>816</v>
      </c>
      <c r="F153" s="729" t="s">
        <v>816</v>
      </c>
      <c r="G153" s="726" t="s">
        <v>816</v>
      </c>
      <c r="H153" s="726">
        <v>0</v>
      </c>
      <c r="I153" s="726">
        <v>0</v>
      </c>
      <c r="J153" s="726">
        <f t="shared" si="6"/>
        <v>0</v>
      </c>
      <c r="K153" s="727" t="s">
        <v>1190</v>
      </c>
    </row>
    <row r="154" spans="1:11">
      <c r="D154" s="732">
        <f>SUM(D2:D153)</f>
        <v>34881.239800000003</v>
      </c>
      <c r="E154" s="732">
        <f t="shared" ref="E154:I154" si="7">SUM(E2:E153)</f>
        <v>34364.411</v>
      </c>
      <c r="F154" s="732">
        <f t="shared" si="7"/>
        <v>32925.599220000004</v>
      </c>
      <c r="G154" s="732">
        <f t="shared" si="7"/>
        <v>37569.076000000001</v>
      </c>
      <c r="H154" s="732">
        <f t="shared" si="7"/>
        <v>8519.7785199999998</v>
      </c>
      <c r="I154" s="732">
        <f t="shared" si="7"/>
        <v>177334.46833333329</v>
      </c>
      <c r="J154" s="732"/>
    </row>
  </sheetData>
  <autoFilter ref="A1:C153">
    <sortState ref="A2:D152">
      <sortCondition ref="A1:A152"/>
    </sortState>
  </autoFilter>
  <conditionalFormatting sqref="D3:H153 J3:K153">
    <cfRule type="cellIs" dxfId="1" priority="2" operator="equal">
      <formula>0</formula>
    </cfRule>
  </conditionalFormatting>
  <conditionalFormatting sqref="I3:I153">
    <cfRule type="cellIs" dxfId="0" priority="1" operator="equal">
      <formula>0</formula>
    </cfRule>
  </conditionalFormatting>
  <pageMargins left="0.70866141732283472" right="0.70866141732283472" top="0.74803149606299213" bottom="0.74803149606299213" header="0.31496062992125984" footer="0.31496062992125984"/>
  <pageSetup scale="69" fitToHeight="0" orientation="landscape" r:id="rId1"/>
  <headerFooter>
    <oddFooter>&amp;C&amp;P de &amp;N&amp;R&amp;A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88"/>
  <sheetViews>
    <sheetView view="pageBreakPreview" zoomScale="85" zoomScaleNormal="85" zoomScaleSheetLayoutView="85" workbookViewId="0">
      <pane xSplit="3" ySplit="14" topLeftCell="D15" activePane="bottomRight" state="frozen"/>
      <selection activeCell="A214" sqref="A1:XFD1048576"/>
      <selection pane="topRight" activeCell="A214" sqref="A1:XFD1048576"/>
      <selection pane="bottomLeft" activeCell="A214" sqref="A1:XFD1048576"/>
      <selection pane="bottomRight" activeCell="A214" sqref="A1:XFD1048576"/>
    </sheetView>
  </sheetViews>
  <sheetFormatPr baseColWidth="10" defaultColWidth="11.42578125" defaultRowHeight="15"/>
  <cols>
    <col min="1" max="1" width="11.85546875" style="807" customWidth="1"/>
    <col min="2" max="2" width="18.7109375" style="835" customWidth="1"/>
    <col min="3" max="3" width="11.42578125" style="807"/>
    <col min="4" max="21" width="13.7109375" style="807" customWidth="1"/>
    <col min="22" max="22" width="13.7109375" style="846" customWidth="1"/>
    <col min="23" max="23" width="13.140625" style="807" bestFit="1" customWidth="1"/>
    <col min="24" max="24" width="14.5703125" style="807" customWidth="1"/>
    <col min="25" max="25" width="9.42578125" style="807" customWidth="1"/>
    <col min="26" max="16384" width="11.42578125" style="807"/>
  </cols>
  <sheetData>
    <row r="1" spans="1:102" s="738" customFormat="1" ht="30" customHeight="1">
      <c r="A1" s="1714" t="s">
        <v>1199</v>
      </c>
      <c r="B1" s="1715"/>
      <c r="C1" s="1716"/>
      <c r="D1" s="733" t="s">
        <v>1200</v>
      </c>
      <c r="E1" s="734" t="s">
        <v>1201</v>
      </c>
      <c r="F1" s="734" t="s">
        <v>1202</v>
      </c>
      <c r="G1" s="734" t="s">
        <v>1203</v>
      </c>
      <c r="H1" s="734" t="s">
        <v>1204</v>
      </c>
      <c r="I1" s="735" t="s">
        <v>1205</v>
      </c>
      <c r="J1" s="735" t="s">
        <v>1206</v>
      </c>
      <c r="K1" s="735" t="s">
        <v>1207</v>
      </c>
      <c r="L1" s="735" t="s">
        <v>1208</v>
      </c>
      <c r="M1" s="735" t="s">
        <v>1209</v>
      </c>
      <c r="N1" s="735" t="s">
        <v>1210</v>
      </c>
      <c r="O1" s="734" t="s">
        <v>1211</v>
      </c>
      <c r="P1" s="735" t="s">
        <v>1212</v>
      </c>
      <c r="Q1" s="735" t="s">
        <v>1213</v>
      </c>
      <c r="R1" s="734" t="s">
        <v>1214</v>
      </c>
      <c r="S1" s="734" t="s">
        <v>1215</v>
      </c>
      <c r="T1" s="734" t="s">
        <v>1216</v>
      </c>
      <c r="U1" s="734" t="s">
        <v>1217</v>
      </c>
      <c r="V1" s="736" t="s">
        <v>1218</v>
      </c>
      <c r="W1" s="737" t="s">
        <v>1219</v>
      </c>
      <c r="X1" s="737" t="s">
        <v>1220</v>
      </c>
      <c r="Y1" s="1717" t="s">
        <v>1221</v>
      </c>
    </row>
    <row r="2" spans="1:102" s="743" customFormat="1">
      <c r="A2" s="1720" t="s">
        <v>1222</v>
      </c>
      <c r="B2" s="1721"/>
      <c r="C2" s="1722"/>
      <c r="D2" s="739">
        <v>0</v>
      </c>
      <c r="E2" s="740">
        <v>0</v>
      </c>
      <c r="F2" s="740">
        <v>0</v>
      </c>
      <c r="G2" s="740">
        <v>2</v>
      </c>
      <c r="H2" s="740">
        <v>3</v>
      </c>
      <c r="I2" s="740">
        <v>0</v>
      </c>
      <c r="J2" s="740">
        <v>0</v>
      </c>
      <c r="K2" s="740">
        <v>0</v>
      </c>
      <c r="L2" s="740">
        <v>0</v>
      </c>
      <c r="M2" s="740">
        <v>0</v>
      </c>
      <c r="N2" s="740">
        <v>2</v>
      </c>
      <c r="O2" s="740">
        <v>0</v>
      </c>
      <c r="P2" s="740">
        <v>0</v>
      </c>
      <c r="Q2" s="740">
        <v>0</v>
      </c>
      <c r="R2" s="740">
        <v>0</v>
      </c>
      <c r="S2" s="740">
        <v>0</v>
      </c>
      <c r="T2" s="740">
        <v>0</v>
      </c>
      <c r="U2" s="740">
        <v>0</v>
      </c>
      <c r="V2" s="741">
        <v>0</v>
      </c>
      <c r="W2" s="742"/>
      <c r="X2" s="742"/>
      <c r="Y2" s="1718"/>
    </row>
    <row r="3" spans="1:102" s="743" customFormat="1" ht="15" customHeight="1">
      <c r="A3" s="1723" t="s">
        <v>1223</v>
      </c>
      <c r="B3" s="1724"/>
      <c r="C3" s="744" t="s">
        <v>1224</v>
      </c>
      <c r="D3" s="739"/>
      <c r="E3" s="740"/>
      <c r="F3" s="740"/>
      <c r="G3" s="740">
        <f>+(112.35-98.4)*2</f>
        <v>27.899999999999977</v>
      </c>
      <c r="H3" s="740">
        <f>+(112.35-98.4)*2</f>
        <v>27.899999999999977</v>
      </c>
      <c r="I3" s="740"/>
      <c r="J3" s="740"/>
      <c r="K3" s="740"/>
      <c r="L3" s="740"/>
      <c r="M3" s="740">
        <f>+(20.955-20.5)*2</f>
        <v>0.90999999999999659</v>
      </c>
      <c r="N3" s="745">
        <f>+(30.918-22.5)*2</f>
        <v>16.835999999999999</v>
      </c>
      <c r="O3" s="740"/>
      <c r="P3" s="740"/>
      <c r="Q3" s="740">
        <f>+(41.145-39.3)*2</f>
        <v>3.6900000000000119</v>
      </c>
      <c r="R3" s="740"/>
      <c r="S3" s="740"/>
      <c r="T3" s="740"/>
      <c r="U3" s="740"/>
      <c r="V3" s="741"/>
      <c r="W3" s="742"/>
      <c r="X3" s="742"/>
      <c r="Y3" s="1718"/>
    </row>
    <row r="4" spans="1:102" s="743" customFormat="1">
      <c r="A4" s="1723"/>
      <c r="B4" s="1724"/>
      <c r="C4" s="744" t="s">
        <v>1225</v>
      </c>
      <c r="D4" s="739"/>
      <c r="E4" s="740"/>
      <c r="F4" s="740"/>
      <c r="G4" s="740"/>
      <c r="H4" s="740"/>
      <c r="I4" s="740">
        <f>+(113.61-109.692)*2</f>
        <v>7.8360000000000127</v>
      </c>
      <c r="J4" s="740"/>
      <c r="K4" s="740"/>
      <c r="L4" s="740"/>
      <c r="M4" s="740"/>
      <c r="N4" s="740"/>
      <c r="O4" s="740"/>
      <c r="P4" s="740">
        <f>+(36.3-30.926)*2</f>
        <v>10.747999999999998</v>
      </c>
      <c r="Q4" s="740"/>
      <c r="R4" s="740"/>
      <c r="S4" s="740"/>
      <c r="T4" s="740"/>
      <c r="U4" s="740"/>
      <c r="V4" s="741"/>
      <c r="W4" s="742"/>
      <c r="X4" s="742"/>
      <c r="Y4" s="1718"/>
    </row>
    <row r="5" spans="1:102" s="743" customFormat="1">
      <c r="A5" s="1720" t="s">
        <v>1226</v>
      </c>
      <c r="B5" s="1721"/>
      <c r="C5" s="1722"/>
      <c r="D5" s="746">
        <v>83700</v>
      </c>
      <c r="E5" s="747">
        <v>88080</v>
      </c>
      <c r="F5" s="747">
        <v>89910</v>
      </c>
      <c r="G5" s="747">
        <v>98400</v>
      </c>
      <c r="H5" s="747">
        <v>98400</v>
      </c>
      <c r="I5" s="747">
        <v>113610</v>
      </c>
      <c r="J5" s="748">
        <v>116500</v>
      </c>
      <c r="K5" s="747">
        <v>108910</v>
      </c>
      <c r="L5" s="749">
        <v>1650</v>
      </c>
      <c r="M5" s="749">
        <v>20500</v>
      </c>
      <c r="N5" s="747">
        <v>22200</v>
      </c>
      <c r="O5" s="747">
        <v>32500</v>
      </c>
      <c r="P5" s="747">
        <v>36300</v>
      </c>
      <c r="Q5" s="749">
        <v>39300</v>
      </c>
      <c r="R5" s="747">
        <v>43000</v>
      </c>
      <c r="S5" s="747">
        <v>49000</v>
      </c>
      <c r="T5" s="747">
        <v>50000</v>
      </c>
      <c r="U5" s="750">
        <v>55000</v>
      </c>
      <c r="V5" s="751">
        <v>1650</v>
      </c>
      <c r="W5" s="752">
        <v>43000</v>
      </c>
      <c r="X5" s="752">
        <v>98400</v>
      </c>
      <c r="Y5" s="1718"/>
    </row>
    <row r="6" spans="1:102" s="743" customFormat="1">
      <c r="A6" s="1725" t="s">
        <v>1227</v>
      </c>
      <c r="B6" s="1726"/>
      <c r="C6" s="1727"/>
      <c r="D6" s="753">
        <v>4510</v>
      </c>
      <c r="E6" s="754">
        <v>4510</v>
      </c>
      <c r="F6" s="754">
        <v>4510</v>
      </c>
      <c r="G6" s="754">
        <v>4510</v>
      </c>
      <c r="H6" s="754">
        <v>4510</v>
      </c>
      <c r="I6" s="754">
        <v>4510</v>
      </c>
      <c r="J6" s="755">
        <v>4510</v>
      </c>
      <c r="K6" s="754">
        <v>4510</v>
      </c>
      <c r="L6" s="754">
        <v>4511</v>
      </c>
      <c r="M6" s="754">
        <v>4511</v>
      </c>
      <c r="N6" s="754">
        <v>4511</v>
      </c>
      <c r="O6" s="754">
        <v>4511</v>
      </c>
      <c r="P6" s="754">
        <v>4511</v>
      </c>
      <c r="Q6" s="754">
        <v>4511</v>
      </c>
      <c r="R6" s="754">
        <v>4511</v>
      </c>
      <c r="S6" s="754">
        <v>4511</v>
      </c>
      <c r="T6" s="754">
        <v>4511</v>
      </c>
      <c r="U6" s="754">
        <v>4511</v>
      </c>
      <c r="V6" s="756">
        <v>4511</v>
      </c>
      <c r="W6" s="756">
        <v>4511</v>
      </c>
      <c r="X6" s="756">
        <v>4510</v>
      </c>
      <c r="Y6" s="1718"/>
    </row>
    <row r="7" spans="1:102" s="738" customFormat="1" ht="45">
      <c r="A7" s="1728" t="s">
        <v>1228</v>
      </c>
      <c r="B7" s="1729"/>
      <c r="C7" s="1730"/>
      <c r="D7" s="757" t="s">
        <v>1229</v>
      </c>
      <c r="E7" s="758" t="s">
        <v>1229</v>
      </c>
      <c r="F7" s="758" t="s">
        <v>1229</v>
      </c>
      <c r="G7" s="758" t="s">
        <v>1229</v>
      </c>
      <c r="H7" s="758" t="s">
        <v>1229</v>
      </c>
      <c r="I7" s="758" t="s">
        <v>1229</v>
      </c>
      <c r="J7" s="758" t="s">
        <v>1229</v>
      </c>
      <c r="K7" s="758" t="s">
        <v>1229</v>
      </c>
      <c r="L7" s="759" t="s">
        <v>1229</v>
      </c>
      <c r="M7" s="759" t="s">
        <v>1229</v>
      </c>
      <c r="N7" s="758" t="s">
        <v>1229</v>
      </c>
      <c r="O7" s="758" t="s">
        <v>1229</v>
      </c>
      <c r="P7" s="758" t="s">
        <v>1229</v>
      </c>
      <c r="Q7" s="759" t="s">
        <v>1229</v>
      </c>
      <c r="R7" s="758" t="s">
        <v>1229</v>
      </c>
      <c r="S7" s="758" t="s">
        <v>1229</v>
      </c>
      <c r="T7" s="758" t="s">
        <v>1229</v>
      </c>
      <c r="U7" s="758" t="s">
        <v>1229</v>
      </c>
      <c r="V7" s="760" t="s">
        <v>1230</v>
      </c>
      <c r="W7" s="761" t="s">
        <v>1231</v>
      </c>
      <c r="X7" s="762" t="s">
        <v>1232</v>
      </c>
      <c r="Y7" s="1718"/>
    </row>
    <row r="8" spans="1:102" s="743" customFormat="1" ht="45">
      <c r="A8" s="1731" t="s">
        <v>1233</v>
      </c>
      <c r="B8" s="1732"/>
      <c r="C8" s="1732"/>
      <c r="D8" s="763">
        <v>43056</v>
      </c>
      <c r="E8" s="764">
        <v>43202</v>
      </c>
      <c r="F8" s="764">
        <v>43202</v>
      </c>
      <c r="G8" s="1733">
        <v>43202</v>
      </c>
      <c r="H8" s="1733"/>
      <c r="I8" s="764">
        <v>43201</v>
      </c>
      <c r="J8" s="765" t="s">
        <v>1234</v>
      </c>
      <c r="K8" s="764">
        <v>43230</v>
      </c>
      <c r="L8" s="764">
        <v>43328</v>
      </c>
      <c r="M8" s="1733">
        <v>43423</v>
      </c>
      <c r="N8" s="1733"/>
      <c r="O8" s="764">
        <v>43748</v>
      </c>
      <c r="P8" s="764">
        <v>43698</v>
      </c>
      <c r="Q8" s="764">
        <v>43807</v>
      </c>
      <c r="R8" s="764">
        <v>43437</v>
      </c>
      <c r="S8" s="764">
        <v>43747</v>
      </c>
      <c r="T8" s="764">
        <v>43634</v>
      </c>
      <c r="U8" s="765">
        <v>43615</v>
      </c>
      <c r="V8" s="766"/>
      <c r="W8" s="767"/>
      <c r="X8" s="752"/>
      <c r="Y8" s="1718"/>
    </row>
    <row r="9" spans="1:102" s="774" customFormat="1">
      <c r="A9" s="1731" t="s">
        <v>1235</v>
      </c>
      <c r="B9" s="1732"/>
      <c r="C9" s="1732"/>
      <c r="D9" s="768">
        <v>42186</v>
      </c>
      <c r="E9" s="769">
        <v>41974</v>
      </c>
      <c r="F9" s="770" t="s">
        <v>1236</v>
      </c>
      <c r="G9" s="769">
        <v>42339</v>
      </c>
      <c r="H9" s="771">
        <v>42583</v>
      </c>
      <c r="I9" s="771">
        <v>42644</v>
      </c>
      <c r="J9" s="769">
        <v>42675</v>
      </c>
      <c r="K9" s="769" t="s">
        <v>1237</v>
      </c>
      <c r="L9" s="771">
        <v>42705</v>
      </c>
      <c r="M9" s="769">
        <v>42675</v>
      </c>
      <c r="N9" s="771">
        <v>42736</v>
      </c>
      <c r="O9" s="769" t="s">
        <v>1238</v>
      </c>
      <c r="P9" s="769">
        <v>42583</v>
      </c>
      <c r="Q9" s="769">
        <v>42491</v>
      </c>
      <c r="R9" s="771">
        <v>42705</v>
      </c>
      <c r="S9" s="770" t="s">
        <v>1238</v>
      </c>
      <c r="T9" s="770" t="s">
        <v>1238</v>
      </c>
      <c r="U9" s="770" t="s">
        <v>1238</v>
      </c>
      <c r="V9" s="772" t="s">
        <v>1239</v>
      </c>
      <c r="W9" s="773" t="s">
        <v>1240</v>
      </c>
      <c r="X9" s="773" t="s">
        <v>1240</v>
      </c>
      <c r="Y9" s="1718"/>
    </row>
    <row r="10" spans="1:102" s="743" customFormat="1">
      <c r="A10" s="1734" t="s">
        <v>1241</v>
      </c>
      <c r="B10" s="1735"/>
      <c r="C10" s="1736"/>
      <c r="D10" s="775">
        <v>1400000</v>
      </c>
      <c r="E10" s="776">
        <v>242000</v>
      </c>
      <c r="F10" s="776">
        <v>200047</v>
      </c>
      <c r="G10" s="777">
        <v>800000</v>
      </c>
      <c r="H10" s="777">
        <v>600000</v>
      </c>
      <c r="I10" s="776">
        <v>504235</v>
      </c>
      <c r="J10" s="778">
        <v>500000</v>
      </c>
      <c r="K10" s="776">
        <v>547649</v>
      </c>
      <c r="L10" s="778">
        <v>410373</v>
      </c>
      <c r="M10" s="776">
        <v>456000</v>
      </c>
      <c r="N10" s="778">
        <v>1200000</v>
      </c>
      <c r="O10" s="776">
        <v>550000</v>
      </c>
      <c r="P10" s="778">
        <v>179287</v>
      </c>
      <c r="Q10" s="779">
        <v>509794</v>
      </c>
      <c r="R10" s="776">
        <v>950000</v>
      </c>
      <c r="S10" s="776">
        <v>230000</v>
      </c>
      <c r="T10" s="776">
        <v>890000</v>
      </c>
      <c r="U10" s="780" t="s">
        <v>1242</v>
      </c>
      <c r="V10" s="781"/>
      <c r="W10" s="752"/>
      <c r="X10" s="752"/>
      <c r="Y10" s="1718"/>
    </row>
    <row r="11" spans="1:102" s="743" customFormat="1">
      <c r="A11" s="1734" t="s">
        <v>1243</v>
      </c>
      <c r="B11" s="1735"/>
      <c r="C11" s="1736"/>
      <c r="D11" s="782">
        <v>160000</v>
      </c>
      <c r="E11" s="783">
        <v>66230</v>
      </c>
      <c r="F11" s="784">
        <v>0</v>
      </c>
      <c r="G11" s="785">
        <v>293008</v>
      </c>
      <c r="H11" s="785">
        <v>439604</v>
      </c>
      <c r="I11" s="783">
        <v>433744</v>
      </c>
      <c r="J11" s="786">
        <v>407284</v>
      </c>
      <c r="K11" s="784">
        <v>0</v>
      </c>
      <c r="L11" s="786">
        <v>275000</v>
      </c>
      <c r="M11" s="784">
        <v>187852</v>
      </c>
      <c r="N11" s="786">
        <v>365562</v>
      </c>
      <c r="O11" s="784">
        <v>0</v>
      </c>
      <c r="P11" s="786">
        <v>20932</v>
      </c>
      <c r="Q11" s="783">
        <v>35826</v>
      </c>
      <c r="R11" s="783">
        <v>34543</v>
      </c>
      <c r="S11" s="784">
        <v>0</v>
      </c>
      <c r="T11" s="784">
        <v>0</v>
      </c>
      <c r="U11" s="787">
        <v>0</v>
      </c>
      <c r="V11" s="788"/>
      <c r="W11" s="752"/>
      <c r="X11" s="752"/>
      <c r="Y11" s="1718"/>
    </row>
    <row r="12" spans="1:102" s="743" customFormat="1">
      <c r="A12" s="1712" t="s">
        <v>1244</v>
      </c>
      <c r="B12" s="1713"/>
      <c r="C12" s="1737"/>
      <c r="D12" s="789">
        <v>1439985</v>
      </c>
      <c r="E12" s="790">
        <v>175770</v>
      </c>
      <c r="F12" s="790">
        <v>200047</v>
      </c>
      <c r="G12" s="791">
        <v>506992</v>
      </c>
      <c r="H12" s="791">
        <v>160396</v>
      </c>
      <c r="I12" s="790">
        <v>70491</v>
      </c>
      <c r="J12" s="792">
        <v>92716</v>
      </c>
      <c r="K12" s="790">
        <v>547649</v>
      </c>
      <c r="L12" s="792">
        <v>135373</v>
      </c>
      <c r="M12" s="790">
        <v>268148</v>
      </c>
      <c r="N12" s="792">
        <v>834438</v>
      </c>
      <c r="O12" s="790">
        <v>550000</v>
      </c>
      <c r="P12" s="792">
        <v>158355</v>
      </c>
      <c r="Q12" s="790">
        <v>473968</v>
      </c>
      <c r="R12" s="790">
        <v>915457</v>
      </c>
      <c r="S12" s="790">
        <v>230000</v>
      </c>
      <c r="T12" s="790">
        <v>890000</v>
      </c>
      <c r="U12" s="792">
        <v>1300000</v>
      </c>
      <c r="V12" s="793"/>
      <c r="W12" s="794"/>
      <c r="X12" s="794"/>
      <c r="Y12" s="1719"/>
    </row>
    <row r="13" spans="1:102" s="743" customFormat="1">
      <c r="A13" s="1738" t="s">
        <v>1245</v>
      </c>
      <c r="B13" s="1739"/>
      <c r="C13" s="1739"/>
      <c r="D13" s="795">
        <f>+D14+D11</f>
        <v>160000</v>
      </c>
      <c r="E13" s="795">
        <f t="shared" ref="E13:U13" si="0">+E14+E11</f>
        <v>66230</v>
      </c>
      <c r="F13" s="795">
        <f t="shared" si="0"/>
        <v>0</v>
      </c>
      <c r="G13" s="795">
        <f t="shared" si="0"/>
        <v>293008</v>
      </c>
      <c r="H13" s="795">
        <f t="shared" si="0"/>
        <v>439604</v>
      </c>
      <c r="I13" s="795">
        <f t="shared" si="0"/>
        <v>449543.79982777778</v>
      </c>
      <c r="J13" s="795">
        <f t="shared" si="0"/>
        <v>407284</v>
      </c>
      <c r="K13" s="795">
        <f t="shared" si="0"/>
        <v>0</v>
      </c>
      <c r="L13" s="795">
        <f t="shared" si="0"/>
        <v>304030.848</v>
      </c>
      <c r="M13" s="795">
        <f t="shared" si="0"/>
        <v>187852</v>
      </c>
      <c r="N13" s="795">
        <f t="shared" si="0"/>
        <v>372847.29755555553</v>
      </c>
      <c r="O13" s="795">
        <f t="shared" si="0"/>
        <v>0</v>
      </c>
      <c r="P13" s="795">
        <f t="shared" si="0"/>
        <v>20932</v>
      </c>
      <c r="Q13" s="795">
        <f t="shared" si="0"/>
        <v>35826</v>
      </c>
      <c r="R13" s="795">
        <f t="shared" si="0"/>
        <v>52018.637300000002</v>
      </c>
      <c r="S13" s="795">
        <f t="shared" si="0"/>
        <v>0</v>
      </c>
      <c r="T13" s="795">
        <f t="shared" si="0"/>
        <v>0</v>
      </c>
      <c r="U13" s="795">
        <f t="shared" si="0"/>
        <v>0</v>
      </c>
      <c r="V13" s="796"/>
      <c r="W13" s="796"/>
      <c r="X13" s="796"/>
      <c r="Y13" s="797"/>
    </row>
    <row r="14" spans="1:102" s="743" customFormat="1">
      <c r="A14" s="1712" t="s">
        <v>1246</v>
      </c>
      <c r="B14" s="1713"/>
      <c r="C14" s="1713"/>
      <c r="D14" s="798">
        <f>SUMIFS(D$23:D$85,$B$23:$B$85,"Terraplen")*FACTORES!$C$10+SUMIFS(D$23:D$85,$B$23:$B$85,"Coronas")*FACTORES!$C$10+SUMIFS(D$23:D$85,$B$23:$B$85,"Subbase/Base")*FACTORES!$C$6+SUMIFS(D$23:D$85,$B$23:$B$85,"Pavimento")*FACTORES!$C$3</f>
        <v>0</v>
      </c>
      <c r="E14" s="790">
        <f>SUMIFS(E$23:E$85,$B$23:$B$85,"Terraplen")*FACTORES!$C$10+SUMIFS(E$23:E$85,$B$23:$B$85,"Coronas")*FACTORES!$C$10+SUMIFS(E$23:E$85,$B$23:$B$85,"Subbase/Base")*FACTORES!$C$6+SUMIFS(E$23:E$85,$B$23:$B$85,"Pavimento")*FACTORES!$C$3</f>
        <v>0</v>
      </c>
      <c r="F14" s="790">
        <f>SUMIFS(F$23:F$85,$B$23:$B$85,"Terraplen")*FACTORES!$C$10+SUMIFS(F$23:F$85,$B$23:$B$85,"Coronas")*FACTORES!$C$10+SUMIFS(F$23:F$85,$B$23:$B$85,"Subbase/Base")*FACTORES!$C$6+SUMIFS(F$23:F$85,$B$23:$B$85,"Pavimento")*FACTORES!$C$3</f>
        <v>0</v>
      </c>
      <c r="G14" s="791">
        <f>SUMIFS(G$23:G$85,$B$23:$B$85,"Terraplen")*FACTORES!$C$10+SUMIFS(G$23:G$85,$B$23:$B$85,"Coronas")*FACTORES!$C$10+SUMIFS(G$23:G$85,$B$23:$B$85,"Subbase/Base")*FACTORES!$C$6+SUMIFS(G$23:G$85,$B$23:$B$85,"Pavimento")*FACTORES!$C$3</f>
        <v>0</v>
      </c>
      <c r="H14" s="791">
        <f>SUMIFS(H$23:H$85,$B$23:$B$85,"Terraplen")*FACTORES!$C$10+SUMIFS(H$23:H$85,$B$23:$B$85,"Coronas")*FACTORES!$C$10+SUMIFS(H$23:H$85,$B$23:$B$85,"Subbase/Base")*FACTORES!$C$6+SUMIFS(H$23:H$85,$B$23:$B$85,"Pavimento")*FACTORES!$C$3</f>
        <v>0</v>
      </c>
      <c r="I14" s="790">
        <f>SUMIFS(I$23:I$85,$B$23:$B$85,"Terraplen")*FACTORES!$C$10+SUMIFS(I$23:I$85,$B$23:$B$85,"Coronas")*FACTORES!$C$10+SUMIFS(I$23:I$85,$B$23:$B$85,"Subbase/Base")*FACTORES!$C$6+SUMIFS(I$23:I$85,$B$23:$B$85,"Pavimento")*FACTORES!$C$3</f>
        <v>15799.799827777779</v>
      </c>
      <c r="J14" s="792">
        <f>SUMIFS(J$23:J$85,$B$23:$B$85,"Terraplen")*FACTORES!$C$10+SUMIFS(J$23:J$85,$B$23:$B$85,"Coronas")*FACTORES!$C$10+SUMIFS(J$23:J$85,$B$23:$B$85,"Subbase/Base")*FACTORES!$C$6+SUMIFS(J$23:J$85,$B$23:$B$85,"Pavimento")*FACTORES!$C$3</f>
        <v>0</v>
      </c>
      <c r="K14" s="790">
        <f>SUMIFS(K$23:K$85,$B$23:$B$85,"Terraplen")*FACTORES!$C$10+SUMIFS(K$23:K$85,$B$23:$B$85,"Coronas")*FACTORES!$C$10+SUMIFS(K$23:K$85,$B$23:$B$85,"Subbase/Base")*FACTORES!$C$6+SUMIFS(K$23:K$85,$B$23:$B$85,"Pavimento")*FACTORES!$C$3</f>
        <v>0</v>
      </c>
      <c r="L14" s="792">
        <f>SUMIFS(L$23:L$85,$B$23:$B$85,"Terraplen")*FACTORES!$C$10+SUMIFS(L$23:L$85,$B$23:$B$85,"Coronas")*FACTORES!$C$10+SUMIFS(L$23:L$85,$B$23:$B$85,"Subbase/Base")*FACTORES!$C$6+SUMIFS(L$23:L$85,$B$23:$B$85,"Pavimento")*FACTORES!$C$3</f>
        <v>29030.848000000002</v>
      </c>
      <c r="M14" s="790">
        <f>SUMIFS(M$23:M$85,$B$23:$B$85,"Terraplen")*FACTORES!$C$10+SUMIFS(M$23:M$85,$B$23:$B$85,"Coronas")*FACTORES!$C$10+SUMIFS(M$23:M$85,$B$23:$B$85,"Subbase/Base")*FACTORES!$C$6+SUMIFS(M$23:M$85,$B$23:$B$85,"Pavimento")*FACTORES!$C$3</f>
        <v>0</v>
      </c>
      <c r="N14" s="792">
        <f>SUMIFS(N$23:N$85,$B$23:$B$85,"Terraplen")*FACTORES!$C$10+SUMIFS(N$23:N$85,$B$23:$B$85,"Coronas")*FACTORES!$C$10+SUMIFS(N$23:N$85,$B$23:$B$85,"Subbase/Base")*FACTORES!$C$6+SUMIFS(N$23:N$85,$B$23:$B$85,"Pavimento")*FACTORES!$C$3</f>
        <v>7285.2975555555568</v>
      </c>
      <c r="O14" s="790">
        <f>SUMIFS(O$23:O$85,$B$23:$B$85,"Terraplen")*FACTORES!$C$10+SUMIFS(O$23:O$85,$B$23:$B$85,"Coronas")*FACTORES!$C$10+SUMIFS(O$23:O$85,$B$23:$B$85,"Subbase/Base")*FACTORES!$C$6+SUMIFS(O$23:O$85,$B$23:$B$85,"Pavimento")*FACTORES!$C$3</f>
        <v>0</v>
      </c>
      <c r="P14" s="792">
        <f>SUMIFS(P$23:P$85,$B$23:$B$85,"Terraplen")*FACTORES!$C$10+SUMIFS(P$23:P$85,$B$23:$B$85,"Coronas")*FACTORES!$C$10+SUMIFS(P$23:P$85,$B$23:$B$85,"Subbase/Base")*FACTORES!$C$6+SUMIFS(P$23:P$85,$B$23:$B$85,"Pavimento")*FACTORES!$C$3</f>
        <v>0</v>
      </c>
      <c r="Q14" s="790">
        <f>SUMIFS(Q$23:Q$85,$B$23:$B$85,"Terraplen")*FACTORES!$C$10+SUMIFS(Q$23:Q$85,$B$23:$B$85,"Coronas")*FACTORES!$C$10+SUMIFS(Q$23:Q$85,$B$23:$B$85,"Subbase/Base")*FACTORES!$C$6+SUMIFS(Q$23:Q$85,$B$23:$B$85,"Pavimento")*FACTORES!$C$3</f>
        <v>0</v>
      </c>
      <c r="R14" s="790">
        <f>SUMIFS(R$23:R$85,$B$23:$B$85,"Terraplen")*FACTORES!$C$10+SUMIFS(R$23:R$85,$B$23:$B$85,"Coronas")*FACTORES!$C$10+SUMIFS(R$23:R$85,$B$23:$B$85,"Subbase/Base")*FACTORES!$C$6+SUMIFS(R$23:R$85,$B$23:$B$85,"Pavimento")*FACTORES!$C$3</f>
        <v>17475.637300000002</v>
      </c>
      <c r="S14" s="790">
        <f>SUMIFS(S$23:S$81,$B$23:$B$81,"Terraplen")*FACTORES!$C$10+SUMIFS(S$23:S$81,$B$23:$B$81,"Corona Inf")*FACTORES!$C$10+SUMIFS(S$23:S$81,$B$23:$B$81,"Corona Sup")*FACTORES!$C$10+SUMIFS(S$23:S$81,$B$23:$B$81,"Subbase")*FACTORES!$C$6+SUMIFS(S$23:S$81,$B$23:$B$81,"Base")*FACTORES!$C$6+SUMIFS(S$23:S$81,$B$23:$B$81,"Pavimento")*FACTORES!$C$3</f>
        <v>0</v>
      </c>
      <c r="T14" s="790">
        <f>SUMIFS(T$23:T$81,$B$23:$B$81,"Terraplen")*FACTORES!$C$10+SUMIFS(T$23:T$81,$B$23:$B$81,"Corona Inf")*FACTORES!$C$10+SUMIFS(T$23:T$81,$B$23:$B$81,"Corona Sup")*FACTORES!$C$10+SUMIFS(T$23:T$81,$B$23:$B$81,"Subbase")*FACTORES!$C$6+SUMIFS(T$23:T$81,$B$23:$B$81,"Base")*FACTORES!$C$6+SUMIFS(T$23:T$81,$B$23:$B$81,"Pavimento")*FACTORES!$C$3</f>
        <v>0</v>
      </c>
      <c r="U14" s="792">
        <f>SUMIFS(U$23:U$81,$B$23:$B$81,"Terraplen")*FACTORES!$C$10+SUMIFS(U$23:U$81,$B$23:$B$81,"Corona Inf")*FACTORES!$C$10+SUMIFS(U$23:U$81,$B$23:$B$81,"Corona Sup")*FACTORES!$C$10+SUMIFS(U$23:U$81,$B$23:$B$81,"Subbase")*FACTORES!$C$6+SUMIFS(U$23:U$81,$B$23:$B$81,"Base")*FACTORES!$C$6+SUMIFS(U$23:U$81,$B$23:$B$81,"Pavimento")*FACTORES!$C$3</f>
        <v>0</v>
      </c>
      <c r="V14" s="793"/>
      <c r="W14" s="793"/>
      <c r="X14" s="793"/>
      <c r="Y14" s="797"/>
    </row>
    <row r="15" spans="1:102">
      <c r="A15" s="799" t="s">
        <v>1247</v>
      </c>
      <c r="B15" s="800"/>
      <c r="C15" s="801" t="s">
        <v>1248</v>
      </c>
      <c r="D15" s="802"/>
      <c r="E15" s="803"/>
      <c r="F15" s="803"/>
      <c r="G15" s="803"/>
      <c r="H15" s="803"/>
      <c r="I15" s="803"/>
      <c r="J15" s="803"/>
      <c r="K15" s="803"/>
      <c r="L15" s="803"/>
      <c r="M15" s="803"/>
      <c r="N15" s="803"/>
      <c r="O15" s="803"/>
      <c r="P15" s="803"/>
      <c r="Q15" s="803"/>
      <c r="R15" s="803"/>
      <c r="S15" s="803"/>
      <c r="T15" s="803"/>
      <c r="U15" s="803"/>
      <c r="V15" s="804"/>
      <c r="W15" s="804"/>
      <c r="X15" s="804"/>
      <c r="Y15" s="805"/>
      <c r="Z15" s="806"/>
      <c r="AA15" s="806"/>
      <c r="AB15" s="806"/>
      <c r="AC15" s="806"/>
      <c r="AD15" s="806"/>
      <c r="AE15" s="806"/>
      <c r="AF15" s="806"/>
      <c r="AG15" s="806"/>
      <c r="AH15" s="806"/>
      <c r="AI15" s="806"/>
      <c r="AJ15" s="806"/>
      <c r="AK15" s="806"/>
      <c r="AL15" s="806"/>
      <c r="AM15" s="806"/>
      <c r="AN15" s="806"/>
      <c r="AO15" s="806"/>
      <c r="AP15" s="806"/>
      <c r="AQ15" s="806"/>
      <c r="AR15" s="806"/>
      <c r="AS15" s="806"/>
      <c r="AT15" s="806"/>
      <c r="AU15" s="806"/>
      <c r="AV15" s="806"/>
      <c r="AW15" s="806"/>
      <c r="AX15" s="806"/>
      <c r="AY15" s="806"/>
      <c r="AZ15" s="806"/>
      <c r="BA15" s="806"/>
      <c r="BB15" s="806"/>
      <c r="BC15" s="806"/>
      <c r="BD15" s="806"/>
      <c r="BE15" s="806"/>
      <c r="BF15" s="806"/>
      <c r="BG15" s="806"/>
      <c r="BH15" s="806"/>
      <c r="BI15" s="806"/>
      <c r="BJ15" s="806"/>
      <c r="BK15" s="806"/>
      <c r="BL15" s="806"/>
      <c r="BM15" s="806"/>
      <c r="BN15" s="806"/>
      <c r="BO15" s="806"/>
      <c r="BP15" s="806"/>
      <c r="BQ15" s="806"/>
      <c r="BR15" s="806"/>
      <c r="BS15" s="806"/>
      <c r="BT15" s="806"/>
      <c r="BU15" s="806"/>
      <c r="BV15" s="806"/>
      <c r="BW15" s="806"/>
      <c r="BX15" s="806"/>
      <c r="BY15" s="806"/>
      <c r="BZ15" s="806"/>
      <c r="CA15" s="806"/>
      <c r="CB15" s="806"/>
      <c r="CC15" s="806"/>
      <c r="CD15" s="806"/>
      <c r="CE15" s="806"/>
      <c r="CF15" s="806"/>
      <c r="CG15" s="806"/>
      <c r="CH15" s="806"/>
      <c r="CI15" s="806"/>
      <c r="CJ15" s="806"/>
      <c r="CK15" s="806"/>
      <c r="CL15" s="806"/>
      <c r="CM15" s="806"/>
      <c r="CN15" s="806"/>
      <c r="CO15" s="806"/>
      <c r="CP15" s="806"/>
      <c r="CQ15" s="806"/>
      <c r="CR15" s="806"/>
      <c r="CS15" s="806"/>
      <c r="CT15" s="806"/>
      <c r="CU15" s="806"/>
      <c r="CV15" s="806"/>
      <c r="CW15" s="806"/>
      <c r="CX15" s="806"/>
    </row>
    <row r="16" spans="1:102">
      <c r="A16" s="808" t="s">
        <v>1227</v>
      </c>
      <c r="B16" s="809"/>
      <c r="C16" s="810">
        <v>4510</v>
      </c>
      <c r="D16" s="811"/>
      <c r="E16" s="812"/>
      <c r="F16" s="812"/>
      <c r="G16" s="812"/>
      <c r="H16" s="812"/>
      <c r="I16" s="812"/>
      <c r="J16" s="812"/>
      <c r="K16" s="812"/>
      <c r="L16" s="812"/>
      <c r="M16" s="812"/>
      <c r="N16" s="812"/>
      <c r="O16" s="812"/>
      <c r="P16" s="812"/>
      <c r="Q16" s="812"/>
      <c r="R16" s="812"/>
      <c r="S16" s="812"/>
      <c r="T16" s="812"/>
      <c r="U16" s="812"/>
      <c r="V16" s="813"/>
      <c r="W16" s="813"/>
      <c r="X16" s="813"/>
      <c r="Y16" s="805"/>
      <c r="Z16" s="806"/>
      <c r="AA16" s="806"/>
      <c r="AB16" s="806"/>
      <c r="AC16" s="806"/>
      <c r="AD16" s="806"/>
      <c r="AE16" s="806"/>
      <c r="AF16" s="806"/>
      <c r="AG16" s="806"/>
      <c r="AH16" s="806"/>
      <c r="AI16" s="806"/>
      <c r="AJ16" s="806"/>
      <c r="AK16" s="806"/>
      <c r="AL16" s="806"/>
      <c r="AM16" s="806"/>
      <c r="AN16" s="806"/>
      <c r="AO16" s="806"/>
      <c r="AP16" s="806"/>
      <c r="AQ16" s="806"/>
      <c r="AR16" s="806"/>
      <c r="AS16" s="806"/>
      <c r="AT16" s="806"/>
      <c r="AU16" s="806"/>
      <c r="AV16" s="806"/>
      <c r="AW16" s="806"/>
      <c r="AX16" s="806"/>
      <c r="AY16" s="806"/>
      <c r="AZ16" s="806"/>
      <c r="BA16" s="806"/>
      <c r="BB16" s="806"/>
      <c r="BC16" s="806"/>
      <c r="BD16" s="806"/>
      <c r="BE16" s="806"/>
      <c r="BF16" s="806"/>
      <c r="BG16" s="806"/>
      <c r="BH16" s="806"/>
      <c r="BI16" s="806"/>
      <c r="BJ16" s="806"/>
      <c r="BK16" s="806"/>
      <c r="BL16" s="806"/>
      <c r="BM16" s="806"/>
      <c r="BN16" s="806"/>
      <c r="BO16" s="806"/>
      <c r="BP16" s="806"/>
      <c r="BQ16" s="806"/>
      <c r="BR16" s="806"/>
      <c r="BS16" s="806"/>
      <c r="BT16" s="806"/>
      <c r="BU16" s="806"/>
      <c r="BV16" s="806"/>
      <c r="BW16" s="806"/>
      <c r="BX16" s="806"/>
      <c r="BY16" s="806"/>
      <c r="BZ16" s="806"/>
      <c r="CA16" s="806"/>
      <c r="CB16" s="806"/>
      <c r="CC16" s="806"/>
      <c r="CD16" s="806"/>
      <c r="CE16" s="806"/>
      <c r="CF16" s="806"/>
      <c r="CG16" s="806"/>
      <c r="CH16" s="806"/>
      <c r="CI16" s="806"/>
      <c r="CJ16" s="806"/>
      <c r="CK16" s="806"/>
      <c r="CL16" s="806"/>
      <c r="CM16" s="806"/>
      <c r="CN16" s="806"/>
      <c r="CO16" s="806"/>
      <c r="CP16" s="806"/>
      <c r="CQ16" s="806"/>
      <c r="CR16" s="806"/>
      <c r="CS16" s="806"/>
      <c r="CT16" s="806"/>
      <c r="CU16" s="806"/>
      <c r="CV16" s="806"/>
      <c r="CW16" s="806"/>
      <c r="CX16" s="806"/>
    </row>
    <row r="17" spans="1:102">
      <c r="A17" s="1740" t="s">
        <v>1249</v>
      </c>
      <c r="B17" s="814" t="s">
        <v>1250</v>
      </c>
      <c r="C17" s="815">
        <v>87545</v>
      </c>
      <c r="D17" s="816"/>
      <c r="E17" s="817"/>
      <c r="F17" s="817"/>
      <c r="G17" s="817"/>
      <c r="H17" s="817"/>
      <c r="I17" s="817"/>
      <c r="J17" s="817"/>
      <c r="K17" s="817"/>
      <c r="L17" s="817"/>
      <c r="M17" s="817"/>
      <c r="N17" s="817"/>
      <c r="O17" s="817"/>
      <c r="P17" s="817"/>
      <c r="Q17" s="817"/>
      <c r="R17" s="817"/>
      <c r="S17" s="817"/>
      <c r="T17" s="817"/>
      <c r="U17" s="817"/>
      <c r="V17" s="818"/>
      <c r="W17" s="818"/>
      <c r="X17" s="818"/>
      <c r="Y17" s="805"/>
      <c r="Z17" s="806"/>
      <c r="AA17" s="806"/>
      <c r="AB17" s="806"/>
      <c r="AC17" s="806"/>
      <c r="AD17" s="806"/>
      <c r="AE17" s="806"/>
      <c r="AF17" s="806"/>
      <c r="AG17" s="806"/>
      <c r="AH17" s="806"/>
      <c r="AI17" s="806"/>
      <c r="AJ17" s="806"/>
      <c r="AK17" s="806"/>
      <c r="AL17" s="806"/>
      <c r="AM17" s="806"/>
      <c r="AN17" s="806"/>
      <c r="AO17" s="806"/>
      <c r="AP17" s="806"/>
      <c r="AQ17" s="806"/>
      <c r="AR17" s="806"/>
      <c r="AS17" s="806"/>
      <c r="AT17" s="806"/>
      <c r="AU17" s="806"/>
      <c r="AV17" s="806"/>
      <c r="AW17" s="806"/>
      <c r="AX17" s="806"/>
      <c r="AY17" s="806"/>
      <c r="AZ17" s="806"/>
      <c r="BA17" s="806"/>
      <c r="BB17" s="806"/>
      <c r="BC17" s="806"/>
      <c r="BD17" s="806"/>
      <c r="BE17" s="806"/>
      <c r="BF17" s="806"/>
      <c r="BG17" s="806"/>
      <c r="BH17" s="806"/>
      <c r="BI17" s="806"/>
      <c r="BJ17" s="806"/>
      <c r="BK17" s="806"/>
      <c r="BL17" s="806"/>
      <c r="BM17" s="806"/>
      <c r="BN17" s="806"/>
      <c r="BO17" s="806"/>
      <c r="BP17" s="806"/>
      <c r="BQ17" s="806"/>
      <c r="BR17" s="806"/>
      <c r="BS17" s="806"/>
      <c r="BT17" s="806"/>
      <c r="BU17" s="806"/>
      <c r="BV17" s="806"/>
      <c r="BW17" s="806"/>
      <c r="BX17" s="806"/>
      <c r="BY17" s="806"/>
      <c r="BZ17" s="806"/>
      <c r="CA17" s="806"/>
      <c r="CB17" s="806"/>
      <c r="CC17" s="806"/>
      <c r="CD17" s="806"/>
      <c r="CE17" s="806"/>
      <c r="CF17" s="806"/>
      <c r="CG17" s="806"/>
      <c r="CH17" s="806"/>
      <c r="CI17" s="806"/>
      <c r="CJ17" s="806"/>
      <c r="CK17" s="806"/>
      <c r="CL17" s="806"/>
      <c r="CM17" s="806"/>
      <c r="CN17" s="806"/>
      <c r="CO17" s="806"/>
      <c r="CP17" s="806"/>
      <c r="CQ17" s="806"/>
      <c r="CR17" s="806"/>
      <c r="CS17" s="806"/>
      <c r="CT17" s="806"/>
      <c r="CU17" s="806"/>
      <c r="CV17" s="806"/>
      <c r="CW17" s="806"/>
      <c r="CX17" s="806"/>
    </row>
    <row r="18" spans="1:102">
      <c r="A18" s="1740"/>
      <c r="B18" s="814" t="s">
        <v>1251</v>
      </c>
      <c r="C18" s="815">
        <v>91430</v>
      </c>
      <c r="D18" s="816"/>
      <c r="E18" s="817"/>
      <c r="F18" s="817"/>
      <c r="G18" s="817"/>
      <c r="H18" s="817"/>
      <c r="I18" s="817"/>
      <c r="J18" s="817"/>
      <c r="K18" s="817"/>
      <c r="L18" s="817"/>
      <c r="M18" s="817"/>
      <c r="N18" s="817"/>
      <c r="O18" s="817"/>
      <c r="P18" s="817"/>
      <c r="Q18" s="817"/>
      <c r="R18" s="817"/>
      <c r="S18" s="817"/>
      <c r="T18" s="817"/>
      <c r="U18" s="817"/>
      <c r="V18" s="818"/>
      <c r="W18" s="818"/>
      <c r="X18" s="818"/>
      <c r="Y18" s="817"/>
    </row>
    <row r="19" spans="1:102">
      <c r="A19" s="819" t="s">
        <v>1252</v>
      </c>
      <c r="B19" s="820"/>
      <c r="C19" s="815">
        <f>+(C18-C17)/2+C17</f>
        <v>89487.5</v>
      </c>
      <c r="D19" s="816"/>
      <c r="E19" s="817"/>
      <c r="F19" s="817"/>
      <c r="G19" s="817"/>
      <c r="H19" s="817"/>
      <c r="I19" s="817"/>
      <c r="J19" s="817"/>
      <c r="K19" s="817"/>
      <c r="L19" s="817"/>
      <c r="M19" s="817"/>
      <c r="N19" s="817"/>
      <c r="O19" s="817"/>
      <c r="P19" s="817"/>
      <c r="Q19" s="817"/>
      <c r="R19" s="817"/>
      <c r="S19" s="817"/>
      <c r="T19" s="817"/>
      <c r="U19" s="817"/>
      <c r="V19" s="818"/>
      <c r="W19" s="818"/>
      <c r="X19" s="818"/>
      <c r="Y19" s="817"/>
    </row>
    <row r="20" spans="1:102">
      <c r="A20" s="819" t="s">
        <v>1253</v>
      </c>
      <c r="B20" s="820"/>
      <c r="C20" s="821"/>
      <c r="D20" s="822">
        <f>IF(D22&gt;D21,(D22-D21)+D$2+D$3,(D21-D22)+D$2+D$4)/1000</f>
        <v>5.7874999999999996</v>
      </c>
      <c r="E20" s="823">
        <f t="shared" ref="E20:X20" si="1">IF(E22&gt;E21,(E22-E21)+E$2+E$3,(E21-E22)+E$2+E$4)/1000</f>
        <v>1.4075</v>
      </c>
      <c r="F20" s="823">
        <f t="shared" si="1"/>
        <v>0.42249999999999999</v>
      </c>
      <c r="G20" s="823">
        <f t="shared" si="1"/>
        <v>8.9423999999999992</v>
      </c>
      <c r="H20" s="823">
        <f t="shared" si="1"/>
        <v>8.9434000000000005</v>
      </c>
      <c r="I20" s="823">
        <f t="shared" si="1"/>
        <v>24.122499999999999</v>
      </c>
      <c r="J20" s="823">
        <f t="shared" si="1"/>
        <v>27.012499999999999</v>
      </c>
      <c r="K20" s="823">
        <f t="shared" si="1"/>
        <v>19.422499999999999</v>
      </c>
      <c r="L20" s="823">
        <f t="shared" si="1"/>
        <v>46.490499999999997</v>
      </c>
      <c r="M20" s="823">
        <f t="shared" si="1"/>
        <v>65.34141000000001</v>
      </c>
      <c r="N20" s="823">
        <f t="shared" si="1"/>
        <v>67.059336000000002</v>
      </c>
      <c r="O20" s="823">
        <f t="shared" si="1"/>
        <v>77.340500000000006</v>
      </c>
      <c r="P20" s="823">
        <f t="shared" si="1"/>
        <v>81.140500000000003</v>
      </c>
      <c r="Q20" s="823">
        <f t="shared" si="1"/>
        <v>84.144190000000009</v>
      </c>
      <c r="R20" s="823">
        <f t="shared" si="1"/>
        <v>87.840500000000006</v>
      </c>
      <c r="S20" s="823">
        <f t="shared" si="1"/>
        <v>93.840500000000006</v>
      </c>
      <c r="T20" s="823">
        <f t="shared" si="1"/>
        <v>94.840500000000006</v>
      </c>
      <c r="U20" s="823">
        <f t="shared" si="1"/>
        <v>99.840500000000006</v>
      </c>
      <c r="V20" s="824">
        <f t="shared" si="1"/>
        <v>46.490499999999997</v>
      </c>
      <c r="W20" s="824">
        <f t="shared" si="1"/>
        <v>87.840500000000006</v>
      </c>
      <c r="X20" s="824">
        <f t="shared" si="1"/>
        <v>8.9124999999999996</v>
      </c>
      <c r="Y20" s="817"/>
    </row>
    <row r="21" spans="1:102" hidden="1">
      <c r="A21" s="825" t="s">
        <v>1254</v>
      </c>
      <c r="B21" s="826"/>
      <c r="C21" s="827"/>
      <c r="D21" s="746">
        <f>+IF($C16=4510,IF(D$6=4510,$C19,$C19),IF(D$6=4511,$C19+134328,134328+$C19))</f>
        <v>89487.5</v>
      </c>
      <c r="E21" s="746">
        <f t="shared" ref="E21:X21" si="2">+IF($C16=4510,IF(E$6=4510,$C19,$C19),IF(E$6=4511,$C19+134328,134328+$C19))</f>
        <v>89487.5</v>
      </c>
      <c r="F21" s="746">
        <f t="shared" si="2"/>
        <v>89487.5</v>
      </c>
      <c r="G21" s="746">
        <f t="shared" si="2"/>
        <v>89487.5</v>
      </c>
      <c r="H21" s="746">
        <f t="shared" si="2"/>
        <v>89487.5</v>
      </c>
      <c r="I21" s="746">
        <f t="shared" si="2"/>
        <v>89487.5</v>
      </c>
      <c r="J21" s="746">
        <f t="shared" si="2"/>
        <v>89487.5</v>
      </c>
      <c r="K21" s="746">
        <f t="shared" si="2"/>
        <v>89487.5</v>
      </c>
      <c r="L21" s="746">
        <f t="shared" si="2"/>
        <v>89487.5</v>
      </c>
      <c r="M21" s="746">
        <f t="shared" si="2"/>
        <v>89487.5</v>
      </c>
      <c r="N21" s="746">
        <f t="shared" si="2"/>
        <v>89487.5</v>
      </c>
      <c r="O21" s="746">
        <f t="shared" si="2"/>
        <v>89487.5</v>
      </c>
      <c r="P21" s="746">
        <f t="shared" si="2"/>
        <v>89487.5</v>
      </c>
      <c r="Q21" s="746">
        <f t="shared" si="2"/>
        <v>89487.5</v>
      </c>
      <c r="R21" s="746">
        <f t="shared" si="2"/>
        <v>89487.5</v>
      </c>
      <c r="S21" s="746">
        <f t="shared" si="2"/>
        <v>89487.5</v>
      </c>
      <c r="T21" s="746">
        <f t="shared" si="2"/>
        <v>89487.5</v>
      </c>
      <c r="U21" s="746">
        <f t="shared" si="2"/>
        <v>89487.5</v>
      </c>
      <c r="V21" s="828">
        <f t="shared" si="2"/>
        <v>89487.5</v>
      </c>
      <c r="W21" s="828">
        <f t="shared" si="2"/>
        <v>89487.5</v>
      </c>
      <c r="X21" s="828">
        <f t="shared" si="2"/>
        <v>89487.5</v>
      </c>
      <c r="Y21" s="817"/>
    </row>
    <row r="22" spans="1:102" hidden="1">
      <c r="A22" s="825" t="s">
        <v>1255</v>
      </c>
      <c r="B22" s="826"/>
      <c r="C22" s="827"/>
      <c r="D22" s="746">
        <f>+IF($C16=4510,IF(D$6=4510,D$5,D$5+134328),IF(D$6=4511,D$5+134328,D$5))</f>
        <v>83700</v>
      </c>
      <c r="E22" s="746">
        <f t="shared" ref="E22:X22" si="3">+IF($C16=4510,IF(E$6=4510,E$5,E$5+134328),IF(E$6=4511,E$5+134328,E$5))</f>
        <v>88080</v>
      </c>
      <c r="F22" s="746">
        <f t="shared" si="3"/>
        <v>89910</v>
      </c>
      <c r="G22" s="746">
        <f t="shared" si="3"/>
        <v>98400</v>
      </c>
      <c r="H22" s="746">
        <f t="shared" si="3"/>
        <v>98400</v>
      </c>
      <c r="I22" s="746">
        <f t="shared" si="3"/>
        <v>113610</v>
      </c>
      <c r="J22" s="746">
        <f t="shared" si="3"/>
        <v>116500</v>
      </c>
      <c r="K22" s="746">
        <f t="shared" si="3"/>
        <v>108910</v>
      </c>
      <c r="L22" s="746">
        <f t="shared" si="3"/>
        <v>135978</v>
      </c>
      <c r="M22" s="746">
        <f t="shared" si="3"/>
        <v>154828</v>
      </c>
      <c r="N22" s="746">
        <f t="shared" si="3"/>
        <v>156528</v>
      </c>
      <c r="O22" s="746">
        <f t="shared" si="3"/>
        <v>166828</v>
      </c>
      <c r="P22" s="746">
        <f t="shared" si="3"/>
        <v>170628</v>
      </c>
      <c r="Q22" s="746">
        <f t="shared" si="3"/>
        <v>173628</v>
      </c>
      <c r="R22" s="746">
        <f t="shared" si="3"/>
        <v>177328</v>
      </c>
      <c r="S22" s="746">
        <f t="shared" si="3"/>
        <v>183328</v>
      </c>
      <c r="T22" s="746">
        <f t="shared" si="3"/>
        <v>184328</v>
      </c>
      <c r="U22" s="746">
        <f t="shared" si="3"/>
        <v>189328</v>
      </c>
      <c r="V22" s="828">
        <f t="shared" si="3"/>
        <v>135978</v>
      </c>
      <c r="W22" s="828">
        <f t="shared" si="3"/>
        <v>177328</v>
      </c>
      <c r="X22" s="828">
        <f t="shared" si="3"/>
        <v>98400</v>
      </c>
      <c r="Y22" s="817"/>
    </row>
    <row r="23" spans="1:102" ht="15" customHeight="1">
      <c r="A23" s="1743" t="s">
        <v>1256</v>
      </c>
      <c r="B23" s="814" t="s">
        <v>1257</v>
      </c>
      <c r="C23" s="829">
        <v>0</v>
      </c>
      <c r="D23" s="782"/>
      <c r="E23" s="783"/>
      <c r="F23" s="783"/>
      <c r="G23" s="783"/>
      <c r="H23" s="783"/>
      <c r="I23" s="783"/>
      <c r="J23" s="783"/>
      <c r="K23" s="783"/>
      <c r="L23" s="783"/>
      <c r="M23" s="783"/>
      <c r="N23" s="783"/>
      <c r="O23" s="783"/>
      <c r="P23" s="783"/>
      <c r="Q23" s="783"/>
      <c r="R23" s="783"/>
      <c r="S23" s="783"/>
      <c r="T23" s="783"/>
      <c r="U23" s="783"/>
      <c r="V23" s="830"/>
      <c r="W23" s="830"/>
      <c r="X23" s="830"/>
      <c r="Y23" s="831">
        <f>+SUMPRODUCT(D23:X23,D20:X20)</f>
        <v>0</v>
      </c>
      <c r="Z23" s="782">
        <f>$C23*FACTORES!$D$11*FACTORES!$D$25</f>
        <v>0</v>
      </c>
    </row>
    <row r="24" spans="1:102">
      <c r="A24" s="1744"/>
      <c r="B24" s="814" t="s">
        <v>1258</v>
      </c>
      <c r="C24" s="829">
        <v>0</v>
      </c>
      <c r="D24" s="782"/>
      <c r="E24" s="783"/>
      <c r="F24" s="783"/>
      <c r="G24" s="783"/>
      <c r="H24" s="783"/>
      <c r="I24" s="783"/>
      <c r="J24" s="783"/>
      <c r="K24" s="783"/>
      <c r="L24" s="783"/>
      <c r="M24" s="783"/>
      <c r="N24" s="783"/>
      <c r="O24" s="783"/>
      <c r="P24" s="783"/>
      <c r="Q24" s="783"/>
      <c r="R24" s="783"/>
      <c r="S24" s="783"/>
      <c r="T24" s="783"/>
      <c r="U24" s="783"/>
      <c r="V24" s="830"/>
      <c r="W24" s="830"/>
      <c r="X24" s="830"/>
      <c r="Y24" s="831">
        <f>+SUMPRODUCT(D24:X24,D20:X20)</f>
        <v>0</v>
      </c>
      <c r="Z24" s="782">
        <f>$C24*FACTORES!$D$11*FACTORES!$D$25</f>
        <v>0</v>
      </c>
    </row>
    <row r="25" spans="1:102">
      <c r="A25" s="1744"/>
      <c r="B25" s="814" t="s">
        <v>1259</v>
      </c>
      <c r="C25" s="829">
        <f>+'CANTIDADES TOTALIZADAS'!I72</f>
        <v>1134.931182</v>
      </c>
      <c r="D25" s="782"/>
      <c r="E25" s="783"/>
      <c r="F25" s="783"/>
      <c r="G25" s="783"/>
      <c r="H25" s="783"/>
      <c r="I25" s="783"/>
      <c r="J25" s="783"/>
      <c r="K25" s="783"/>
      <c r="L25" s="783"/>
      <c r="M25" s="783"/>
      <c r="N25" s="783"/>
      <c r="O25" s="783"/>
      <c r="P25" s="783"/>
      <c r="Q25" s="783"/>
      <c r="R25" s="783"/>
      <c r="S25" s="783"/>
      <c r="T25" s="783"/>
      <c r="U25" s="783"/>
      <c r="V25" s="830"/>
      <c r="W25" s="830"/>
      <c r="X25" s="830">
        <f>+$C25*FACTORES!$D$23*FACTORES!$D$28</f>
        <v>1331.274276486</v>
      </c>
      <c r="Y25" s="831">
        <f>+SUMPRODUCT(D25:X25,D20:X20)</f>
        <v>11864.981989181475</v>
      </c>
      <c r="Z25" s="782">
        <f>+$C25*FACTORES!$D$23*FACTORES!$D$28</f>
        <v>1331.274276486</v>
      </c>
    </row>
    <row r="26" spans="1:102">
      <c r="A26" s="1744"/>
      <c r="B26" s="814" t="s">
        <v>1260</v>
      </c>
      <c r="C26" s="829">
        <f>+'CANTIDADES TOTALIZADAS'!I85</f>
        <v>260</v>
      </c>
      <c r="D26" s="782"/>
      <c r="E26" s="783"/>
      <c r="F26" s="783"/>
      <c r="G26" s="783"/>
      <c r="H26" s="783"/>
      <c r="I26" s="783"/>
      <c r="J26" s="783"/>
      <c r="K26" s="783"/>
      <c r="L26" s="783"/>
      <c r="M26" s="783"/>
      <c r="N26" s="783"/>
      <c r="O26" s="783"/>
      <c r="P26" s="783"/>
      <c r="Q26" s="783"/>
      <c r="R26" s="783"/>
      <c r="S26" s="783"/>
      <c r="T26" s="783"/>
      <c r="U26" s="783"/>
      <c r="V26" s="830"/>
      <c r="W26" s="830"/>
      <c r="X26" s="830">
        <f>+$C26*FACTORES!$D$7*FACTORES!$D$26</f>
        <v>317.44186046511635</v>
      </c>
      <c r="Y26" s="831">
        <f>+SUMPRODUCT(D26:X26,D20:X20)</f>
        <v>2829.2005813953492</v>
      </c>
      <c r="Z26" s="782">
        <f>+$C26*FACTORES!$D$7*FACTORES!$D$26</f>
        <v>317.44186046511635</v>
      </c>
    </row>
    <row r="27" spans="1:102">
      <c r="A27" s="1744"/>
      <c r="B27" s="814" t="s">
        <v>1261</v>
      </c>
      <c r="C27" s="829">
        <f>+'CANTIDADES TOTALIZADAS'!I93</f>
        <v>1653.0100000000002</v>
      </c>
      <c r="D27" s="782"/>
      <c r="E27" s="783"/>
      <c r="F27" s="783"/>
      <c r="G27" s="783"/>
      <c r="H27" s="783"/>
      <c r="I27" s="783"/>
      <c r="J27" s="783"/>
      <c r="K27" s="783"/>
      <c r="L27" s="783"/>
      <c r="M27" s="783"/>
      <c r="N27" s="783"/>
      <c r="O27" s="783"/>
      <c r="P27" s="783"/>
      <c r="Q27" s="783"/>
      <c r="R27" s="783"/>
      <c r="S27" s="783"/>
      <c r="T27" s="783"/>
      <c r="U27" s="783"/>
      <c r="V27" s="830"/>
      <c r="W27" s="830"/>
      <c r="X27" s="830">
        <f>+$C27*FACTORES!$D$3*FACTORES!$D$27</f>
        <v>2023.2842400000002</v>
      </c>
      <c r="Y27" s="831">
        <f>+SUMPRODUCT(D27:X27,D20:X20)</f>
        <v>18032.520789000002</v>
      </c>
      <c r="Z27" s="789">
        <f>+$C27*FACTORES!$D$3*FACTORES!$D$27</f>
        <v>2023.2842400000002</v>
      </c>
    </row>
    <row r="28" spans="1:102" s="835" customFormat="1">
      <c r="A28" s="1745"/>
      <c r="B28" s="832" t="s">
        <v>1262</v>
      </c>
      <c r="C28" s="833">
        <f>+'CANTIDADES TOTALIZADAS'!I99</f>
        <v>147.69</v>
      </c>
      <c r="D28" s="834"/>
      <c r="E28" s="792"/>
      <c r="F28" s="792"/>
      <c r="G28" s="792"/>
      <c r="H28" s="792"/>
      <c r="I28" s="792"/>
      <c r="J28" s="792"/>
      <c r="K28" s="792"/>
      <c r="L28" s="792"/>
      <c r="M28" s="792"/>
      <c r="N28" s="792"/>
      <c r="O28" s="792"/>
      <c r="P28" s="792"/>
      <c r="Q28" s="792"/>
      <c r="R28" s="792"/>
      <c r="S28" s="792"/>
      <c r="T28" s="792"/>
      <c r="U28" s="792"/>
      <c r="V28" s="793"/>
      <c r="W28" s="793"/>
      <c r="X28" s="793">
        <f>+$C28*FACTORES!$D$21</f>
        <v>174.27419999999998</v>
      </c>
      <c r="Y28" s="791">
        <f>+SUMPRODUCT(D28:X28,D20:X20)</f>
        <v>1553.2188074999997</v>
      </c>
      <c r="Z28" s="834">
        <f>+$C28*FACTORES!$D$3</f>
        <v>177.22799999999998</v>
      </c>
    </row>
    <row r="29" spans="1:102">
      <c r="A29" s="836" t="s">
        <v>1247</v>
      </c>
      <c r="B29" s="837"/>
      <c r="C29" s="838" t="s">
        <v>1263</v>
      </c>
      <c r="D29" s="811"/>
      <c r="E29" s="812"/>
      <c r="F29" s="812"/>
      <c r="G29" s="812"/>
      <c r="H29" s="812"/>
      <c r="I29" s="812"/>
      <c r="J29" s="812"/>
      <c r="K29" s="812"/>
      <c r="L29" s="812"/>
      <c r="M29" s="812"/>
      <c r="N29" s="812"/>
      <c r="O29" s="812"/>
      <c r="P29" s="812"/>
      <c r="Q29" s="812"/>
      <c r="R29" s="812"/>
      <c r="S29" s="812"/>
      <c r="T29" s="812"/>
      <c r="U29" s="812"/>
      <c r="V29" s="813"/>
      <c r="W29" s="813"/>
      <c r="X29" s="813"/>
      <c r="Y29" s="839"/>
      <c r="Z29" s="806"/>
      <c r="AA29" s="806"/>
      <c r="AB29" s="806"/>
      <c r="AC29" s="806"/>
      <c r="AD29" s="806"/>
      <c r="AE29" s="806"/>
      <c r="AF29" s="806"/>
      <c r="AG29" s="806"/>
      <c r="AH29" s="806"/>
      <c r="AI29" s="806"/>
      <c r="AJ29" s="806"/>
      <c r="AK29" s="806"/>
      <c r="AL29" s="806"/>
      <c r="AM29" s="806"/>
      <c r="AN29" s="806"/>
      <c r="AO29" s="806"/>
      <c r="AP29" s="806"/>
      <c r="AQ29" s="806"/>
      <c r="AR29" s="806"/>
      <c r="AS29" s="806"/>
      <c r="AT29" s="806"/>
      <c r="AU29" s="806"/>
      <c r="AV29" s="806"/>
      <c r="AW29" s="806"/>
      <c r="AX29" s="806"/>
      <c r="AY29" s="806"/>
      <c r="AZ29" s="806"/>
      <c r="BA29" s="806"/>
      <c r="BB29" s="806"/>
      <c r="BC29" s="806"/>
      <c r="BD29" s="806"/>
      <c r="BE29" s="806"/>
      <c r="BF29" s="806"/>
      <c r="BG29" s="806"/>
      <c r="BH29" s="806"/>
      <c r="BI29" s="806"/>
      <c r="BJ29" s="806"/>
      <c r="BK29" s="806"/>
      <c r="BL29" s="806"/>
      <c r="BM29" s="806"/>
      <c r="BN29" s="806"/>
      <c r="BO29" s="806"/>
      <c r="BP29" s="806"/>
      <c r="BQ29" s="806"/>
      <c r="BR29" s="806"/>
      <c r="BS29" s="806"/>
      <c r="BT29" s="806"/>
      <c r="BU29" s="806"/>
      <c r="BV29" s="806"/>
      <c r="BW29" s="806"/>
      <c r="BX29" s="806"/>
      <c r="BY29" s="806"/>
      <c r="BZ29" s="806"/>
      <c r="CA29" s="806"/>
      <c r="CB29" s="806"/>
      <c r="CC29" s="806"/>
      <c r="CD29" s="806"/>
      <c r="CE29" s="806"/>
      <c r="CF29" s="806"/>
      <c r="CG29" s="806"/>
      <c r="CH29" s="806"/>
      <c r="CI29" s="806"/>
      <c r="CJ29" s="806"/>
      <c r="CK29" s="806"/>
      <c r="CL29" s="806"/>
      <c r="CM29" s="806"/>
      <c r="CN29" s="806"/>
      <c r="CO29" s="806"/>
      <c r="CP29" s="806"/>
      <c r="CQ29" s="806"/>
      <c r="CR29" s="806"/>
      <c r="CS29" s="806"/>
      <c r="CT29" s="806"/>
      <c r="CU29" s="806"/>
      <c r="CV29" s="806"/>
      <c r="CW29" s="806"/>
      <c r="CX29" s="806"/>
    </row>
    <row r="30" spans="1:102">
      <c r="A30" s="808" t="s">
        <v>1227</v>
      </c>
      <c r="B30" s="809"/>
      <c r="C30" s="810">
        <v>4510</v>
      </c>
      <c r="D30" s="811"/>
      <c r="E30" s="812"/>
      <c r="F30" s="812"/>
      <c r="G30" s="812"/>
      <c r="H30" s="812"/>
      <c r="I30" s="812"/>
      <c r="J30" s="812"/>
      <c r="K30" s="812"/>
      <c r="L30" s="812"/>
      <c r="M30" s="812"/>
      <c r="N30" s="812"/>
      <c r="O30" s="812"/>
      <c r="P30" s="812"/>
      <c r="Q30" s="812"/>
      <c r="R30" s="812"/>
      <c r="S30" s="812"/>
      <c r="T30" s="812"/>
      <c r="U30" s="812"/>
      <c r="V30" s="813"/>
      <c r="W30" s="813"/>
      <c r="X30" s="813"/>
      <c r="Y30" s="805"/>
      <c r="Z30" s="806"/>
      <c r="AA30" s="806"/>
      <c r="AB30" s="806"/>
      <c r="AC30" s="806"/>
      <c r="AD30" s="806"/>
      <c r="AE30" s="806"/>
      <c r="AF30" s="806"/>
      <c r="AG30" s="806"/>
      <c r="AH30" s="806"/>
      <c r="AI30" s="806"/>
      <c r="AJ30" s="806"/>
      <c r="AK30" s="806"/>
      <c r="AL30" s="806"/>
      <c r="AM30" s="806"/>
      <c r="AN30" s="806"/>
      <c r="AO30" s="806"/>
      <c r="AP30" s="806"/>
      <c r="AQ30" s="806"/>
      <c r="AR30" s="806"/>
      <c r="AS30" s="806"/>
      <c r="AT30" s="806"/>
      <c r="AU30" s="806"/>
      <c r="AV30" s="806"/>
      <c r="AW30" s="806"/>
      <c r="AX30" s="806"/>
      <c r="AY30" s="806"/>
      <c r="AZ30" s="806"/>
      <c r="BA30" s="806"/>
      <c r="BB30" s="806"/>
      <c r="BC30" s="806"/>
      <c r="BD30" s="806"/>
      <c r="BE30" s="806"/>
      <c r="BF30" s="806"/>
      <c r="BG30" s="806"/>
      <c r="BH30" s="806"/>
      <c r="BI30" s="806"/>
      <c r="BJ30" s="806"/>
      <c r="BK30" s="806"/>
      <c r="BL30" s="806"/>
      <c r="BM30" s="806"/>
      <c r="BN30" s="806"/>
      <c r="BO30" s="806"/>
      <c r="BP30" s="806"/>
      <c r="BQ30" s="806"/>
      <c r="BR30" s="806"/>
      <c r="BS30" s="806"/>
      <c r="BT30" s="806"/>
      <c r="BU30" s="806"/>
      <c r="BV30" s="806"/>
      <c r="BW30" s="806"/>
      <c r="BX30" s="806"/>
      <c r="BY30" s="806"/>
      <c r="BZ30" s="806"/>
      <c r="CA30" s="806"/>
      <c r="CB30" s="806"/>
      <c r="CC30" s="806"/>
      <c r="CD30" s="806"/>
      <c r="CE30" s="806"/>
      <c r="CF30" s="806"/>
      <c r="CG30" s="806"/>
      <c r="CH30" s="806"/>
      <c r="CI30" s="806"/>
      <c r="CJ30" s="806"/>
      <c r="CK30" s="806"/>
      <c r="CL30" s="806"/>
      <c r="CM30" s="806"/>
      <c r="CN30" s="806"/>
      <c r="CO30" s="806"/>
      <c r="CP30" s="806"/>
      <c r="CQ30" s="806"/>
      <c r="CR30" s="806"/>
      <c r="CS30" s="806"/>
      <c r="CT30" s="806"/>
      <c r="CU30" s="806"/>
      <c r="CV30" s="806"/>
      <c r="CW30" s="806"/>
      <c r="CX30" s="806"/>
    </row>
    <row r="31" spans="1:102">
      <c r="A31" s="1740" t="s">
        <v>1249</v>
      </c>
      <c r="B31" s="814" t="s">
        <v>1250</v>
      </c>
      <c r="C31" s="815">
        <v>114328</v>
      </c>
      <c r="D31" s="816"/>
      <c r="E31" s="817"/>
      <c r="F31" s="817"/>
      <c r="G31" s="817"/>
      <c r="H31" s="817"/>
      <c r="I31" s="817"/>
      <c r="J31" s="817"/>
      <c r="K31" s="817"/>
      <c r="L31" s="817"/>
      <c r="M31" s="817"/>
      <c r="N31" s="817"/>
      <c r="O31" s="817"/>
      <c r="P31" s="817"/>
      <c r="Q31" s="817"/>
      <c r="R31" s="817"/>
      <c r="S31" s="817"/>
      <c r="T31" s="817"/>
      <c r="U31" s="817"/>
      <c r="V31" s="818"/>
      <c r="W31" s="818"/>
      <c r="X31" s="818"/>
      <c r="Y31" s="805"/>
      <c r="Z31" s="806"/>
      <c r="AA31" s="806"/>
      <c r="AB31" s="806"/>
      <c r="AC31" s="806"/>
      <c r="AD31" s="806"/>
      <c r="AE31" s="806"/>
      <c r="AF31" s="806"/>
      <c r="AG31" s="806"/>
      <c r="AH31" s="806"/>
      <c r="AI31" s="806"/>
      <c r="AJ31" s="806"/>
      <c r="AK31" s="806"/>
      <c r="AL31" s="806"/>
      <c r="AM31" s="806"/>
      <c r="AN31" s="806"/>
      <c r="AO31" s="806"/>
      <c r="AP31" s="806"/>
      <c r="AQ31" s="806"/>
      <c r="AR31" s="806"/>
      <c r="AS31" s="806"/>
      <c r="AT31" s="806"/>
      <c r="AU31" s="806"/>
      <c r="AV31" s="806"/>
      <c r="AW31" s="806"/>
      <c r="AX31" s="806"/>
      <c r="AY31" s="806"/>
      <c r="AZ31" s="806"/>
      <c r="BA31" s="806"/>
      <c r="BB31" s="806"/>
      <c r="BC31" s="806"/>
      <c r="BD31" s="806"/>
      <c r="BE31" s="806"/>
      <c r="BF31" s="806"/>
      <c r="BG31" s="806"/>
      <c r="BH31" s="806"/>
      <c r="BI31" s="806"/>
      <c r="BJ31" s="806"/>
      <c r="BK31" s="806"/>
      <c r="BL31" s="806"/>
      <c r="BM31" s="806"/>
      <c r="BN31" s="806"/>
      <c r="BO31" s="806"/>
      <c r="BP31" s="806"/>
      <c r="BQ31" s="806"/>
      <c r="BR31" s="806"/>
      <c r="BS31" s="806"/>
      <c r="BT31" s="806"/>
      <c r="BU31" s="806"/>
      <c r="BV31" s="806"/>
      <c r="BW31" s="806"/>
      <c r="BX31" s="806"/>
      <c r="BY31" s="806"/>
      <c r="BZ31" s="806"/>
      <c r="CA31" s="806"/>
      <c r="CB31" s="806"/>
      <c r="CC31" s="806"/>
      <c r="CD31" s="806"/>
      <c r="CE31" s="806"/>
      <c r="CF31" s="806"/>
      <c r="CG31" s="806"/>
      <c r="CH31" s="806"/>
      <c r="CI31" s="806"/>
      <c r="CJ31" s="806"/>
      <c r="CK31" s="806"/>
      <c r="CL31" s="806"/>
      <c r="CM31" s="806"/>
      <c r="CN31" s="806"/>
      <c r="CO31" s="806"/>
      <c r="CP31" s="806"/>
      <c r="CQ31" s="806"/>
      <c r="CR31" s="806"/>
      <c r="CS31" s="806"/>
      <c r="CT31" s="806"/>
      <c r="CU31" s="806"/>
      <c r="CV31" s="806"/>
      <c r="CW31" s="806"/>
      <c r="CX31" s="806"/>
    </row>
    <row r="32" spans="1:102">
      <c r="A32" s="1740"/>
      <c r="B32" s="814" t="s">
        <v>1251</v>
      </c>
      <c r="C32" s="815">
        <v>124328</v>
      </c>
      <c r="D32" s="816"/>
      <c r="E32" s="817"/>
      <c r="F32" s="817"/>
      <c r="G32" s="817"/>
      <c r="H32" s="817"/>
      <c r="I32" s="817"/>
      <c r="J32" s="817"/>
      <c r="K32" s="817"/>
      <c r="L32" s="817"/>
      <c r="M32" s="817"/>
      <c r="N32" s="817"/>
      <c r="O32" s="817"/>
      <c r="P32" s="817"/>
      <c r="Q32" s="817"/>
      <c r="R32" s="817"/>
      <c r="S32" s="817"/>
      <c r="T32" s="817"/>
      <c r="U32" s="817"/>
      <c r="V32" s="818"/>
      <c r="W32" s="818"/>
      <c r="X32" s="818"/>
      <c r="Y32" s="817"/>
    </row>
    <row r="33" spans="1:102">
      <c r="A33" s="819" t="s">
        <v>1252</v>
      </c>
      <c r="B33" s="820"/>
      <c r="C33" s="815">
        <f>+(C32-C31)/2+C31</f>
        <v>119328</v>
      </c>
      <c r="D33" s="816"/>
      <c r="E33" s="817"/>
      <c r="F33" s="817"/>
      <c r="G33" s="817"/>
      <c r="H33" s="817"/>
      <c r="I33" s="817"/>
      <c r="J33" s="817"/>
      <c r="K33" s="817"/>
      <c r="L33" s="817"/>
      <c r="M33" s="817"/>
      <c r="N33" s="817"/>
      <c r="O33" s="817"/>
      <c r="P33" s="817"/>
      <c r="Q33" s="817"/>
      <c r="R33" s="817"/>
      <c r="S33" s="817"/>
      <c r="T33" s="817"/>
      <c r="U33" s="817"/>
      <c r="V33" s="818"/>
      <c r="W33" s="818"/>
      <c r="X33" s="818"/>
      <c r="Y33" s="817"/>
    </row>
    <row r="34" spans="1:102">
      <c r="A34" s="819" t="s">
        <v>1253</v>
      </c>
      <c r="B34" s="820"/>
      <c r="C34" s="821"/>
      <c r="D34" s="822">
        <f>IF(D36&gt;D35,(D36-D35)+D$2+D$3,(D35-D36)+D$2+D$4)/1000</f>
        <v>35.628</v>
      </c>
      <c r="E34" s="823">
        <f t="shared" ref="E34:X34" si="4">IF(E36&gt;E35,(E36-E35)+E$2+E$3,(E35-E36)+E$2+E$4)/1000</f>
        <v>31.248000000000001</v>
      </c>
      <c r="F34" s="823">
        <f t="shared" si="4"/>
        <v>29.417999999999999</v>
      </c>
      <c r="G34" s="823">
        <f t="shared" si="4"/>
        <v>20.93</v>
      </c>
      <c r="H34" s="823">
        <f t="shared" si="4"/>
        <v>20.931000000000001</v>
      </c>
      <c r="I34" s="823">
        <f t="shared" si="4"/>
        <v>5.7258360000000001</v>
      </c>
      <c r="J34" s="823">
        <f t="shared" si="4"/>
        <v>2.8279999999999998</v>
      </c>
      <c r="K34" s="823">
        <f t="shared" si="4"/>
        <v>10.417999999999999</v>
      </c>
      <c r="L34" s="823">
        <f t="shared" si="4"/>
        <v>16.649999999999999</v>
      </c>
      <c r="M34" s="823">
        <f t="shared" si="4"/>
        <v>35.500910000000005</v>
      </c>
      <c r="N34" s="823">
        <f t="shared" si="4"/>
        <v>37.218836000000003</v>
      </c>
      <c r="O34" s="823">
        <f t="shared" si="4"/>
        <v>47.5</v>
      </c>
      <c r="P34" s="823">
        <f t="shared" si="4"/>
        <v>51.3</v>
      </c>
      <c r="Q34" s="823">
        <f t="shared" si="4"/>
        <v>54.303690000000003</v>
      </c>
      <c r="R34" s="823">
        <f t="shared" si="4"/>
        <v>58</v>
      </c>
      <c r="S34" s="823">
        <f t="shared" si="4"/>
        <v>64</v>
      </c>
      <c r="T34" s="823">
        <f t="shared" si="4"/>
        <v>65</v>
      </c>
      <c r="U34" s="823">
        <f t="shared" si="4"/>
        <v>70</v>
      </c>
      <c r="V34" s="824">
        <f t="shared" si="4"/>
        <v>16.649999999999999</v>
      </c>
      <c r="W34" s="824">
        <f t="shared" si="4"/>
        <v>58</v>
      </c>
      <c r="X34" s="824">
        <f t="shared" si="4"/>
        <v>20.928000000000001</v>
      </c>
      <c r="Y34" s="817"/>
    </row>
    <row r="35" spans="1:102" hidden="1">
      <c r="A35" s="825" t="s">
        <v>1254</v>
      </c>
      <c r="B35" s="826"/>
      <c r="C35" s="827"/>
      <c r="D35" s="746">
        <f>+IF($C30=4510,IF(D$6=4510,$C33,$C33),IF(D$6=4511,$C33+134328,134328+$C33))</f>
        <v>119328</v>
      </c>
      <c r="E35" s="746">
        <f t="shared" ref="E35:X35" si="5">+IF($C30=4510,IF(E$6=4510,$C33,$C33),IF(E$6=4511,$C33+134328,134328+$C33))</f>
        <v>119328</v>
      </c>
      <c r="F35" s="746">
        <f t="shared" si="5"/>
        <v>119328</v>
      </c>
      <c r="G35" s="746">
        <f t="shared" si="5"/>
        <v>119328</v>
      </c>
      <c r="H35" s="746">
        <f t="shared" si="5"/>
        <v>119328</v>
      </c>
      <c r="I35" s="746">
        <f t="shared" si="5"/>
        <v>119328</v>
      </c>
      <c r="J35" s="746">
        <f t="shared" si="5"/>
        <v>119328</v>
      </c>
      <c r="K35" s="746">
        <f t="shared" si="5"/>
        <v>119328</v>
      </c>
      <c r="L35" s="746">
        <f t="shared" si="5"/>
        <v>119328</v>
      </c>
      <c r="M35" s="746">
        <f t="shared" si="5"/>
        <v>119328</v>
      </c>
      <c r="N35" s="746">
        <f t="shared" si="5"/>
        <v>119328</v>
      </c>
      <c r="O35" s="746">
        <f t="shared" si="5"/>
        <v>119328</v>
      </c>
      <c r="P35" s="746">
        <f t="shared" si="5"/>
        <v>119328</v>
      </c>
      <c r="Q35" s="746">
        <f t="shared" si="5"/>
        <v>119328</v>
      </c>
      <c r="R35" s="746">
        <f t="shared" si="5"/>
        <v>119328</v>
      </c>
      <c r="S35" s="746">
        <f t="shared" si="5"/>
        <v>119328</v>
      </c>
      <c r="T35" s="746">
        <f t="shared" si="5"/>
        <v>119328</v>
      </c>
      <c r="U35" s="746">
        <f t="shared" si="5"/>
        <v>119328</v>
      </c>
      <c r="V35" s="828">
        <f t="shared" si="5"/>
        <v>119328</v>
      </c>
      <c r="W35" s="828">
        <f t="shared" si="5"/>
        <v>119328</v>
      </c>
      <c r="X35" s="828">
        <f t="shared" si="5"/>
        <v>119328</v>
      </c>
      <c r="Y35" s="817"/>
    </row>
    <row r="36" spans="1:102" hidden="1">
      <c r="A36" s="825" t="s">
        <v>1255</v>
      </c>
      <c r="B36" s="826"/>
      <c r="C36" s="827"/>
      <c r="D36" s="746">
        <f>+IF($C30=4510,IF(D$6=4510,D$5,D$5+134328),IF(D$6=4511,D$5+134328,D$5))</f>
        <v>83700</v>
      </c>
      <c r="E36" s="746">
        <f t="shared" ref="E36:X36" si="6">+IF($C30=4510,IF(E$6=4510,E$5,E$5+134328),IF(E$6=4511,E$5+134328,E$5))</f>
        <v>88080</v>
      </c>
      <c r="F36" s="746">
        <f t="shared" si="6"/>
        <v>89910</v>
      </c>
      <c r="G36" s="746">
        <f t="shared" si="6"/>
        <v>98400</v>
      </c>
      <c r="H36" s="746">
        <f t="shared" si="6"/>
        <v>98400</v>
      </c>
      <c r="I36" s="746">
        <f t="shared" si="6"/>
        <v>113610</v>
      </c>
      <c r="J36" s="746">
        <f t="shared" si="6"/>
        <v>116500</v>
      </c>
      <c r="K36" s="746">
        <f t="shared" si="6"/>
        <v>108910</v>
      </c>
      <c r="L36" s="746">
        <f t="shared" si="6"/>
        <v>135978</v>
      </c>
      <c r="M36" s="746">
        <f t="shared" si="6"/>
        <v>154828</v>
      </c>
      <c r="N36" s="746">
        <f t="shared" si="6"/>
        <v>156528</v>
      </c>
      <c r="O36" s="746">
        <f t="shared" si="6"/>
        <v>166828</v>
      </c>
      <c r="P36" s="746">
        <f t="shared" si="6"/>
        <v>170628</v>
      </c>
      <c r="Q36" s="746">
        <f t="shared" si="6"/>
        <v>173628</v>
      </c>
      <c r="R36" s="746">
        <f t="shared" si="6"/>
        <v>177328</v>
      </c>
      <c r="S36" s="746">
        <f t="shared" si="6"/>
        <v>183328</v>
      </c>
      <c r="T36" s="746">
        <f t="shared" si="6"/>
        <v>184328</v>
      </c>
      <c r="U36" s="746">
        <f t="shared" si="6"/>
        <v>189328</v>
      </c>
      <c r="V36" s="828">
        <f t="shared" si="6"/>
        <v>135978</v>
      </c>
      <c r="W36" s="828">
        <f t="shared" si="6"/>
        <v>177328</v>
      </c>
      <c r="X36" s="828">
        <f t="shared" si="6"/>
        <v>98400</v>
      </c>
      <c r="Y36" s="817"/>
    </row>
    <row r="37" spans="1:102" ht="15" customHeight="1">
      <c r="A37" s="1741" t="s">
        <v>1264</v>
      </c>
      <c r="B37" s="814" t="s">
        <v>1257</v>
      </c>
      <c r="C37" s="829">
        <f>+'CANTIDADES TOTALIZADAS'!N25</f>
        <v>12118.36175</v>
      </c>
      <c r="D37" s="782"/>
      <c r="E37" s="783"/>
      <c r="F37" s="783"/>
      <c r="G37" s="783"/>
      <c r="H37" s="783"/>
      <c r="I37" s="783">
        <f>$C37*FACTORES!$D$11*FACTORES!$D$25</f>
        <v>18514.163784722223</v>
      </c>
      <c r="J37" s="783"/>
      <c r="K37" s="783"/>
      <c r="L37" s="783"/>
      <c r="M37" s="783"/>
      <c r="N37" s="783"/>
      <c r="O37" s="783"/>
      <c r="P37" s="783"/>
      <c r="Q37" s="783"/>
      <c r="R37" s="783"/>
      <c r="S37" s="783"/>
      <c r="T37" s="783"/>
      <c r="U37" s="783"/>
      <c r="V37" s="830"/>
      <c r="W37" s="830"/>
      <c r="X37" s="830"/>
      <c r="Y37" s="831">
        <f>+SUMPRODUCT(D37:X37,D34:X34)</f>
        <v>106009.06550845875</v>
      </c>
      <c r="Z37" s="782">
        <f>$C37*FACTORES!$D$11*FACTORES!$D$25</f>
        <v>18514.163784722223</v>
      </c>
    </row>
    <row r="38" spans="1:102">
      <c r="A38" s="1741"/>
      <c r="B38" s="814" t="s">
        <v>1258</v>
      </c>
      <c r="C38" s="829">
        <f>+'CANTIDADES TOTALIZADAS'!N26</f>
        <v>808.74720000000002</v>
      </c>
      <c r="D38" s="782"/>
      <c r="E38" s="783"/>
      <c r="F38" s="783"/>
      <c r="G38" s="783"/>
      <c r="H38" s="783"/>
      <c r="I38" s="783">
        <f>$C38*FACTORES!$D$11*FACTORES!$D$25</f>
        <v>1235.586</v>
      </c>
      <c r="J38" s="783"/>
      <c r="K38" s="783"/>
      <c r="L38" s="783"/>
      <c r="M38" s="783"/>
      <c r="N38" s="783"/>
      <c r="O38" s="783"/>
      <c r="P38" s="783"/>
      <c r="Q38" s="783"/>
      <c r="R38" s="783"/>
      <c r="S38" s="783"/>
      <c r="T38" s="783"/>
      <c r="U38" s="783"/>
      <c r="V38" s="830"/>
      <c r="W38" s="830"/>
      <c r="X38" s="830"/>
      <c r="Y38" s="831">
        <f>+SUMPRODUCT(D38:X38,D34:X34)</f>
        <v>7074.7627998960006</v>
      </c>
      <c r="Z38" s="782">
        <f>$C38*FACTORES!$D$11*FACTORES!$D$25</f>
        <v>1235.586</v>
      </c>
    </row>
    <row r="39" spans="1:102">
      <c r="A39" s="1741"/>
      <c r="B39" s="814" t="s">
        <v>1259</v>
      </c>
      <c r="C39" s="829">
        <f>+'CANTIDADES TOTALIZADAS'!N72</f>
        <v>3958.5785488596457</v>
      </c>
      <c r="D39" s="782"/>
      <c r="E39" s="783"/>
      <c r="F39" s="783"/>
      <c r="G39" s="783"/>
      <c r="H39" s="783"/>
      <c r="I39" s="783"/>
      <c r="J39" s="783"/>
      <c r="K39" s="783"/>
      <c r="L39" s="783"/>
      <c r="M39" s="783"/>
      <c r="N39" s="783"/>
      <c r="O39" s="783"/>
      <c r="P39" s="783"/>
      <c r="Q39" s="783"/>
      <c r="R39" s="783"/>
      <c r="S39" s="783"/>
      <c r="T39" s="783"/>
      <c r="U39" s="783"/>
      <c r="V39" s="830"/>
      <c r="W39" s="830"/>
      <c r="X39" s="830">
        <f>+$C39*FACTORES!$D$23*FACTORES!$D$28</f>
        <v>4643.4126378123638</v>
      </c>
      <c r="Y39" s="831">
        <f>+SUMPRODUCT(D39:X39,D34:X34)</f>
        <v>97177.339684137158</v>
      </c>
      <c r="Z39" s="782">
        <f>+$C39*FACTORES!$D$23*FACTORES!$D$28</f>
        <v>4643.4126378123638</v>
      </c>
    </row>
    <row r="40" spans="1:102">
      <c r="A40" s="1741"/>
      <c r="B40" s="814" t="s">
        <v>1260</v>
      </c>
      <c r="C40" s="829">
        <f>+'CANTIDADES TOTALIZADAS'!N85</f>
        <v>4358.4788000000008</v>
      </c>
      <c r="D40" s="782"/>
      <c r="E40" s="783"/>
      <c r="F40" s="783"/>
      <c r="G40" s="783"/>
      <c r="H40" s="783"/>
      <c r="I40" s="783"/>
      <c r="J40" s="783"/>
      <c r="K40" s="783"/>
      <c r="L40" s="783"/>
      <c r="M40" s="783"/>
      <c r="N40" s="783"/>
      <c r="O40" s="783"/>
      <c r="P40" s="783"/>
      <c r="Q40" s="783"/>
      <c r="R40" s="783"/>
      <c r="S40" s="783"/>
      <c r="T40" s="783"/>
      <c r="U40" s="783"/>
      <c r="V40" s="830"/>
      <c r="W40" s="830"/>
      <c r="X40" s="830">
        <f>+$C40*FACTORES!$D$7*FACTORES!$D$26</f>
        <v>5321.3985348837223</v>
      </c>
      <c r="Y40" s="831">
        <f>+SUMPRODUCT(D40:X40,D34:X34)</f>
        <v>111366.22853804655</v>
      </c>
      <c r="Z40" s="782">
        <f>+$C40*FACTORES!$D$7*FACTORES!$D$26</f>
        <v>5321.3985348837223</v>
      </c>
    </row>
    <row r="41" spans="1:102">
      <c r="A41" s="1741"/>
      <c r="B41" s="814" t="s">
        <v>1261</v>
      </c>
      <c r="C41" s="829">
        <f>+'CANTIDADES TOTALIZADAS'!N93</f>
        <v>4127.7669500000011</v>
      </c>
      <c r="D41" s="782"/>
      <c r="E41" s="783"/>
      <c r="F41" s="783"/>
      <c r="G41" s="783"/>
      <c r="H41" s="783"/>
      <c r="I41" s="783"/>
      <c r="J41" s="783"/>
      <c r="K41" s="783"/>
      <c r="L41" s="783"/>
      <c r="M41" s="783"/>
      <c r="N41" s="783"/>
      <c r="O41" s="783"/>
      <c r="P41" s="783"/>
      <c r="Q41" s="783"/>
      <c r="R41" s="783"/>
      <c r="S41" s="783"/>
      <c r="T41" s="783"/>
      <c r="U41" s="783"/>
      <c r="V41" s="830"/>
      <c r="W41" s="830"/>
      <c r="X41" s="830">
        <f>+$C41*FACTORES!$D$3*FACTORES!$D$27</f>
        <v>5052.3867468000017</v>
      </c>
      <c r="Y41" s="831">
        <f>+SUMPRODUCT(D41:X41,D34:X34)</f>
        <v>105736.34983703044</v>
      </c>
      <c r="Z41" s="789">
        <f>+$C41*FACTORES!$D$3*FACTORES!$D$27</f>
        <v>5052.3867468000017</v>
      </c>
    </row>
    <row r="42" spans="1:102" s="835" customFormat="1">
      <c r="A42" s="1742"/>
      <c r="B42" s="832" t="s">
        <v>1262</v>
      </c>
      <c r="C42" s="833">
        <f>+'CANTIDADES TOTALIZADAS'!N96*0.05</f>
        <v>853.99946428571445</v>
      </c>
      <c r="D42" s="834"/>
      <c r="E42" s="792"/>
      <c r="F42" s="792"/>
      <c r="G42" s="792"/>
      <c r="H42" s="792"/>
      <c r="I42" s="792"/>
      <c r="J42" s="792"/>
      <c r="K42" s="792"/>
      <c r="L42" s="792"/>
      <c r="M42" s="792"/>
      <c r="N42" s="792"/>
      <c r="O42" s="792"/>
      <c r="P42" s="792"/>
      <c r="Q42" s="792"/>
      <c r="R42" s="792"/>
      <c r="S42" s="792"/>
      <c r="T42" s="792"/>
      <c r="U42" s="792"/>
      <c r="V42" s="793"/>
      <c r="W42" s="793"/>
      <c r="X42" s="793">
        <f>+$C42*FACTORES!$D$3</f>
        <v>1024.7993571428574</v>
      </c>
      <c r="Y42" s="791">
        <f>+SUMPRODUCT(D42:X42,D34:X34)</f>
        <v>21447.00094628572</v>
      </c>
      <c r="Z42" s="834">
        <f>+$C42*FACTORES!$D$3</f>
        <v>1024.7993571428574</v>
      </c>
    </row>
    <row r="43" spans="1:102">
      <c r="A43" s="799" t="s">
        <v>1247</v>
      </c>
      <c r="B43" s="800"/>
      <c r="C43" s="801" t="s">
        <v>1265</v>
      </c>
      <c r="D43" s="802"/>
      <c r="E43" s="803"/>
      <c r="F43" s="803"/>
      <c r="G43" s="803"/>
      <c r="H43" s="803"/>
      <c r="I43" s="803"/>
      <c r="J43" s="803"/>
      <c r="K43" s="803"/>
      <c r="L43" s="803"/>
      <c r="M43" s="803"/>
      <c r="N43" s="803"/>
      <c r="O43" s="803"/>
      <c r="P43" s="803"/>
      <c r="Q43" s="803"/>
      <c r="R43" s="803"/>
      <c r="S43" s="803"/>
      <c r="T43" s="803"/>
      <c r="U43" s="803"/>
      <c r="V43" s="804"/>
      <c r="W43" s="804"/>
      <c r="X43" s="804"/>
      <c r="Y43" s="805"/>
      <c r="Z43" s="806"/>
      <c r="AA43" s="806"/>
      <c r="AB43" s="806"/>
      <c r="AC43" s="806"/>
      <c r="AD43" s="806"/>
      <c r="AE43" s="806"/>
      <c r="AF43" s="806"/>
      <c r="AG43" s="806"/>
      <c r="AH43" s="806"/>
      <c r="AI43" s="806"/>
      <c r="AJ43" s="806"/>
      <c r="AK43" s="806"/>
      <c r="AL43" s="806"/>
      <c r="AM43" s="806"/>
      <c r="AN43" s="806"/>
      <c r="AO43" s="806"/>
      <c r="AP43" s="806"/>
      <c r="AQ43" s="806"/>
      <c r="AR43" s="806"/>
      <c r="AS43" s="806"/>
      <c r="AT43" s="806"/>
      <c r="AU43" s="806"/>
      <c r="AV43" s="806"/>
      <c r="AW43" s="806"/>
      <c r="AX43" s="806"/>
      <c r="AY43" s="806"/>
      <c r="AZ43" s="806"/>
      <c r="BA43" s="806"/>
      <c r="BB43" s="806"/>
      <c r="BC43" s="806"/>
      <c r="BD43" s="806"/>
      <c r="BE43" s="806"/>
      <c r="BF43" s="806"/>
      <c r="BG43" s="806"/>
      <c r="BH43" s="806"/>
      <c r="BI43" s="806"/>
      <c r="BJ43" s="806"/>
      <c r="BK43" s="806"/>
      <c r="BL43" s="806"/>
      <c r="BM43" s="806"/>
      <c r="BN43" s="806"/>
      <c r="BO43" s="806"/>
      <c r="BP43" s="806"/>
      <c r="BQ43" s="806"/>
      <c r="BR43" s="806"/>
      <c r="BS43" s="806"/>
      <c r="BT43" s="806"/>
      <c r="BU43" s="806"/>
      <c r="BV43" s="806"/>
      <c r="BW43" s="806"/>
      <c r="BX43" s="806"/>
      <c r="BY43" s="806"/>
      <c r="BZ43" s="806"/>
      <c r="CA43" s="806"/>
      <c r="CB43" s="806"/>
      <c r="CC43" s="806"/>
      <c r="CD43" s="806"/>
      <c r="CE43" s="806"/>
      <c r="CF43" s="806"/>
      <c r="CG43" s="806"/>
      <c r="CH43" s="806"/>
      <c r="CI43" s="806"/>
      <c r="CJ43" s="806"/>
      <c r="CK43" s="806"/>
      <c r="CL43" s="806"/>
      <c r="CM43" s="806"/>
      <c r="CN43" s="806"/>
      <c r="CO43" s="806"/>
      <c r="CP43" s="806"/>
      <c r="CQ43" s="806"/>
      <c r="CR43" s="806"/>
      <c r="CS43" s="806"/>
      <c r="CT43" s="806"/>
      <c r="CU43" s="806"/>
      <c r="CV43" s="806"/>
      <c r="CW43" s="806"/>
      <c r="CX43" s="806"/>
    </row>
    <row r="44" spans="1:102">
      <c r="A44" s="808" t="s">
        <v>1227</v>
      </c>
      <c r="B44" s="809"/>
      <c r="C44" s="810">
        <v>4510</v>
      </c>
      <c r="D44" s="811"/>
      <c r="E44" s="812"/>
      <c r="F44" s="812"/>
      <c r="G44" s="812"/>
      <c r="H44" s="812"/>
      <c r="I44" s="812"/>
      <c r="J44" s="812"/>
      <c r="K44" s="812"/>
      <c r="L44" s="812"/>
      <c r="M44" s="812"/>
      <c r="N44" s="812"/>
      <c r="O44" s="812"/>
      <c r="P44" s="812"/>
      <c r="Q44" s="812"/>
      <c r="R44" s="812"/>
      <c r="S44" s="812"/>
      <c r="T44" s="812"/>
      <c r="U44" s="812"/>
      <c r="V44" s="813"/>
      <c r="W44" s="813"/>
      <c r="X44" s="813"/>
      <c r="Y44" s="805"/>
      <c r="Z44" s="806"/>
      <c r="AA44" s="806"/>
      <c r="AB44" s="806"/>
      <c r="AC44" s="806"/>
      <c r="AD44" s="806"/>
      <c r="AE44" s="806"/>
      <c r="AF44" s="806"/>
      <c r="AG44" s="806"/>
      <c r="AH44" s="806"/>
      <c r="AI44" s="806"/>
      <c r="AJ44" s="806"/>
      <c r="AK44" s="806"/>
      <c r="AL44" s="806"/>
      <c r="AM44" s="806"/>
      <c r="AN44" s="806"/>
      <c r="AO44" s="806"/>
      <c r="AP44" s="806"/>
      <c r="AQ44" s="806"/>
      <c r="AR44" s="806"/>
      <c r="AS44" s="806"/>
      <c r="AT44" s="806"/>
      <c r="AU44" s="806"/>
      <c r="AV44" s="806"/>
      <c r="AW44" s="806"/>
      <c r="AX44" s="806"/>
      <c r="AY44" s="806"/>
      <c r="AZ44" s="806"/>
      <c r="BA44" s="806"/>
      <c r="BB44" s="806"/>
      <c r="BC44" s="806"/>
      <c r="BD44" s="806"/>
      <c r="BE44" s="806"/>
      <c r="BF44" s="806"/>
      <c r="BG44" s="806"/>
      <c r="BH44" s="806"/>
      <c r="BI44" s="806"/>
      <c r="BJ44" s="806"/>
      <c r="BK44" s="806"/>
      <c r="BL44" s="806"/>
      <c r="BM44" s="806"/>
      <c r="BN44" s="806"/>
      <c r="BO44" s="806"/>
      <c r="BP44" s="806"/>
      <c r="BQ44" s="806"/>
      <c r="BR44" s="806"/>
      <c r="BS44" s="806"/>
      <c r="BT44" s="806"/>
      <c r="BU44" s="806"/>
      <c r="BV44" s="806"/>
      <c r="BW44" s="806"/>
      <c r="BX44" s="806"/>
      <c r="BY44" s="806"/>
      <c r="BZ44" s="806"/>
      <c r="CA44" s="806"/>
      <c r="CB44" s="806"/>
      <c r="CC44" s="806"/>
      <c r="CD44" s="806"/>
      <c r="CE44" s="806"/>
      <c r="CF44" s="806"/>
      <c r="CG44" s="806"/>
      <c r="CH44" s="806"/>
      <c r="CI44" s="806"/>
      <c r="CJ44" s="806"/>
      <c r="CK44" s="806"/>
      <c r="CL44" s="806"/>
      <c r="CM44" s="806"/>
      <c r="CN44" s="806"/>
      <c r="CO44" s="806"/>
      <c r="CP44" s="806"/>
      <c r="CQ44" s="806"/>
      <c r="CR44" s="806"/>
      <c r="CS44" s="806"/>
      <c r="CT44" s="806"/>
      <c r="CU44" s="806"/>
      <c r="CV44" s="806"/>
      <c r="CW44" s="806"/>
      <c r="CX44" s="806"/>
    </row>
    <row r="45" spans="1:102">
      <c r="A45" s="1740" t="s">
        <v>1249</v>
      </c>
      <c r="B45" s="814" t="s">
        <v>1250</v>
      </c>
      <c r="C45" s="815">
        <v>124328</v>
      </c>
      <c r="D45" s="816"/>
      <c r="E45" s="817"/>
      <c r="F45" s="817"/>
      <c r="G45" s="817"/>
      <c r="H45" s="817"/>
      <c r="I45" s="817"/>
      <c r="J45" s="817"/>
      <c r="K45" s="817"/>
      <c r="L45" s="817"/>
      <c r="M45" s="817"/>
      <c r="N45" s="817"/>
      <c r="O45" s="817"/>
      <c r="P45" s="817"/>
      <c r="Q45" s="817"/>
      <c r="R45" s="817"/>
      <c r="S45" s="817"/>
      <c r="T45" s="817"/>
      <c r="U45" s="817"/>
      <c r="V45" s="818"/>
      <c r="W45" s="818"/>
      <c r="X45" s="818"/>
      <c r="Y45" s="805"/>
      <c r="Z45" s="806"/>
      <c r="AA45" s="806"/>
      <c r="AB45" s="806"/>
      <c r="AC45" s="806"/>
      <c r="AD45" s="806"/>
      <c r="AE45" s="806"/>
      <c r="AF45" s="806"/>
      <c r="AG45" s="806"/>
      <c r="AH45" s="806"/>
      <c r="AI45" s="806"/>
      <c r="AJ45" s="806"/>
      <c r="AK45" s="806"/>
      <c r="AL45" s="806"/>
      <c r="AM45" s="806"/>
      <c r="AN45" s="806"/>
      <c r="AO45" s="806"/>
      <c r="AP45" s="806"/>
      <c r="AQ45" s="806"/>
      <c r="AR45" s="806"/>
      <c r="AS45" s="806"/>
      <c r="AT45" s="806"/>
      <c r="AU45" s="806"/>
      <c r="AV45" s="806"/>
      <c r="AW45" s="806"/>
      <c r="AX45" s="806"/>
      <c r="AY45" s="806"/>
      <c r="AZ45" s="806"/>
      <c r="BA45" s="806"/>
      <c r="BB45" s="806"/>
      <c r="BC45" s="806"/>
      <c r="BD45" s="806"/>
      <c r="BE45" s="806"/>
      <c r="BF45" s="806"/>
      <c r="BG45" s="806"/>
      <c r="BH45" s="806"/>
      <c r="BI45" s="806"/>
      <c r="BJ45" s="806"/>
      <c r="BK45" s="806"/>
      <c r="BL45" s="806"/>
      <c r="BM45" s="806"/>
      <c r="BN45" s="806"/>
      <c r="BO45" s="806"/>
      <c r="BP45" s="806"/>
      <c r="BQ45" s="806"/>
      <c r="BR45" s="806"/>
      <c r="BS45" s="806"/>
      <c r="BT45" s="806"/>
      <c r="BU45" s="806"/>
      <c r="BV45" s="806"/>
      <c r="BW45" s="806"/>
      <c r="BX45" s="806"/>
      <c r="BY45" s="806"/>
      <c r="BZ45" s="806"/>
      <c r="CA45" s="806"/>
      <c r="CB45" s="806"/>
      <c r="CC45" s="806"/>
      <c r="CD45" s="806"/>
      <c r="CE45" s="806"/>
      <c r="CF45" s="806"/>
      <c r="CG45" s="806"/>
      <c r="CH45" s="806"/>
      <c r="CI45" s="806"/>
      <c r="CJ45" s="806"/>
      <c r="CK45" s="806"/>
      <c r="CL45" s="806"/>
      <c r="CM45" s="806"/>
      <c r="CN45" s="806"/>
      <c r="CO45" s="806"/>
      <c r="CP45" s="806"/>
      <c r="CQ45" s="806"/>
      <c r="CR45" s="806"/>
      <c r="CS45" s="806"/>
      <c r="CT45" s="806"/>
      <c r="CU45" s="806"/>
      <c r="CV45" s="806"/>
      <c r="CW45" s="806"/>
      <c r="CX45" s="806"/>
    </row>
    <row r="46" spans="1:102">
      <c r="A46" s="1740"/>
      <c r="B46" s="814" t="s">
        <v>1251</v>
      </c>
      <c r="C46" s="815">
        <v>128380</v>
      </c>
      <c r="D46" s="816"/>
      <c r="E46" s="817"/>
      <c r="F46" s="817"/>
      <c r="G46" s="817"/>
      <c r="H46" s="817"/>
      <c r="I46" s="817"/>
      <c r="J46" s="817"/>
      <c r="K46" s="817"/>
      <c r="L46" s="817"/>
      <c r="M46" s="817"/>
      <c r="N46" s="817"/>
      <c r="O46" s="817"/>
      <c r="P46" s="817"/>
      <c r="Q46" s="817"/>
      <c r="R46" s="817"/>
      <c r="S46" s="817"/>
      <c r="T46" s="817"/>
      <c r="U46" s="817"/>
      <c r="V46" s="818"/>
      <c r="W46" s="818"/>
      <c r="X46" s="818"/>
      <c r="Y46" s="817"/>
    </row>
    <row r="47" spans="1:102">
      <c r="A47" s="819" t="s">
        <v>1252</v>
      </c>
      <c r="B47" s="820"/>
      <c r="C47" s="815">
        <f>+(C46-C45)/2+C45</f>
        <v>126354</v>
      </c>
      <c r="D47" s="816"/>
      <c r="E47" s="817"/>
      <c r="F47" s="817"/>
      <c r="G47" s="817"/>
      <c r="H47" s="817"/>
      <c r="I47" s="817"/>
      <c r="J47" s="817"/>
      <c r="K47" s="817"/>
      <c r="L47" s="817"/>
      <c r="M47" s="817"/>
      <c r="N47" s="817"/>
      <c r="O47" s="817"/>
      <c r="P47" s="817"/>
      <c r="Q47" s="817"/>
      <c r="R47" s="817"/>
      <c r="S47" s="817"/>
      <c r="T47" s="817"/>
      <c r="U47" s="817"/>
      <c r="V47" s="818"/>
      <c r="W47" s="818"/>
      <c r="X47" s="818"/>
      <c r="Y47" s="817"/>
    </row>
    <row r="48" spans="1:102">
      <c r="A48" s="819" t="s">
        <v>1253</v>
      </c>
      <c r="B48" s="820"/>
      <c r="C48" s="821"/>
      <c r="D48" s="822">
        <f>IF(D50&gt;D49,(D50-D49)+D$2+D$3,(D49-D50)+D$2+D$4)/1000</f>
        <v>42.654000000000003</v>
      </c>
      <c r="E48" s="823">
        <f t="shared" ref="E48:X48" si="7">IF(E50&gt;E49,(E50-E49)+E$2+E$3,(E49-E50)+E$2+E$4)/1000</f>
        <v>38.274000000000001</v>
      </c>
      <c r="F48" s="823">
        <f t="shared" si="7"/>
        <v>36.444000000000003</v>
      </c>
      <c r="G48" s="823">
        <f t="shared" si="7"/>
        <v>27.956</v>
      </c>
      <c r="H48" s="823">
        <f t="shared" si="7"/>
        <v>27.957000000000001</v>
      </c>
      <c r="I48" s="823">
        <f t="shared" si="7"/>
        <v>12.751835999999999</v>
      </c>
      <c r="J48" s="823">
        <f t="shared" si="7"/>
        <v>9.8539999999999992</v>
      </c>
      <c r="K48" s="823">
        <f t="shared" si="7"/>
        <v>17.443999999999999</v>
      </c>
      <c r="L48" s="823">
        <f t="shared" si="7"/>
        <v>9.6240000000000006</v>
      </c>
      <c r="M48" s="823">
        <f t="shared" si="7"/>
        <v>28.474910000000001</v>
      </c>
      <c r="N48" s="823">
        <f t="shared" si="7"/>
        <v>30.192836</v>
      </c>
      <c r="O48" s="823">
        <f t="shared" si="7"/>
        <v>40.473999999999997</v>
      </c>
      <c r="P48" s="823">
        <f t="shared" si="7"/>
        <v>44.274000000000001</v>
      </c>
      <c r="Q48" s="823">
        <f t="shared" si="7"/>
        <v>47.27769</v>
      </c>
      <c r="R48" s="823">
        <f t="shared" si="7"/>
        <v>50.973999999999997</v>
      </c>
      <c r="S48" s="823">
        <f t="shared" si="7"/>
        <v>56.973999999999997</v>
      </c>
      <c r="T48" s="823">
        <f t="shared" si="7"/>
        <v>57.973999999999997</v>
      </c>
      <c r="U48" s="823">
        <f t="shared" si="7"/>
        <v>62.973999999999997</v>
      </c>
      <c r="V48" s="824">
        <f t="shared" si="7"/>
        <v>9.6240000000000006</v>
      </c>
      <c r="W48" s="824">
        <f t="shared" si="7"/>
        <v>50.973999999999997</v>
      </c>
      <c r="X48" s="824">
        <f t="shared" si="7"/>
        <v>27.954000000000001</v>
      </c>
      <c r="Y48" s="817"/>
    </row>
    <row r="49" spans="1:102" hidden="1">
      <c r="A49" s="825" t="s">
        <v>1254</v>
      </c>
      <c r="B49" s="826"/>
      <c r="C49" s="827"/>
      <c r="D49" s="746">
        <f>+IF($C44=4510,IF(D$6=4510,$C47,$C47),IF(D$6=4511,$C47+134328,134328+$C47))</f>
        <v>126354</v>
      </c>
      <c r="E49" s="746">
        <f t="shared" ref="E49:X49" si="8">+IF($C44=4510,IF(E$6=4510,$C47,$C47),IF(E$6=4511,$C47+134328,134328+$C47))</f>
        <v>126354</v>
      </c>
      <c r="F49" s="746">
        <f t="shared" si="8"/>
        <v>126354</v>
      </c>
      <c r="G49" s="746">
        <f t="shared" si="8"/>
        <v>126354</v>
      </c>
      <c r="H49" s="746">
        <f t="shared" si="8"/>
        <v>126354</v>
      </c>
      <c r="I49" s="746">
        <f t="shared" si="8"/>
        <v>126354</v>
      </c>
      <c r="J49" s="746">
        <f t="shared" si="8"/>
        <v>126354</v>
      </c>
      <c r="K49" s="746">
        <f t="shared" si="8"/>
        <v>126354</v>
      </c>
      <c r="L49" s="746">
        <f t="shared" si="8"/>
        <v>126354</v>
      </c>
      <c r="M49" s="746">
        <f t="shared" si="8"/>
        <v>126354</v>
      </c>
      <c r="N49" s="746">
        <f t="shared" si="8"/>
        <v>126354</v>
      </c>
      <c r="O49" s="746">
        <f t="shared" si="8"/>
        <v>126354</v>
      </c>
      <c r="P49" s="746">
        <f t="shared" si="8"/>
        <v>126354</v>
      </c>
      <c r="Q49" s="746">
        <f t="shared" si="8"/>
        <v>126354</v>
      </c>
      <c r="R49" s="746">
        <f t="shared" si="8"/>
        <v>126354</v>
      </c>
      <c r="S49" s="746">
        <f t="shared" si="8"/>
        <v>126354</v>
      </c>
      <c r="T49" s="746">
        <f t="shared" si="8"/>
        <v>126354</v>
      </c>
      <c r="U49" s="746">
        <f t="shared" si="8"/>
        <v>126354</v>
      </c>
      <c r="V49" s="828">
        <f t="shared" si="8"/>
        <v>126354</v>
      </c>
      <c r="W49" s="828">
        <f t="shared" si="8"/>
        <v>126354</v>
      </c>
      <c r="X49" s="828">
        <f t="shared" si="8"/>
        <v>126354</v>
      </c>
      <c r="Y49" s="817"/>
    </row>
    <row r="50" spans="1:102" hidden="1">
      <c r="A50" s="825" t="s">
        <v>1255</v>
      </c>
      <c r="B50" s="826"/>
      <c r="C50" s="827"/>
      <c r="D50" s="746">
        <f>+IF($C44=4510,IF(D$6=4510,D$5,D$5+134328),IF(D$6=4511,D$5+134328,D$5))</f>
        <v>83700</v>
      </c>
      <c r="E50" s="746">
        <f t="shared" ref="E50:X50" si="9">+IF($C44=4510,IF(E$6=4510,E$5,E$5+134328),IF(E$6=4511,E$5+134328,E$5))</f>
        <v>88080</v>
      </c>
      <c r="F50" s="746">
        <f t="shared" si="9"/>
        <v>89910</v>
      </c>
      <c r="G50" s="746">
        <f t="shared" si="9"/>
        <v>98400</v>
      </c>
      <c r="H50" s="746">
        <f t="shared" si="9"/>
        <v>98400</v>
      </c>
      <c r="I50" s="746">
        <f t="shared" si="9"/>
        <v>113610</v>
      </c>
      <c r="J50" s="746">
        <f t="shared" si="9"/>
        <v>116500</v>
      </c>
      <c r="K50" s="746">
        <f t="shared" si="9"/>
        <v>108910</v>
      </c>
      <c r="L50" s="746">
        <f t="shared" si="9"/>
        <v>135978</v>
      </c>
      <c r="M50" s="746">
        <f t="shared" si="9"/>
        <v>154828</v>
      </c>
      <c r="N50" s="746">
        <f t="shared" si="9"/>
        <v>156528</v>
      </c>
      <c r="O50" s="746">
        <f t="shared" si="9"/>
        <v>166828</v>
      </c>
      <c r="P50" s="746">
        <f t="shared" si="9"/>
        <v>170628</v>
      </c>
      <c r="Q50" s="746">
        <f t="shared" si="9"/>
        <v>173628</v>
      </c>
      <c r="R50" s="746">
        <f t="shared" si="9"/>
        <v>177328</v>
      </c>
      <c r="S50" s="746">
        <f t="shared" si="9"/>
        <v>183328</v>
      </c>
      <c r="T50" s="746">
        <f t="shared" si="9"/>
        <v>184328</v>
      </c>
      <c r="U50" s="746">
        <f t="shared" si="9"/>
        <v>189328</v>
      </c>
      <c r="V50" s="828">
        <f t="shared" si="9"/>
        <v>135978</v>
      </c>
      <c r="W50" s="828">
        <f t="shared" si="9"/>
        <v>177328</v>
      </c>
      <c r="X50" s="828">
        <f t="shared" si="9"/>
        <v>98400</v>
      </c>
      <c r="Y50" s="817"/>
    </row>
    <row r="51" spans="1:102">
      <c r="A51" s="1741" t="s">
        <v>1266</v>
      </c>
      <c r="B51" s="814" t="s">
        <v>1257</v>
      </c>
      <c r="C51" s="829">
        <f>+'CANTIDADES TOTALIZADAS'!Q25</f>
        <v>12012.3</v>
      </c>
      <c r="D51" s="782"/>
      <c r="E51" s="783"/>
      <c r="F51" s="783"/>
      <c r="G51" s="783"/>
      <c r="H51" s="783"/>
      <c r="I51" s="783"/>
      <c r="J51" s="783"/>
      <c r="K51" s="783"/>
      <c r="L51" s="783">
        <f>$C51*FACTORES!$D$11*FACTORES!$D$25</f>
        <v>18352.125</v>
      </c>
      <c r="M51" s="783"/>
      <c r="N51" s="783"/>
      <c r="O51" s="783"/>
      <c r="P51" s="783"/>
      <c r="Q51" s="783"/>
      <c r="R51" s="783"/>
      <c r="S51" s="783"/>
      <c r="T51" s="783"/>
      <c r="U51" s="783"/>
      <c r="V51" s="830"/>
      <c r="W51" s="830"/>
      <c r="X51" s="830"/>
      <c r="Y51" s="831">
        <f>+SUMPRODUCT(D51:X51,D48:X48)</f>
        <v>176620.85100000002</v>
      </c>
      <c r="Z51" s="782">
        <f>$C51*FACTORES!$D$11*FACTORES!$D$25</f>
        <v>18352.125</v>
      </c>
    </row>
    <row r="52" spans="1:102">
      <c r="A52" s="1741"/>
      <c r="B52" s="814" t="s">
        <v>1258</v>
      </c>
      <c r="C52" s="829">
        <f>+'CANTIDADES TOTALIZADAS'!Q26</f>
        <v>11740.212</v>
      </c>
      <c r="D52" s="782"/>
      <c r="E52" s="783"/>
      <c r="F52" s="783"/>
      <c r="G52" s="783"/>
      <c r="H52" s="783"/>
      <c r="I52" s="783"/>
      <c r="J52" s="783"/>
      <c r="K52" s="783"/>
      <c r="L52" s="783">
        <f>$C52*FACTORES!$D$11*FACTORES!$D$25</f>
        <v>17936.435000000001</v>
      </c>
      <c r="M52" s="783"/>
      <c r="N52" s="783"/>
      <c r="O52" s="783"/>
      <c r="P52" s="783"/>
      <c r="Q52" s="783"/>
      <c r="R52" s="783"/>
      <c r="S52" s="783"/>
      <c r="T52" s="783"/>
      <c r="U52" s="783"/>
      <c r="V52" s="830"/>
      <c r="W52" s="830"/>
      <c r="X52" s="830"/>
      <c r="Y52" s="831">
        <f>+SUMPRODUCT(D52:X52,D48:X48)</f>
        <v>172620.25044000003</v>
      </c>
      <c r="Z52" s="782">
        <f>$C52*FACTORES!$D$11*FACTORES!$D$25</f>
        <v>17936.435000000001</v>
      </c>
    </row>
    <row r="53" spans="1:102">
      <c r="A53" s="1741"/>
      <c r="B53" s="814" t="s">
        <v>1259</v>
      </c>
      <c r="C53" s="829">
        <f>+'CANTIDADES TOTALIZADAS'!Q72</f>
        <v>0</v>
      </c>
      <c r="D53" s="782"/>
      <c r="E53" s="783"/>
      <c r="F53" s="783"/>
      <c r="G53" s="783"/>
      <c r="H53" s="783"/>
      <c r="I53" s="783"/>
      <c r="J53" s="783"/>
      <c r="K53" s="783"/>
      <c r="L53" s="783"/>
      <c r="M53" s="783"/>
      <c r="N53" s="783"/>
      <c r="O53" s="783"/>
      <c r="P53" s="783"/>
      <c r="Q53" s="783"/>
      <c r="R53" s="783"/>
      <c r="S53" s="783"/>
      <c r="T53" s="783"/>
      <c r="U53" s="783"/>
      <c r="V53" s="830"/>
      <c r="W53" s="830"/>
      <c r="X53" s="830">
        <f>+$C53*FACTORES!$D$23*FACTORES!$D$28</f>
        <v>0</v>
      </c>
      <c r="Y53" s="831">
        <f>+SUMPRODUCT(D53:X53,D48:X48)</f>
        <v>0</v>
      </c>
      <c r="Z53" s="782">
        <f>+$C53*FACTORES!$D$23*FACTORES!$D$28</f>
        <v>0</v>
      </c>
    </row>
    <row r="54" spans="1:102">
      <c r="A54" s="1741"/>
      <c r="B54" s="814" t="s">
        <v>1260</v>
      </c>
      <c r="C54" s="829">
        <f>+'CANTIDADES TOTALIZADAS'!Q85</f>
        <v>9205.1520000000019</v>
      </c>
      <c r="D54" s="782"/>
      <c r="E54" s="783"/>
      <c r="F54" s="783"/>
      <c r="G54" s="783"/>
      <c r="H54" s="783"/>
      <c r="I54" s="783"/>
      <c r="J54" s="783"/>
      <c r="K54" s="783"/>
      <c r="L54" s="783"/>
      <c r="M54" s="783"/>
      <c r="N54" s="783"/>
      <c r="O54" s="783"/>
      <c r="P54" s="783"/>
      <c r="Q54" s="783"/>
      <c r="R54" s="783"/>
      <c r="S54" s="783"/>
      <c r="T54" s="783"/>
      <c r="U54" s="783"/>
      <c r="V54" s="830"/>
      <c r="W54" s="830"/>
      <c r="X54" s="830">
        <f>+$C54*FACTORES!$D$7*FACTORES!$D$26</f>
        <v>11238.848372093027</v>
      </c>
      <c r="Y54" s="831">
        <f>+SUMPRODUCT(D54:X54,D48:X48)</f>
        <v>314170.7673934885</v>
      </c>
      <c r="Z54" s="782">
        <f>+$C54*FACTORES!$D$7*FACTORES!$D$26</f>
        <v>11238.848372093027</v>
      </c>
    </row>
    <row r="55" spans="1:102">
      <c r="A55" s="1742"/>
      <c r="B55" s="840" t="s">
        <v>1261</v>
      </c>
      <c r="C55" s="841">
        <f>+'CANTIDADES TOTALIZADAS'!Q93</f>
        <v>3961.2989250000001</v>
      </c>
      <c r="D55" s="789"/>
      <c r="E55" s="790"/>
      <c r="F55" s="790"/>
      <c r="G55" s="790"/>
      <c r="H55" s="790"/>
      <c r="I55" s="790"/>
      <c r="J55" s="790"/>
      <c r="K55" s="790"/>
      <c r="L55" s="790"/>
      <c r="M55" s="790"/>
      <c r="N55" s="790"/>
      <c r="O55" s="790"/>
      <c r="P55" s="790"/>
      <c r="Q55" s="790"/>
      <c r="R55" s="790"/>
      <c r="S55" s="790"/>
      <c r="T55" s="790"/>
      <c r="U55" s="790"/>
      <c r="V55" s="842"/>
      <c r="W55" s="842"/>
      <c r="X55" s="842">
        <f>+$C55*FACTORES!$D$3*FACTORES!$D$27</f>
        <v>4848.6298842000006</v>
      </c>
      <c r="Y55" s="831">
        <f>+SUMPRODUCT(D55:X55,D48:X48)</f>
        <v>135538.59978292682</v>
      </c>
      <c r="Z55" s="789">
        <f>+$C55*FACTORES!$D$3*FACTORES!$D$27</f>
        <v>4848.6298842000006</v>
      </c>
    </row>
    <row r="56" spans="1:102">
      <c r="A56" s="799" t="s">
        <v>1247</v>
      </c>
      <c r="B56" s="800"/>
      <c r="C56" s="801" t="s">
        <v>1267</v>
      </c>
      <c r="D56" s="802"/>
      <c r="E56" s="803"/>
      <c r="F56" s="803"/>
      <c r="G56" s="803"/>
      <c r="H56" s="803"/>
      <c r="I56" s="803"/>
      <c r="J56" s="803"/>
      <c r="K56" s="803"/>
      <c r="L56" s="803"/>
      <c r="M56" s="803"/>
      <c r="N56" s="803"/>
      <c r="O56" s="803"/>
      <c r="P56" s="803"/>
      <c r="Q56" s="803"/>
      <c r="R56" s="803"/>
      <c r="S56" s="803"/>
      <c r="T56" s="803"/>
      <c r="U56" s="803"/>
      <c r="V56" s="804"/>
      <c r="W56" s="804"/>
      <c r="X56" s="804"/>
      <c r="Y56" s="805"/>
      <c r="Z56" s="806"/>
      <c r="AA56" s="806"/>
      <c r="AB56" s="806"/>
      <c r="AC56" s="806"/>
      <c r="AD56" s="806"/>
      <c r="AE56" s="806"/>
      <c r="AF56" s="806"/>
      <c r="AG56" s="806"/>
      <c r="AH56" s="806"/>
      <c r="AI56" s="806"/>
      <c r="AJ56" s="806"/>
      <c r="AK56" s="806"/>
      <c r="AL56" s="806"/>
      <c r="AM56" s="806"/>
      <c r="AN56" s="806"/>
      <c r="AO56" s="806"/>
      <c r="AP56" s="806"/>
      <c r="AQ56" s="806"/>
      <c r="AR56" s="806"/>
      <c r="AS56" s="806"/>
      <c r="AT56" s="806"/>
      <c r="AU56" s="806"/>
      <c r="AV56" s="806"/>
      <c r="AW56" s="806"/>
      <c r="AX56" s="806"/>
      <c r="AY56" s="806"/>
      <c r="AZ56" s="806"/>
      <c r="BA56" s="806"/>
      <c r="BB56" s="806"/>
      <c r="BC56" s="806"/>
      <c r="BD56" s="806"/>
      <c r="BE56" s="806"/>
      <c r="BF56" s="806"/>
      <c r="BG56" s="806"/>
      <c r="BH56" s="806"/>
      <c r="BI56" s="806"/>
      <c r="BJ56" s="806"/>
      <c r="BK56" s="806"/>
      <c r="BL56" s="806"/>
      <c r="BM56" s="806"/>
      <c r="BN56" s="806"/>
      <c r="BO56" s="806"/>
      <c r="BP56" s="806"/>
      <c r="BQ56" s="806"/>
      <c r="BR56" s="806"/>
      <c r="BS56" s="806"/>
      <c r="BT56" s="806"/>
      <c r="BU56" s="806"/>
      <c r="BV56" s="806"/>
      <c r="BW56" s="806"/>
      <c r="BX56" s="806"/>
      <c r="BY56" s="806"/>
      <c r="BZ56" s="806"/>
      <c r="CA56" s="806"/>
      <c r="CB56" s="806"/>
      <c r="CC56" s="806"/>
      <c r="CD56" s="806"/>
      <c r="CE56" s="806"/>
      <c r="CF56" s="806"/>
      <c r="CG56" s="806"/>
      <c r="CH56" s="806"/>
      <c r="CI56" s="806"/>
      <c r="CJ56" s="806"/>
      <c r="CK56" s="806"/>
      <c r="CL56" s="806"/>
      <c r="CM56" s="806"/>
      <c r="CN56" s="806"/>
      <c r="CO56" s="806"/>
      <c r="CP56" s="806"/>
      <c r="CQ56" s="806"/>
      <c r="CR56" s="806"/>
      <c r="CS56" s="806"/>
      <c r="CT56" s="806"/>
      <c r="CU56" s="806"/>
      <c r="CV56" s="806"/>
      <c r="CW56" s="806"/>
      <c r="CX56" s="806"/>
    </row>
    <row r="57" spans="1:102">
      <c r="A57" s="808" t="s">
        <v>1227</v>
      </c>
      <c r="B57" s="809"/>
      <c r="C57" s="810">
        <v>4511</v>
      </c>
      <c r="D57" s="811"/>
      <c r="E57" s="812"/>
      <c r="F57" s="812"/>
      <c r="G57" s="812"/>
      <c r="H57" s="812"/>
      <c r="I57" s="812"/>
      <c r="J57" s="812"/>
      <c r="K57" s="812"/>
      <c r="L57" s="812"/>
      <c r="M57" s="812"/>
      <c r="N57" s="812"/>
      <c r="O57" s="812"/>
      <c r="P57" s="812"/>
      <c r="Q57" s="812"/>
      <c r="R57" s="812"/>
      <c r="S57" s="812"/>
      <c r="T57" s="812"/>
      <c r="U57" s="812"/>
      <c r="V57" s="813"/>
      <c r="W57" s="813"/>
      <c r="X57" s="813"/>
      <c r="Y57" s="805"/>
      <c r="Z57" s="806"/>
      <c r="AA57" s="806"/>
      <c r="AB57" s="806"/>
      <c r="AC57" s="806"/>
      <c r="AD57" s="806"/>
      <c r="AE57" s="806"/>
      <c r="AF57" s="806"/>
      <c r="AG57" s="806"/>
      <c r="AH57" s="806"/>
      <c r="AI57" s="806"/>
      <c r="AJ57" s="806"/>
      <c r="AK57" s="806"/>
      <c r="AL57" s="806"/>
      <c r="AM57" s="806"/>
      <c r="AN57" s="806"/>
      <c r="AO57" s="806"/>
      <c r="AP57" s="806"/>
      <c r="AQ57" s="806"/>
      <c r="AR57" s="806"/>
      <c r="AS57" s="806"/>
      <c r="AT57" s="806"/>
      <c r="AU57" s="806"/>
      <c r="AV57" s="806"/>
      <c r="AW57" s="806"/>
      <c r="AX57" s="806"/>
      <c r="AY57" s="806"/>
      <c r="AZ57" s="806"/>
      <c r="BA57" s="806"/>
      <c r="BB57" s="806"/>
      <c r="BC57" s="806"/>
      <c r="BD57" s="806"/>
      <c r="BE57" s="806"/>
      <c r="BF57" s="806"/>
      <c r="BG57" s="806"/>
      <c r="BH57" s="806"/>
      <c r="BI57" s="806"/>
      <c r="BJ57" s="806"/>
      <c r="BK57" s="806"/>
      <c r="BL57" s="806"/>
      <c r="BM57" s="806"/>
      <c r="BN57" s="806"/>
      <c r="BO57" s="806"/>
      <c r="BP57" s="806"/>
      <c r="BQ57" s="806"/>
      <c r="BR57" s="806"/>
      <c r="BS57" s="806"/>
      <c r="BT57" s="806"/>
      <c r="BU57" s="806"/>
      <c r="BV57" s="806"/>
      <c r="BW57" s="806"/>
      <c r="BX57" s="806"/>
      <c r="BY57" s="806"/>
      <c r="BZ57" s="806"/>
      <c r="CA57" s="806"/>
      <c r="CB57" s="806"/>
      <c r="CC57" s="806"/>
      <c r="CD57" s="806"/>
      <c r="CE57" s="806"/>
      <c r="CF57" s="806"/>
      <c r="CG57" s="806"/>
      <c r="CH57" s="806"/>
      <c r="CI57" s="806"/>
      <c r="CJ57" s="806"/>
      <c r="CK57" s="806"/>
      <c r="CL57" s="806"/>
      <c r="CM57" s="806"/>
      <c r="CN57" s="806"/>
      <c r="CO57" s="806"/>
      <c r="CP57" s="806"/>
      <c r="CQ57" s="806"/>
      <c r="CR57" s="806"/>
      <c r="CS57" s="806"/>
      <c r="CT57" s="806"/>
      <c r="CU57" s="806"/>
      <c r="CV57" s="806"/>
      <c r="CW57" s="806"/>
      <c r="CX57" s="806"/>
    </row>
    <row r="58" spans="1:102">
      <c r="A58" s="1740" t="s">
        <v>1249</v>
      </c>
      <c r="B58" s="814" t="s">
        <v>1250</v>
      </c>
      <c r="C58" s="815">
        <v>16720</v>
      </c>
      <c r="D58" s="816"/>
      <c r="E58" s="817"/>
      <c r="F58" s="817"/>
      <c r="G58" s="817"/>
      <c r="H58" s="817"/>
      <c r="I58" s="817"/>
      <c r="J58" s="817"/>
      <c r="K58" s="817"/>
      <c r="L58" s="817"/>
      <c r="M58" s="817"/>
      <c r="N58" s="817"/>
      <c r="O58" s="817"/>
      <c r="P58" s="817"/>
      <c r="Q58" s="817"/>
      <c r="R58" s="817"/>
      <c r="S58" s="817"/>
      <c r="T58" s="817"/>
      <c r="U58" s="817"/>
      <c r="V58" s="818"/>
      <c r="W58" s="818"/>
      <c r="X58" s="818"/>
      <c r="Y58" s="805"/>
      <c r="Z58" s="806"/>
      <c r="AA58" s="806"/>
      <c r="AB58" s="806"/>
      <c r="AC58" s="806"/>
      <c r="AD58" s="806"/>
      <c r="AE58" s="806"/>
      <c r="AF58" s="806"/>
      <c r="AG58" s="806"/>
      <c r="AH58" s="806"/>
      <c r="AI58" s="806"/>
      <c r="AJ58" s="806"/>
      <c r="AK58" s="806"/>
      <c r="AL58" s="806"/>
      <c r="AM58" s="806"/>
      <c r="AN58" s="806"/>
      <c r="AO58" s="806"/>
      <c r="AP58" s="806"/>
      <c r="AQ58" s="806"/>
      <c r="AR58" s="806"/>
      <c r="AS58" s="806"/>
      <c r="AT58" s="806"/>
      <c r="AU58" s="806"/>
      <c r="AV58" s="806"/>
      <c r="AW58" s="806"/>
      <c r="AX58" s="806"/>
      <c r="AY58" s="806"/>
      <c r="AZ58" s="806"/>
      <c r="BA58" s="806"/>
      <c r="BB58" s="806"/>
      <c r="BC58" s="806"/>
      <c r="BD58" s="806"/>
      <c r="BE58" s="806"/>
      <c r="BF58" s="806"/>
      <c r="BG58" s="806"/>
      <c r="BH58" s="806"/>
      <c r="BI58" s="806"/>
      <c r="BJ58" s="806"/>
      <c r="BK58" s="806"/>
      <c r="BL58" s="806"/>
      <c r="BM58" s="806"/>
      <c r="BN58" s="806"/>
      <c r="BO58" s="806"/>
      <c r="BP58" s="806"/>
      <c r="BQ58" s="806"/>
      <c r="BR58" s="806"/>
      <c r="BS58" s="806"/>
      <c r="BT58" s="806"/>
      <c r="BU58" s="806"/>
      <c r="BV58" s="806"/>
      <c r="BW58" s="806"/>
      <c r="BX58" s="806"/>
      <c r="BY58" s="806"/>
      <c r="BZ58" s="806"/>
      <c r="CA58" s="806"/>
      <c r="CB58" s="806"/>
      <c r="CC58" s="806"/>
      <c r="CD58" s="806"/>
      <c r="CE58" s="806"/>
      <c r="CF58" s="806"/>
      <c r="CG58" s="806"/>
      <c r="CH58" s="806"/>
      <c r="CI58" s="806"/>
      <c r="CJ58" s="806"/>
      <c r="CK58" s="806"/>
      <c r="CL58" s="806"/>
      <c r="CM58" s="806"/>
      <c r="CN58" s="806"/>
      <c r="CO58" s="806"/>
      <c r="CP58" s="806"/>
      <c r="CQ58" s="806"/>
      <c r="CR58" s="806"/>
      <c r="CS58" s="806"/>
      <c r="CT58" s="806"/>
      <c r="CU58" s="806"/>
      <c r="CV58" s="806"/>
      <c r="CW58" s="806"/>
      <c r="CX58" s="806"/>
    </row>
    <row r="59" spans="1:102">
      <c r="A59" s="1740"/>
      <c r="B59" s="814" t="s">
        <v>1251</v>
      </c>
      <c r="C59" s="815">
        <v>19000</v>
      </c>
      <c r="D59" s="816"/>
      <c r="E59" s="817"/>
      <c r="F59" s="817"/>
      <c r="G59" s="817"/>
      <c r="H59" s="817"/>
      <c r="I59" s="817"/>
      <c r="J59" s="817"/>
      <c r="K59" s="817"/>
      <c r="L59" s="817"/>
      <c r="M59" s="817"/>
      <c r="N59" s="817"/>
      <c r="O59" s="817"/>
      <c r="P59" s="817"/>
      <c r="Q59" s="817"/>
      <c r="R59" s="817"/>
      <c r="S59" s="817"/>
      <c r="T59" s="817"/>
      <c r="U59" s="817"/>
      <c r="V59" s="818"/>
      <c r="W59" s="818"/>
      <c r="X59" s="818"/>
      <c r="Y59" s="817"/>
    </row>
    <row r="60" spans="1:102">
      <c r="A60" s="819" t="s">
        <v>1252</v>
      </c>
      <c r="B60" s="820"/>
      <c r="C60" s="815">
        <f>+(C59-C58)/2+C58</f>
        <v>17860</v>
      </c>
      <c r="D60" s="816"/>
      <c r="E60" s="817"/>
      <c r="F60" s="817"/>
      <c r="G60" s="817"/>
      <c r="H60" s="817"/>
      <c r="I60" s="817"/>
      <c r="J60" s="817"/>
      <c r="K60" s="817"/>
      <c r="L60" s="817"/>
      <c r="M60" s="817"/>
      <c r="N60" s="817"/>
      <c r="O60" s="817"/>
      <c r="P60" s="817"/>
      <c r="Q60" s="817"/>
      <c r="R60" s="817"/>
      <c r="S60" s="817"/>
      <c r="T60" s="817"/>
      <c r="U60" s="817"/>
      <c r="V60" s="818"/>
      <c r="W60" s="818"/>
      <c r="X60" s="818"/>
      <c r="Y60" s="817"/>
    </row>
    <row r="61" spans="1:102">
      <c r="A61" s="819" t="s">
        <v>1253</v>
      </c>
      <c r="B61" s="820"/>
      <c r="C61" s="821"/>
      <c r="D61" s="843">
        <f>IF(D63&gt;D62,(D63-D62)+D$2+D$3,(D62-D63)+D$2+D$4)/1000</f>
        <v>68.488</v>
      </c>
      <c r="E61" s="823">
        <f t="shared" ref="E61:X61" si="10">IF(E63&gt;E62,(E63-E62)+E$2+E$3,(E62-E63)+E$2+E$4)/1000</f>
        <v>64.108000000000004</v>
      </c>
      <c r="F61" s="823">
        <f t="shared" si="10"/>
        <v>62.277999999999999</v>
      </c>
      <c r="G61" s="823">
        <f t="shared" si="10"/>
        <v>53.79</v>
      </c>
      <c r="H61" s="823">
        <f t="shared" si="10"/>
        <v>53.790999999999997</v>
      </c>
      <c r="I61" s="823">
        <f t="shared" si="10"/>
        <v>38.585836</v>
      </c>
      <c r="J61" s="823">
        <f t="shared" si="10"/>
        <v>35.688000000000002</v>
      </c>
      <c r="K61" s="823">
        <f t="shared" si="10"/>
        <v>43.277999999999999</v>
      </c>
      <c r="L61" s="823">
        <f t="shared" si="10"/>
        <v>16.21</v>
      </c>
      <c r="M61" s="823">
        <f t="shared" si="10"/>
        <v>2.6409099999999999</v>
      </c>
      <c r="N61" s="823">
        <f t="shared" si="10"/>
        <v>4.3588360000000002</v>
      </c>
      <c r="O61" s="823">
        <f t="shared" si="10"/>
        <v>14.64</v>
      </c>
      <c r="P61" s="823">
        <f t="shared" si="10"/>
        <v>18.440000000000001</v>
      </c>
      <c r="Q61" s="823">
        <f t="shared" si="10"/>
        <v>21.44369</v>
      </c>
      <c r="R61" s="823">
        <f t="shared" si="10"/>
        <v>25.14</v>
      </c>
      <c r="S61" s="823">
        <f t="shared" si="10"/>
        <v>31.14</v>
      </c>
      <c r="T61" s="823">
        <f t="shared" si="10"/>
        <v>32.14</v>
      </c>
      <c r="U61" s="823">
        <f t="shared" si="10"/>
        <v>37.14</v>
      </c>
      <c r="V61" s="824">
        <f t="shared" si="10"/>
        <v>16.21</v>
      </c>
      <c r="W61" s="824">
        <f t="shared" si="10"/>
        <v>25.14</v>
      </c>
      <c r="X61" s="824">
        <f t="shared" si="10"/>
        <v>53.787999999999997</v>
      </c>
      <c r="Y61" s="817"/>
    </row>
    <row r="62" spans="1:102" hidden="1">
      <c r="A62" s="825" t="s">
        <v>1254</v>
      </c>
      <c r="B62" s="826"/>
      <c r="C62" s="827"/>
      <c r="D62" s="746">
        <f>+IF($C57=4510,IF(D$6=4510,$C60,$C60),IF(D$6=4511,$C60+134328,134328+$C60))</f>
        <v>152188</v>
      </c>
      <c r="E62" s="746">
        <f t="shared" ref="E62:X62" si="11">+IF($C57=4510,IF(E$6=4510,$C60,$C60),IF(E$6=4511,$C60+134328,134328+$C60))</f>
        <v>152188</v>
      </c>
      <c r="F62" s="746">
        <f t="shared" si="11"/>
        <v>152188</v>
      </c>
      <c r="G62" s="746">
        <f t="shared" si="11"/>
        <v>152188</v>
      </c>
      <c r="H62" s="746">
        <f t="shared" si="11"/>
        <v>152188</v>
      </c>
      <c r="I62" s="746">
        <f t="shared" si="11"/>
        <v>152188</v>
      </c>
      <c r="J62" s="746">
        <f t="shared" si="11"/>
        <v>152188</v>
      </c>
      <c r="K62" s="746">
        <f t="shared" si="11"/>
        <v>152188</v>
      </c>
      <c r="L62" s="746">
        <f t="shared" si="11"/>
        <v>152188</v>
      </c>
      <c r="M62" s="746">
        <f t="shared" si="11"/>
        <v>152188</v>
      </c>
      <c r="N62" s="746">
        <f t="shared" si="11"/>
        <v>152188</v>
      </c>
      <c r="O62" s="746">
        <f t="shared" si="11"/>
        <v>152188</v>
      </c>
      <c r="P62" s="746">
        <f t="shared" si="11"/>
        <v>152188</v>
      </c>
      <c r="Q62" s="746">
        <f t="shared" si="11"/>
        <v>152188</v>
      </c>
      <c r="R62" s="746">
        <f t="shared" si="11"/>
        <v>152188</v>
      </c>
      <c r="S62" s="746">
        <f t="shared" si="11"/>
        <v>152188</v>
      </c>
      <c r="T62" s="746">
        <f t="shared" si="11"/>
        <v>152188</v>
      </c>
      <c r="U62" s="746">
        <f t="shared" si="11"/>
        <v>152188</v>
      </c>
      <c r="V62" s="828">
        <f t="shared" si="11"/>
        <v>152188</v>
      </c>
      <c r="W62" s="828">
        <f t="shared" si="11"/>
        <v>152188</v>
      </c>
      <c r="X62" s="828">
        <f t="shared" si="11"/>
        <v>152188</v>
      </c>
      <c r="Y62" s="817"/>
    </row>
    <row r="63" spans="1:102" hidden="1">
      <c r="A63" s="825" t="s">
        <v>1255</v>
      </c>
      <c r="B63" s="826"/>
      <c r="C63" s="827"/>
      <c r="D63" s="746">
        <f>+IF($C57=4510,IF(D$6=4510,D$5,D$5+134328),IF(D$6=4511,D$5+134328,D$5))</f>
        <v>83700</v>
      </c>
      <c r="E63" s="746">
        <f t="shared" ref="E63:X63" si="12">+IF($C57=4510,IF(E$6=4510,E$5,E$5+134328),IF(E$6=4511,E$5+134328,E$5))</f>
        <v>88080</v>
      </c>
      <c r="F63" s="746">
        <f t="shared" si="12"/>
        <v>89910</v>
      </c>
      <c r="G63" s="746">
        <f t="shared" si="12"/>
        <v>98400</v>
      </c>
      <c r="H63" s="746">
        <f t="shared" si="12"/>
        <v>98400</v>
      </c>
      <c r="I63" s="746">
        <f t="shared" si="12"/>
        <v>113610</v>
      </c>
      <c r="J63" s="746">
        <f t="shared" si="12"/>
        <v>116500</v>
      </c>
      <c r="K63" s="746">
        <f t="shared" si="12"/>
        <v>108910</v>
      </c>
      <c r="L63" s="746">
        <f t="shared" si="12"/>
        <v>135978</v>
      </c>
      <c r="M63" s="746">
        <f t="shared" si="12"/>
        <v>154828</v>
      </c>
      <c r="N63" s="746">
        <f t="shared" si="12"/>
        <v>156528</v>
      </c>
      <c r="O63" s="746">
        <f t="shared" si="12"/>
        <v>166828</v>
      </c>
      <c r="P63" s="746">
        <f t="shared" si="12"/>
        <v>170628</v>
      </c>
      <c r="Q63" s="746">
        <f t="shared" si="12"/>
        <v>173628</v>
      </c>
      <c r="R63" s="746">
        <f t="shared" si="12"/>
        <v>177328</v>
      </c>
      <c r="S63" s="746">
        <f t="shared" si="12"/>
        <v>183328</v>
      </c>
      <c r="T63" s="746">
        <f t="shared" si="12"/>
        <v>184328</v>
      </c>
      <c r="U63" s="746">
        <f t="shared" si="12"/>
        <v>189328</v>
      </c>
      <c r="V63" s="828">
        <f t="shared" si="12"/>
        <v>135978</v>
      </c>
      <c r="W63" s="828">
        <f t="shared" si="12"/>
        <v>177328</v>
      </c>
      <c r="X63" s="828">
        <f t="shared" si="12"/>
        <v>98400</v>
      </c>
      <c r="Y63" s="817"/>
    </row>
    <row r="64" spans="1:102">
      <c r="A64" s="1741" t="s">
        <v>1266</v>
      </c>
      <c r="B64" s="814" t="s">
        <v>1257</v>
      </c>
      <c r="C64" s="829">
        <f>+'CANTIDADES TOTALIZADAS'!X25</f>
        <v>1350.0700000000002</v>
      </c>
      <c r="D64" s="782"/>
      <c r="E64" s="783"/>
      <c r="F64" s="783"/>
      <c r="G64" s="783"/>
      <c r="H64" s="783"/>
      <c r="I64" s="783"/>
      <c r="J64" s="783"/>
      <c r="K64" s="783"/>
      <c r="L64" s="783"/>
      <c r="M64" s="783"/>
      <c r="N64" s="783">
        <f>$C64*FACTORES!$D$11*FACTORES!$D$25</f>
        <v>2062.6069444444447</v>
      </c>
      <c r="O64" s="783"/>
      <c r="P64" s="783"/>
      <c r="Q64" s="783"/>
      <c r="R64" s="783"/>
      <c r="S64" s="783"/>
      <c r="T64" s="783"/>
      <c r="U64" s="783"/>
      <c r="V64" s="830"/>
      <c r="W64" s="830"/>
      <c r="X64" s="830"/>
      <c r="Y64" s="831">
        <f>+SUMPRODUCT(D64:X64,D61:X61)</f>
        <v>8990.5654032944458</v>
      </c>
      <c r="Z64" s="782">
        <f>$C64*FACTORES!$D$11*FACTORES!$D$25</f>
        <v>2062.6069444444447</v>
      </c>
    </row>
    <row r="65" spans="1:102">
      <c r="A65" s="1741"/>
      <c r="B65" s="814" t="s">
        <v>1258</v>
      </c>
      <c r="C65" s="829">
        <f>+'CANTIDADES TOTALIZADAS'!X26</f>
        <v>4610.6280000000006</v>
      </c>
      <c r="D65" s="782"/>
      <c r="E65" s="783"/>
      <c r="F65" s="783"/>
      <c r="G65" s="783"/>
      <c r="H65" s="783"/>
      <c r="I65" s="783"/>
      <c r="J65" s="783"/>
      <c r="K65" s="783"/>
      <c r="L65" s="783"/>
      <c r="M65" s="783"/>
      <c r="N65" s="783">
        <f>$C65*FACTORES!$D$11*FACTORES!$D$25</f>
        <v>7044.0150000000012</v>
      </c>
      <c r="O65" s="783"/>
      <c r="P65" s="783"/>
      <c r="Q65" s="783"/>
      <c r="R65" s="783"/>
      <c r="S65" s="783"/>
      <c r="T65" s="783"/>
      <c r="U65" s="783"/>
      <c r="V65" s="830"/>
      <c r="W65" s="830"/>
      <c r="X65" s="830"/>
      <c r="Y65" s="831">
        <f>+SUMPRODUCT(D65:X65,D61:X61)</f>
        <v>30703.706166540007</v>
      </c>
      <c r="Z65" s="782">
        <f>$C65*FACTORES!$D$11*FACTORES!$D$25</f>
        <v>7044.0150000000012</v>
      </c>
    </row>
    <row r="66" spans="1:102">
      <c r="A66" s="1741"/>
      <c r="B66" s="814" t="s">
        <v>1259</v>
      </c>
      <c r="C66" s="829">
        <f>+'CANTIDADES TOTALIZADAS'!X72</f>
        <v>200.47259999999997</v>
      </c>
      <c r="D66" s="782"/>
      <c r="E66" s="783"/>
      <c r="F66" s="783"/>
      <c r="G66" s="783"/>
      <c r="H66" s="783"/>
      <c r="I66" s="783"/>
      <c r="J66" s="783"/>
      <c r="K66" s="783"/>
      <c r="L66" s="783"/>
      <c r="M66" s="783"/>
      <c r="N66" s="783"/>
      <c r="O66" s="783"/>
      <c r="P66" s="783"/>
      <c r="Q66" s="783"/>
      <c r="R66" s="783"/>
      <c r="S66" s="783"/>
      <c r="T66" s="783"/>
      <c r="U66" s="783"/>
      <c r="V66" s="830"/>
      <c r="W66" s="830">
        <f>+$C66*FACTORES!$D$23*FACTORES!$D$28</f>
        <v>235.15435979999998</v>
      </c>
      <c r="X66" s="830"/>
      <c r="Y66" s="831">
        <f>+SUMPRODUCT(D66:X66,D61:X61)</f>
        <v>5911.7806053719996</v>
      </c>
      <c r="Z66" s="782">
        <f>+$C66*FACTORES!$D$23*FACTORES!$D$28</f>
        <v>235.15435979999998</v>
      </c>
    </row>
    <row r="67" spans="1:102">
      <c r="A67" s="1741"/>
      <c r="B67" s="814" t="s">
        <v>1260</v>
      </c>
      <c r="C67" s="829">
        <f>+'CANTIDADES TOTALIZADAS'!X85</f>
        <v>8295.5519999999997</v>
      </c>
      <c r="D67" s="782"/>
      <c r="E67" s="783"/>
      <c r="F67" s="783"/>
      <c r="G67" s="783"/>
      <c r="H67" s="783"/>
      <c r="I67" s="783"/>
      <c r="J67" s="783"/>
      <c r="K67" s="783"/>
      <c r="L67" s="783"/>
      <c r="M67" s="783"/>
      <c r="N67" s="783"/>
      <c r="O67" s="783"/>
      <c r="P67" s="783"/>
      <c r="Q67" s="783"/>
      <c r="R67" s="783"/>
      <c r="S67" s="783"/>
      <c r="T67" s="783"/>
      <c r="U67" s="783"/>
      <c r="V67" s="830"/>
      <c r="W67" s="830">
        <f>+$C67*FACTORES!$D$7*FACTORES!$D$26</f>
        <v>10128.29023255814</v>
      </c>
      <c r="X67" s="830"/>
      <c r="Y67" s="831">
        <f>+SUMPRODUCT(D67:X67,D61:X61)</f>
        <v>254625.21644651165</v>
      </c>
      <c r="Z67" s="782">
        <f>+$C67*FACTORES!$D$7*FACTORES!$D$26</f>
        <v>10128.29023255814</v>
      </c>
    </row>
    <row r="68" spans="1:102">
      <c r="A68" s="1742"/>
      <c r="B68" s="840" t="s">
        <v>1261</v>
      </c>
      <c r="C68" s="841">
        <f>+'CANTIDADES TOTALIZADAS'!X93</f>
        <v>1178.0671499999999</v>
      </c>
      <c r="D68" s="789"/>
      <c r="E68" s="790"/>
      <c r="F68" s="790"/>
      <c r="G68" s="790"/>
      <c r="H68" s="790"/>
      <c r="I68" s="790"/>
      <c r="J68" s="790"/>
      <c r="K68" s="790"/>
      <c r="L68" s="790"/>
      <c r="M68" s="790"/>
      <c r="N68" s="790"/>
      <c r="O68" s="790"/>
      <c r="P68" s="790"/>
      <c r="Q68" s="790"/>
      <c r="R68" s="790"/>
      <c r="S68" s="790"/>
      <c r="T68" s="790"/>
      <c r="U68" s="790"/>
      <c r="V68" s="842"/>
      <c r="W68" s="842"/>
      <c r="X68" s="842">
        <f>+$C68*FACTORES!$D$3*FACTORES!$D$27</f>
        <v>1441.9541915999998</v>
      </c>
      <c r="Y68" s="831">
        <f>+SUMPRODUCT(D68:X68,D61:X61)</f>
        <v>77559.83205778079</v>
      </c>
      <c r="Z68" s="789">
        <f>+$C68*FACTORES!$D$3*FACTORES!$D$27</f>
        <v>1441.9541915999998</v>
      </c>
    </row>
    <row r="69" spans="1:102">
      <c r="A69" s="799" t="s">
        <v>1247</v>
      </c>
      <c r="B69" s="800"/>
      <c r="C69" s="801" t="s">
        <v>1268</v>
      </c>
      <c r="D69" s="802"/>
      <c r="E69" s="803"/>
      <c r="F69" s="803"/>
      <c r="G69" s="803"/>
      <c r="H69" s="803"/>
      <c r="I69" s="803"/>
      <c r="J69" s="803"/>
      <c r="K69" s="803"/>
      <c r="L69" s="803"/>
      <c r="M69" s="803"/>
      <c r="N69" s="803"/>
      <c r="O69" s="803"/>
      <c r="P69" s="803"/>
      <c r="Q69" s="803"/>
      <c r="R69" s="803"/>
      <c r="S69" s="803"/>
      <c r="T69" s="803"/>
      <c r="U69" s="803"/>
      <c r="V69" s="804"/>
      <c r="W69" s="804"/>
      <c r="X69" s="804"/>
      <c r="Y69" s="805"/>
      <c r="Z69" s="806"/>
      <c r="AA69" s="806"/>
      <c r="AB69" s="806"/>
      <c r="AC69" s="806"/>
      <c r="AD69" s="806"/>
      <c r="AE69" s="806"/>
      <c r="AF69" s="806"/>
      <c r="AG69" s="806"/>
      <c r="AH69" s="806"/>
      <c r="AI69" s="806"/>
      <c r="AJ69" s="806"/>
      <c r="AK69" s="806"/>
      <c r="AL69" s="806"/>
      <c r="AM69" s="806"/>
      <c r="AN69" s="806"/>
      <c r="AO69" s="806"/>
      <c r="AP69" s="806"/>
      <c r="AQ69" s="806"/>
      <c r="AR69" s="806"/>
      <c r="AS69" s="806"/>
      <c r="AT69" s="806"/>
      <c r="AU69" s="806"/>
      <c r="AV69" s="806"/>
      <c r="AW69" s="806"/>
      <c r="AX69" s="806"/>
      <c r="AY69" s="806"/>
      <c r="AZ69" s="806"/>
      <c r="BA69" s="806"/>
      <c r="BB69" s="806"/>
      <c r="BC69" s="806"/>
      <c r="BD69" s="806"/>
      <c r="BE69" s="806"/>
      <c r="BF69" s="806"/>
      <c r="BG69" s="806"/>
      <c r="BH69" s="806"/>
      <c r="BI69" s="806"/>
      <c r="BJ69" s="806"/>
      <c r="BK69" s="806"/>
      <c r="BL69" s="806"/>
      <c r="BM69" s="806"/>
      <c r="BN69" s="806"/>
      <c r="BO69" s="806"/>
      <c r="BP69" s="806"/>
      <c r="BQ69" s="806"/>
      <c r="BR69" s="806"/>
      <c r="BS69" s="806"/>
      <c r="BT69" s="806"/>
      <c r="BU69" s="806"/>
      <c r="BV69" s="806"/>
      <c r="BW69" s="806"/>
      <c r="BX69" s="806"/>
      <c r="BY69" s="806"/>
      <c r="BZ69" s="806"/>
      <c r="CA69" s="806"/>
      <c r="CB69" s="806"/>
      <c r="CC69" s="806"/>
      <c r="CD69" s="806"/>
      <c r="CE69" s="806"/>
      <c r="CF69" s="806"/>
      <c r="CG69" s="806"/>
      <c r="CH69" s="806"/>
      <c r="CI69" s="806"/>
      <c r="CJ69" s="806"/>
      <c r="CK69" s="806"/>
      <c r="CL69" s="806"/>
      <c r="CM69" s="806"/>
      <c r="CN69" s="806"/>
      <c r="CO69" s="806"/>
      <c r="CP69" s="806"/>
      <c r="CQ69" s="806"/>
      <c r="CR69" s="806"/>
      <c r="CS69" s="806"/>
      <c r="CT69" s="806"/>
      <c r="CU69" s="806"/>
      <c r="CV69" s="806"/>
      <c r="CW69" s="806"/>
      <c r="CX69" s="806"/>
    </row>
    <row r="70" spans="1:102">
      <c r="A70" s="808" t="s">
        <v>1227</v>
      </c>
      <c r="B70" s="809"/>
      <c r="C70" s="810">
        <v>4511</v>
      </c>
      <c r="D70" s="811"/>
      <c r="E70" s="812"/>
      <c r="F70" s="812"/>
      <c r="G70" s="812"/>
      <c r="H70" s="812"/>
      <c r="I70" s="812"/>
      <c r="J70" s="812"/>
      <c r="K70" s="812"/>
      <c r="L70" s="812"/>
      <c r="M70" s="812"/>
      <c r="N70" s="812"/>
      <c r="O70" s="812"/>
      <c r="P70" s="812"/>
      <c r="Q70" s="812"/>
      <c r="R70" s="812"/>
      <c r="S70" s="812"/>
      <c r="T70" s="812"/>
      <c r="U70" s="812"/>
      <c r="V70" s="813"/>
      <c r="W70" s="813"/>
      <c r="X70" s="813"/>
      <c r="Y70" s="805"/>
      <c r="Z70" s="806"/>
      <c r="AA70" s="806"/>
      <c r="AB70" s="806"/>
      <c r="AC70" s="806"/>
      <c r="AD70" s="806"/>
      <c r="AE70" s="806"/>
      <c r="AF70" s="806"/>
      <c r="AG70" s="806"/>
      <c r="AH70" s="806"/>
      <c r="AI70" s="806"/>
      <c r="AJ70" s="806"/>
      <c r="AK70" s="806"/>
      <c r="AL70" s="806"/>
      <c r="AM70" s="806"/>
      <c r="AN70" s="806"/>
      <c r="AO70" s="806"/>
      <c r="AP70" s="806"/>
      <c r="AQ70" s="806"/>
      <c r="AR70" s="806"/>
      <c r="AS70" s="806"/>
      <c r="AT70" s="806"/>
      <c r="AU70" s="806"/>
      <c r="AV70" s="806"/>
      <c r="AW70" s="806"/>
      <c r="AX70" s="806"/>
      <c r="AY70" s="806"/>
      <c r="AZ70" s="806"/>
      <c r="BA70" s="806"/>
      <c r="BB70" s="806"/>
      <c r="BC70" s="806"/>
      <c r="BD70" s="806"/>
      <c r="BE70" s="806"/>
      <c r="BF70" s="806"/>
      <c r="BG70" s="806"/>
      <c r="BH70" s="806"/>
      <c r="BI70" s="806"/>
      <c r="BJ70" s="806"/>
      <c r="BK70" s="806"/>
      <c r="BL70" s="806"/>
      <c r="BM70" s="806"/>
      <c r="BN70" s="806"/>
      <c r="BO70" s="806"/>
      <c r="BP70" s="806"/>
      <c r="BQ70" s="806"/>
      <c r="BR70" s="806"/>
      <c r="BS70" s="806"/>
      <c r="BT70" s="806"/>
      <c r="BU70" s="806"/>
      <c r="BV70" s="806"/>
      <c r="BW70" s="806"/>
      <c r="BX70" s="806"/>
      <c r="BY70" s="806"/>
      <c r="BZ70" s="806"/>
      <c r="CA70" s="806"/>
      <c r="CB70" s="806"/>
      <c r="CC70" s="806"/>
      <c r="CD70" s="806"/>
      <c r="CE70" s="806"/>
      <c r="CF70" s="806"/>
      <c r="CG70" s="806"/>
      <c r="CH70" s="806"/>
      <c r="CI70" s="806"/>
      <c r="CJ70" s="806"/>
      <c r="CK70" s="806"/>
      <c r="CL70" s="806"/>
      <c r="CM70" s="806"/>
      <c r="CN70" s="806"/>
      <c r="CO70" s="806"/>
      <c r="CP70" s="806"/>
      <c r="CQ70" s="806"/>
      <c r="CR70" s="806"/>
      <c r="CS70" s="806"/>
      <c r="CT70" s="806"/>
      <c r="CU70" s="806"/>
      <c r="CV70" s="806"/>
      <c r="CW70" s="806"/>
      <c r="CX70" s="806"/>
    </row>
    <row r="71" spans="1:102">
      <c r="A71" s="1740" t="s">
        <v>1249</v>
      </c>
      <c r="B71" s="814" t="s">
        <v>1250</v>
      </c>
      <c r="C71" s="815">
        <v>40000</v>
      </c>
      <c r="D71" s="816"/>
      <c r="E71" s="817"/>
      <c r="F71" s="817"/>
      <c r="G71" s="817"/>
      <c r="H71" s="817"/>
      <c r="I71" s="817"/>
      <c r="J71" s="817"/>
      <c r="K71" s="817"/>
      <c r="L71" s="817"/>
      <c r="M71" s="817"/>
      <c r="N71" s="817"/>
      <c r="O71" s="817"/>
      <c r="P71" s="817"/>
      <c r="Q71" s="817"/>
      <c r="R71" s="817"/>
      <c r="S71" s="817"/>
      <c r="T71" s="817"/>
      <c r="U71" s="817"/>
      <c r="V71" s="818"/>
      <c r="W71" s="818"/>
      <c r="X71" s="818"/>
      <c r="Y71" s="805"/>
      <c r="Z71" s="806"/>
      <c r="AA71" s="806"/>
      <c r="AB71" s="806"/>
      <c r="AC71" s="806"/>
      <c r="AD71" s="806"/>
      <c r="AE71" s="806"/>
      <c r="AF71" s="806"/>
      <c r="AG71" s="806"/>
      <c r="AH71" s="806"/>
      <c r="AI71" s="806"/>
      <c r="AJ71" s="806"/>
      <c r="AK71" s="806"/>
      <c r="AL71" s="806"/>
      <c r="AM71" s="806"/>
      <c r="AN71" s="806"/>
      <c r="AO71" s="806"/>
      <c r="AP71" s="806"/>
      <c r="AQ71" s="806"/>
      <c r="AR71" s="806"/>
      <c r="AS71" s="806"/>
      <c r="AT71" s="806"/>
      <c r="AU71" s="806"/>
      <c r="AV71" s="806"/>
      <c r="AW71" s="806"/>
      <c r="AX71" s="806"/>
      <c r="AY71" s="806"/>
      <c r="AZ71" s="806"/>
      <c r="BA71" s="806"/>
      <c r="BB71" s="806"/>
      <c r="BC71" s="806"/>
      <c r="BD71" s="806"/>
      <c r="BE71" s="806"/>
      <c r="BF71" s="806"/>
      <c r="BG71" s="806"/>
      <c r="BH71" s="806"/>
      <c r="BI71" s="806"/>
      <c r="BJ71" s="806"/>
      <c r="BK71" s="806"/>
      <c r="BL71" s="806"/>
      <c r="BM71" s="806"/>
      <c r="BN71" s="806"/>
      <c r="BO71" s="806"/>
      <c r="BP71" s="806"/>
      <c r="BQ71" s="806"/>
      <c r="BR71" s="806"/>
      <c r="BS71" s="806"/>
      <c r="BT71" s="806"/>
      <c r="BU71" s="806"/>
      <c r="BV71" s="806"/>
      <c r="BW71" s="806"/>
      <c r="BX71" s="806"/>
      <c r="BY71" s="806"/>
      <c r="BZ71" s="806"/>
      <c r="CA71" s="806"/>
      <c r="CB71" s="806"/>
      <c r="CC71" s="806"/>
      <c r="CD71" s="806"/>
      <c r="CE71" s="806"/>
      <c r="CF71" s="806"/>
      <c r="CG71" s="806"/>
      <c r="CH71" s="806"/>
      <c r="CI71" s="806"/>
      <c r="CJ71" s="806"/>
      <c r="CK71" s="806"/>
      <c r="CL71" s="806"/>
      <c r="CM71" s="806"/>
      <c r="CN71" s="806"/>
      <c r="CO71" s="806"/>
      <c r="CP71" s="806"/>
      <c r="CQ71" s="806"/>
      <c r="CR71" s="806"/>
      <c r="CS71" s="806"/>
      <c r="CT71" s="806"/>
      <c r="CU71" s="806"/>
      <c r="CV71" s="806"/>
      <c r="CW71" s="806"/>
      <c r="CX71" s="806"/>
    </row>
    <row r="72" spans="1:102">
      <c r="A72" s="1740"/>
      <c r="B72" s="814" t="s">
        <v>1251</v>
      </c>
      <c r="C72" s="815">
        <v>45000</v>
      </c>
      <c r="D72" s="816"/>
      <c r="E72" s="817"/>
      <c r="F72" s="817"/>
      <c r="G72" s="817"/>
      <c r="H72" s="817"/>
      <c r="I72" s="817"/>
      <c r="J72" s="817"/>
      <c r="K72" s="817"/>
      <c r="L72" s="817"/>
      <c r="M72" s="817"/>
      <c r="N72" s="817"/>
      <c r="O72" s="817"/>
      <c r="P72" s="817"/>
      <c r="Q72" s="817"/>
      <c r="R72" s="817"/>
      <c r="S72" s="817"/>
      <c r="T72" s="817"/>
      <c r="U72" s="817"/>
      <c r="V72" s="818"/>
      <c r="W72" s="818"/>
      <c r="X72" s="818"/>
      <c r="Y72" s="817"/>
    </row>
    <row r="73" spans="1:102">
      <c r="A73" s="819" t="s">
        <v>1252</v>
      </c>
      <c r="B73" s="820"/>
      <c r="C73" s="815">
        <f>+(C72-C71)/2+C71</f>
        <v>42500</v>
      </c>
      <c r="D73" s="816"/>
      <c r="E73" s="817"/>
      <c r="F73" s="817"/>
      <c r="G73" s="817"/>
      <c r="H73" s="817"/>
      <c r="I73" s="817"/>
      <c r="J73" s="817"/>
      <c r="K73" s="817"/>
      <c r="L73" s="817"/>
      <c r="M73" s="817"/>
      <c r="N73" s="817"/>
      <c r="O73" s="817"/>
      <c r="P73" s="817"/>
      <c r="Q73" s="817"/>
      <c r="R73" s="817"/>
      <c r="S73" s="817"/>
      <c r="T73" s="817"/>
      <c r="U73" s="817"/>
      <c r="V73" s="818"/>
      <c r="W73" s="818"/>
      <c r="X73" s="818"/>
      <c r="Y73" s="817"/>
    </row>
    <row r="74" spans="1:102">
      <c r="A74" s="819" t="s">
        <v>1253</v>
      </c>
      <c r="B74" s="820"/>
      <c r="C74" s="821"/>
      <c r="D74" s="822">
        <f>IF(D76&gt;D75,(D76-D75)+D$2+D$3,(D75-D76)+D$2+D$4)/1000</f>
        <v>93.128</v>
      </c>
      <c r="E74" s="823">
        <f t="shared" ref="E74:X74" si="13">IF(E76&gt;E75,(E76-E75)+E$2+E$3,(E75-E76)+E$2+E$4)/1000</f>
        <v>88.748000000000005</v>
      </c>
      <c r="F74" s="823">
        <f t="shared" si="13"/>
        <v>86.918000000000006</v>
      </c>
      <c r="G74" s="823">
        <f t="shared" si="13"/>
        <v>78.430000000000007</v>
      </c>
      <c r="H74" s="823">
        <f t="shared" si="13"/>
        <v>78.430999999999997</v>
      </c>
      <c r="I74" s="823">
        <f t="shared" si="13"/>
        <v>63.225836000000001</v>
      </c>
      <c r="J74" s="823">
        <f t="shared" si="13"/>
        <v>60.328000000000003</v>
      </c>
      <c r="K74" s="823">
        <f t="shared" si="13"/>
        <v>67.918000000000006</v>
      </c>
      <c r="L74" s="823">
        <f t="shared" si="13"/>
        <v>40.85</v>
      </c>
      <c r="M74" s="823">
        <f t="shared" si="13"/>
        <v>22</v>
      </c>
      <c r="N74" s="823">
        <f t="shared" si="13"/>
        <v>20.302</v>
      </c>
      <c r="O74" s="823">
        <f t="shared" si="13"/>
        <v>10</v>
      </c>
      <c r="P74" s="823">
        <f t="shared" si="13"/>
        <v>6.2107479999999997</v>
      </c>
      <c r="Q74" s="823">
        <f t="shared" si="13"/>
        <v>3.2</v>
      </c>
      <c r="R74" s="823">
        <f t="shared" si="13"/>
        <v>0.5</v>
      </c>
      <c r="S74" s="823">
        <f t="shared" si="13"/>
        <v>6.5</v>
      </c>
      <c r="T74" s="823">
        <f t="shared" si="13"/>
        <v>7.5</v>
      </c>
      <c r="U74" s="823">
        <f t="shared" si="13"/>
        <v>12.5</v>
      </c>
      <c r="V74" s="824">
        <f t="shared" si="13"/>
        <v>40.85</v>
      </c>
      <c r="W74" s="824">
        <f t="shared" si="13"/>
        <v>0.5</v>
      </c>
      <c r="X74" s="824">
        <f t="shared" si="13"/>
        <v>78.427999999999997</v>
      </c>
      <c r="Y74" s="817"/>
    </row>
    <row r="75" spans="1:102" hidden="1">
      <c r="A75" s="825" t="s">
        <v>1254</v>
      </c>
      <c r="B75" s="826"/>
      <c r="C75" s="827"/>
      <c r="D75" s="746">
        <f>+IF($C70=4510,IF(D$6=4510,$C73,$C73),IF(D$6=4511,$C73+134328,134328+$C73))</f>
        <v>176828</v>
      </c>
      <c r="E75" s="746">
        <f t="shared" ref="E75:X75" si="14">+IF($C70=4510,IF(E$6=4510,$C73,$C73),IF(E$6=4511,$C73+134328,134328+$C73))</f>
        <v>176828</v>
      </c>
      <c r="F75" s="746">
        <f t="shared" si="14"/>
        <v>176828</v>
      </c>
      <c r="G75" s="746">
        <f t="shared" si="14"/>
        <v>176828</v>
      </c>
      <c r="H75" s="746">
        <f t="shared" si="14"/>
        <v>176828</v>
      </c>
      <c r="I75" s="746">
        <f t="shared" si="14"/>
        <v>176828</v>
      </c>
      <c r="J75" s="746">
        <f t="shared" si="14"/>
        <v>176828</v>
      </c>
      <c r="K75" s="746">
        <f t="shared" si="14"/>
        <v>176828</v>
      </c>
      <c r="L75" s="746">
        <f t="shared" si="14"/>
        <v>176828</v>
      </c>
      <c r="M75" s="746">
        <f t="shared" si="14"/>
        <v>176828</v>
      </c>
      <c r="N75" s="746">
        <f t="shared" si="14"/>
        <v>176828</v>
      </c>
      <c r="O75" s="746">
        <f t="shared" si="14"/>
        <v>176828</v>
      </c>
      <c r="P75" s="746">
        <f t="shared" si="14"/>
        <v>176828</v>
      </c>
      <c r="Q75" s="746">
        <f t="shared" si="14"/>
        <v>176828</v>
      </c>
      <c r="R75" s="746">
        <f t="shared" si="14"/>
        <v>176828</v>
      </c>
      <c r="S75" s="746">
        <f t="shared" si="14"/>
        <v>176828</v>
      </c>
      <c r="T75" s="746">
        <f t="shared" si="14"/>
        <v>176828</v>
      </c>
      <c r="U75" s="746">
        <f t="shared" si="14"/>
        <v>176828</v>
      </c>
      <c r="V75" s="828">
        <f t="shared" si="14"/>
        <v>176828</v>
      </c>
      <c r="W75" s="828">
        <f t="shared" si="14"/>
        <v>176828</v>
      </c>
      <c r="X75" s="828">
        <f t="shared" si="14"/>
        <v>176828</v>
      </c>
      <c r="Y75" s="817"/>
    </row>
    <row r="76" spans="1:102" hidden="1">
      <c r="A76" s="825" t="s">
        <v>1255</v>
      </c>
      <c r="B76" s="826"/>
      <c r="C76" s="827"/>
      <c r="D76" s="746">
        <f>+IF($C70=4510,IF(D$6=4510,D$5,D$5+134328),IF(D$6=4511,D$5+134328,D$5))</f>
        <v>83700</v>
      </c>
      <c r="E76" s="746">
        <f t="shared" ref="E76:X76" si="15">+IF($C70=4510,IF(E$6=4510,E$5,E$5+134328),IF(E$6=4511,E$5+134328,E$5))</f>
        <v>88080</v>
      </c>
      <c r="F76" s="746">
        <f t="shared" si="15"/>
        <v>89910</v>
      </c>
      <c r="G76" s="746">
        <f t="shared" si="15"/>
        <v>98400</v>
      </c>
      <c r="H76" s="746">
        <f t="shared" si="15"/>
        <v>98400</v>
      </c>
      <c r="I76" s="746">
        <f t="shared" si="15"/>
        <v>113610</v>
      </c>
      <c r="J76" s="746">
        <f t="shared" si="15"/>
        <v>116500</v>
      </c>
      <c r="K76" s="746">
        <f t="shared" si="15"/>
        <v>108910</v>
      </c>
      <c r="L76" s="746">
        <f t="shared" si="15"/>
        <v>135978</v>
      </c>
      <c r="M76" s="746">
        <f t="shared" si="15"/>
        <v>154828</v>
      </c>
      <c r="N76" s="746">
        <f t="shared" si="15"/>
        <v>156528</v>
      </c>
      <c r="O76" s="746">
        <f t="shared" si="15"/>
        <v>166828</v>
      </c>
      <c r="P76" s="746">
        <f t="shared" si="15"/>
        <v>170628</v>
      </c>
      <c r="Q76" s="746">
        <f t="shared" si="15"/>
        <v>173628</v>
      </c>
      <c r="R76" s="746">
        <f t="shared" si="15"/>
        <v>177328</v>
      </c>
      <c r="S76" s="746">
        <f t="shared" si="15"/>
        <v>183328</v>
      </c>
      <c r="T76" s="746">
        <f t="shared" si="15"/>
        <v>184328</v>
      </c>
      <c r="U76" s="746">
        <f t="shared" si="15"/>
        <v>189328</v>
      </c>
      <c r="V76" s="828">
        <f t="shared" si="15"/>
        <v>135978</v>
      </c>
      <c r="W76" s="828">
        <f t="shared" si="15"/>
        <v>177328</v>
      </c>
      <c r="X76" s="828">
        <f t="shared" si="15"/>
        <v>98400</v>
      </c>
      <c r="Y76" s="817"/>
    </row>
    <row r="77" spans="1:102">
      <c r="A77" s="1741" t="s">
        <v>1266</v>
      </c>
      <c r="B77" s="814" t="s">
        <v>1257</v>
      </c>
      <c r="C77" s="829">
        <f>+'CANTIDADES TOTALIZADAS'!AB25</f>
        <v>8627.9</v>
      </c>
      <c r="D77" s="782"/>
      <c r="E77" s="783"/>
      <c r="F77" s="783"/>
      <c r="G77" s="783"/>
      <c r="H77" s="783"/>
      <c r="I77" s="783"/>
      <c r="J77" s="783"/>
      <c r="K77" s="783"/>
      <c r="L77" s="783"/>
      <c r="M77" s="783"/>
      <c r="N77" s="783"/>
      <c r="O77" s="783"/>
      <c r="P77" s="783"/>
      <c r="Q77" s="783"/>
      <c r="R77" s="783">
        <f>$C77*FACTORES!$D$11*FACTORES!$D$25</f>
        <v>13181.513888888889</v>
      </c>
      <c r="S77" s="783"/>
      <c r="T77" s="783"/>
      <c r="U77" s="783"/>
      <c r="V77" s="830"/>
      <c r="W77" s="830"/>
      <c r="X77" s="830"/>
      <c r="Y77" s="831">
        <f>+SUMPRODUCT(D77:X77,D74:X74)</f>
        <v>6590.7569444444443</v>
      </c>
      <c r="Z77" s="782">
        <f>$C77*FACTORES!$D$11*FACTORES!$D$25</f>
        <v>13181.513888888889</v>
      </c>
      <c r="AB77" s="844"/>
    </row>
    <row r="78" spans="1:102">
      <c r="A78" s="1741"/>
      <c r="B78" s="814" t="s">
        <v>1258</v>
      </c>
      <c r="C78" s="829">
        <f>+'CANTIDADES TOTALIZADAS'!AB26</f>
        <v>5670.3487000000005</v>
      </c>
      <c r="D78" s="782"/>
      <c r="E78" s="783"/>
      <c r="F78" s="783"/>
      <c r="G78" s="783"/>
      <c r="H78" s="783"/>
      <c r="I78" s="783"/>
      <c r="J78" s="783"/>
      <c r="K78" s="783"/>
      <c r="L78" s="783"/>
      <c r="M78" s="783"/>
      <c r="N78" s="783"/>
      <c r="O78" s="783"/>
      <c r="P78" s="783"/>
      <c r="Q78" s="783"/>
      <c r="R78" s="783">
        <f>$C78*FACTORES!$D$11*FACTORES!$D$25</f>
        <v>8663.0327361111122</v>
      </c>
      <c r="S78" s="783"/>
      <c r="T78" s="783"/>
      <c r="U78" s="783"/>
      <c r="V78" s="830"/>
      <c r="W78" s="830"/>
      <c r="X78" s="830"/>
      <c r="Y78" s="831">
        <f>+SUMPRODUCT(D78:X78,D74:X74)</f>
        <v>4331.5163680555561</v>
      </c>
      <c r="Z78" s="782">
        <f>$C78*FACTORES!$D$11*FACTORES!$D$25</f>
        <v>8663.0327361111122</v>
      </c>
    </row>
    <row r="79" spans="1:102">
      <c r="A79" s="1741"/>
      <c r="B79" s="814" t="s">
        <v>1259</v>
      </c>
      <c r="C79" s="829">
        <f>+'CANTIDADES TOTALIZADAS'!AB72</f>
        <v>324</v>
      </c>
      <c r="D79" s="782"/>
      <c r="E79" s="783"/>
      <c r="F79" s="783"/>
      <c r="G79" s="783"/>
      <c r="H79" s="783"/>
      <c r="I79" s="783"/>
      <c r="J79" s="783"/>
      <c r="K79" s="783"/>
      <c r="L79" s="783"/>
      <c r="M79" s="783"/>
      <c r="N79" s="783"/>
      <c r="O79" s="783"/>
      <c r="P79" s="783"/>
      <c r="Q79" s="783"/>
      <c r="R79" s="783"/>
      <c r="S79" s="783"/>
      <c r="T79" s="783"/>
      <c r="U79" s="783"/>
      <c r="V79" s="830"/>
      <c r="W79" s="830">
        <f>+$C79*FACTORES!$D$23*FACTORES!$D$28</f>
        <v>380.05199999999996</v>
      </c>
      <c r="X79" s="830"/>
      <c r="Y79" s="831">
        <f>+SUMPRODUCT(D79:X79,D74:X74)</f>
        <v>190.02599999999998</v>
      </c>
      <c r="Z79" s="782">
        <f>+$C79*FACTORES!$D$23*FACTORES!$D$28</f>
        <v>380.05199999999996</v>
      </c>
    </row>
    <row r="80" spans="1:102">
      <c r="A80" s="1741"/>
      <c r="B80" s="814" t="s">
        <v>1260</v>
      </c>
      <c r="C80" s="829">
        <f>+'CANTIDADES TOTALIZADAS'!AB85</f>
        <v>11068.0128</v>
      </c>
      <c r="D80" s="782"/>
      <c r="E80" s="783"/>
      <c r="F80" s="783"/>
      <c r="G80" s="783"/>
      <c r="H80" s="783"/>
      <c r="I80" s="783"/>
      <c r="J80" s="783"/>
      <c r="K80" s="783"/>
      <c r="L80" s="783"/>
      <c r="M80" s="783"/>
      <c r="N80" s="783"/>
      <c r="O80" s="783"/>
      <c r="P80" s="783"/>
      <c r="Q80" s="783"/>
      <c r="R80" s="783"/>
      <c r="S80" s="783"/>
      <c r="T80" s="783"/>
      <c r="U80" s="783"/>
      <c r="V80" s="830"/>
      <c r="W80" s="830">
        <f>+$C80*FACTORES!$D$7*FACTORES!$D$26</f>
        <v>13513.271441860466</v>
      </c>
      <c r="X80" s="830"/>
      <c r="Y80" s="831">
        <f>+SUMPRODUCT(D80:X80,D74:X74)</f>
        <v>6756.6357209302332</v>
      </c>
      <c r="Z80" s="782">
        <f>+$C80*FACTORES!$D$7*FACTORES!$D$26</f>
        <v>13513.271441860466</v>
      </c>
    </row>
    <row r="81" spans="1:26">
      <c r="A81" s="1742"/>
      <c r="B81" s="840" t="s">
        <v>1261</v>
      </c>
      <c r="C81" s="841">
        <f>+'CANTIDADES TOTALIZADAS'!AB93</f>
        <v>2986.7129999999997</v>
      </c>
      <c r="D81" s="789"/>
      <c r="E81" s="790"/>
      <c r="F81" s="790"/>
      <c r="G81" s="790"/>
      <c r="H81" s="790"/>
      <c r="I81" s="790"/>
      <c r="J81" s="790"/>
      <c r="K81" s="790"/>
      <c r="L81" s="790"/>
      <c r="M81" s="790"/>
      <c r="N81" s="790"/>
      <c r="O81" s="790"/>
      <c r="P81" s="790"/>
      <c r="Q81" s="790"/>
      <c r="R81" s="790"/>
      <c r="S81" s="790"/>
      <c r="T81" s="790"/>
      <c r="U81" s="790"/>
      <c r="V81" s="842"/>
      <c r="W81" s="842"/>
      <c r="X81" s="842">
        <f>+$C81*FACTORES!$D$3*FACTORES!$D$27</f>
        <v>3655.7367119999999</v>
      </c>
      <c r="Y81" s="831">
        <f>+SUMPRODUCT(D81:X81,D74:X74)</f>
        <v>286712.11884873599</v>
      </c>
      <c r="Z81" s="789">
        <f>+$C81*FACTORES!$D$3*FACTORES!$D$27</f>
        <v>3655.7367119999999</v>
      </c>
    </row>
    <row r="82" spans="1:26">
      <c r="A82" s="845"/>
    </row>
    <row r="83" spans="1:26">
      <c r="B83" s="814" t="s">
        <v>1257</v>
      </c>
      <c r="C83" s="844">
        <f>+SUMIFS($C$23:$C$81,$B$23:$B$81,B83)</f>
        <v>34108.63175</v>
      </c>
      <c r="D83" s="847"/>
      <c r="E83" s="848"/>
      <c r="F83" s="848"/>
      <c r="G83" s="848"/>
      <c r="H83" s="848"/>
      <c r="I83" s="848"/>
      <c r="J83" s="848"/>
      <c r="K83" s="848"/>
      <c r="L83" s="848"/>
      <c r="M83" s="848"/>
      <c r="N83" s="848"/>
      <c r="O83" s="848"/>
      <c r="P83" s="848"/>
      <c r="Q83" s="848"/>
      <c r="R83" s="848"/>
      <c r="S83" s="848"/>
      <c r="T83" s="848"/>
      <c r="U83" s="848"/>
      <c r="V83" s="849"/>
      <c r="W83" s="849"/>
      <c r="X83" s="849"/>
      <c r="Y83" s="817"/>
    </row>
    <row r="84" spans="1:26">
      <c r="B84" s="814" t="s">
        <v>1258</v>
      </c>
      <c r="C84" s="844">
        <f t="shared" ref="C84:C88" si="16">+SUMIFS($C$23:$C$81,$B$23:$B$81,B84)</f>
        <v>22829.935900000004</v>
      </c>
    </row>
    <row r="85" spans="1:26">
      <c r="B85" s="814" t="s">
        <v>1259</v>
      </c>
      <c r="C85" s="844">
        <f t="shared" si="16"/>
        <v>5617.982330859646</v>
      </c>
    </row>
    <row r="86" spans="1:26">
      <c r="B86" s="814" t="s">
        <v>1260</v>
      </c>
      <c r="C86" s="844">
        <f t="shared" si="16"/>
        <v>33187.195600000006</v>
      </c>
    </row>
    <row r="87" spans="1:26">
      <c r="B87" s="814" t="s">
        <v>1261</v>
      </c>
      <c r="C87" s="844">
        <f t="shared" si="16"/>
        <v>13906.856025000001</v>
      </c>
    </row>
    <row r="88" spans="1:26">
      <c r="B88" s="832" t="s">
        <v>1262</v>
      </c>
      <c r="C88" s="844">
        <f t="shared" si="16"/>
        <v>1001.6894642857144</v>
      </c>
    </row>
  </sheetData>
  <mergeCells count="26">
    <mergeCell ref="A58:A59"/>
    <mergeCell ref="A64:A68"/>
    <mergeCell ref="A71:A72"/>
    <mergeCell ref="A77:A81"/>
    <mergeCell ref="A17:A18"/>
    <mergeCell ref="A23:A28"/>
    <mergeCell ref="A31:A32"/>
    <mergeCell ref="A37:A42"/>
    <mergeCell ref="A45:A46"/>
    <mergeCell ref="A51:A55"/>
    <mergeCell ref="A14:C14"/>
    <mergeCell ref="A1:C1"/>
    <mergeCell ref="Y1:Y12"/>
    <mergeCell ref="A2:C2"/>
    <mergeCell ref="A3:B4"/>
    <mergeCell ref="A5:C5"/>
    <mergeCell ref="A6:C6"/>
    <mergeCell ref="A7:C7"/>
    <mergeCell ref="A8:C8"/>
    <mergeCell ref="G8:H8"/>
    <mergeCell ref="M8:N8"/>
    <mergeCell ref="A9:C9"/>
    <mergeCell ref="A10:C10"/>
    <mergeCell ref="A11:C11"/>
    <mergeCell ref="A12:C12"/>
    <mergeCell ref="A13:C13"/>
  </mergeCells>
  <conditionalFormatting sqref="D20:U20">
    <cfRule type="colorScale" priority="7">
      <colorScale>
        <cfvo type="min"/>
        <cfvo type="percentile" val="50"/>
        <cfvo type="max"/>
        <color rgb="FF63BE7B"/>
        <color rgb="FFFFEB84"/>
        <color rgb="FFF8696B"/>
      </colorScale>
    </cfRule>
  </conditionalFormatting>
  <conditionalFormatting sqref="D34:U34">
    <cfRule type="colorScale" priority="6">
      <colorScale>
        <cfvo type="min"/>
        <cfvo type="percentile" val="50"/>
        <cfvo type="max"/>
        <color rgb="FF63BE7B"/>
        <color rgb="FFFFEB84"/>
        <color rgb="FFF8696B"/>
      </colorScale>
    </cfRule>
  </conditionalFormatting>
  <conditionalFormatting sqref="D48:U48">
    <cfRule type="colorScale" priority="5">
      <colorScale>
        <cfvo type="min"/>
        <cfvo type="percentile" val="50"/>
        <cfvo type="max"/>
        <color rgb="FF63BE7B"/>
        <color rgb="FFFFEB84"/>
        <color rgb="FFF8696B"/>
      </colorScale>
    </cfRule>
  </conditionalFormatting>
  <conditionalFormatting sqref="D61:U61">
    <cfRule type="colorScale" priority="4">
      <colorScale>
        <cfvo type="min"/>
        <cfvo type="percentile" val="50"/>
        <cfvo type="max"/>
        <color rgb="FF63BE7B"/>
        <color rgb="FFFFEB84"/>
        <color rgb="FFF8696B"/>
      </colorScale>
    </cfRule>
  </conditionalFormatting>
  <conditionalFormatting sqref="D74:U74">
    <cfRule type="colorScale" priority="3">
      <colorScale>
        <cfvo type="min"/>
        <cfvo type="percentile" val="50"/>
        <cfvo type="max"/>
        <color rgb="FF63BE7B"/>
        <color rgb="FFFFEB84"/>
        <color rgb="FFF8696B"/>
      </colorScale>
    </cfRule>
  </conditionalFormatting>
  <conditionalFormatting sqref="D13">
    <cfRule type="cellIs" priority="2" operator="greaterThan">
      <formula>D10*0.8</formula>
    </cfRule>
  </conditionalFormatting>
  <conditionalFormatting sqref="E13:U13">
    <cfRule type="cellIs" priority="1" operator="greaterThan">
      <formula>E10*0.8</formula>
    </cfRule>
  </conditionalFormatting>
  <pageMargins left="0.7" right="0.7" top="0.75" bottom="0.75" header="0.3" footer="0.3"/>
  <pageSetup scale="2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100"/>
  <sheetViews>
    <sheetView view="pageBreakPreview" zoomScale="85" zoomScaleNormal="85" zoomScaleSheetLayoutView="85" workbookViewId="0">
      <pane xSplit="3" ySplit="14" topLeftCell="D15" activePane="bottomRight" state="frozen"/>
      <selection activeCell="A214" sqref="A1:XFD1048576"/>
      <selection pane="topRight" activeCell="A214" sqref="A1:XFD1048576"/>
      <selection pane="bottomLeft" activeCell="A214" sqref="A1:XFD1048576"/>
      <selection pane="bottomRight" activeCell="A214" sqref="A1:XFD1048576"/>
    </sheetView>
  </sheetViews>
  <sheetFormatPr baseColWidth="10" defaultColWidth="11.42578125" defaultRowHeight="15"/>
  <cols>
    <col min="1" max="1" width="11.85546875" style="807" customWidth="1"/>
    <col min="2" max="2" width="12.85546875" style="807" customWidth="1"/>
    <col min="3" max="3" width="11.42578125" style="807"/>
    <col min="4" max="4" width="11.28515625" style="939" customWidth="1"/>
    <col min="5" max="5" width="11.28515625" style="939" hidden="1" customWidth="1"/>
    <col min="6" max="9" width="14.42578125" style="807" hidden="1" customWidth="1"/>
    <col min="10" max="10" width="14.42578125" style="940" hidden="1" customWidth="1"/>
    <col min="11" max="13" width="14.42578125" style="807" hidden="1" customWidth="1"/>
    <col min="14" max="14" width="14.42578125" style="807" customWidth="1"/>
    <col min="15" max="15" width="14.42578125" style="807" hidden="1" customWidth="1"/>
    <col min="16" max="16" width="14.42578125" style="807" customWidth="1"/>
    <col min="17" max="17" width="14.42578125" style="940" hidden="1" customWidth="1"/>
    <col min="18" max="21" width="14.42578125" style="807" hidden="1" customWidth="1"/>
    <col min="22" max="22" width="14.42578125" style="807" customWidth="1"/>
    <col min="23" max="29" width="14.42578125" style="807" hidden="1" customWidth="1"/>
    <col min="30" max="30" width="21.5703125" style="866" customWidth="1"/>
    <col min="31" max="31" width="22" style="866" customWidth="1"/>
    <col min="32" max="32" width="17.28515625" style="866" customWidth="1"/>
    <col min="33" max="33" width="21.28515625" style="866" customWidth="1"/>
    <col min="34" max="34" width="21.5703125" style="866" customWidth="1"/>
    <col min="35" max="35" width="9.28515625" style="807" bestFit="1" customWidth="1"/>
    <col min="36" max="16384" width="11.42578125" style="807"/>
  </cols>
  <sheetData>
    <row r="1" spans="1:113" s="738" customFormat="1" ht="45">
      <c r="A1" s="1714" t="s">
        <v>1199</v>
      </c>
      <c r="B1" s="1715"/>
      <c r="C1" s="1716"/>
      <c r="D1" s="867" t="s">
        <v>1270</v>
      </c>
      <c r="E1" s="868" t="s">
        <v>1271</v>
      </c>
      <c r="F1" s="735" t="s">
        <v>1272</v>
      </c>
      <c r="G1" s="735" t="s">
        <v>1273</v>
      </c>
      <c r="H1" s="735" t="s">
        <v>1274</v>
      </c>
      <c r="I1" s="735" t="s">
        <v>1275</v>
      </c>
      <c r="J1" s="869" t="s">
        <v>1276</v>
      </c>
      <c r="K1" s="735" t="s">
        <v>1277</v>
      </c>
      <c r="L1" s="735" t="s">
        <v>1278</v>
      </c>
      <c r="M1" s="735" t="s">
        <v>1279</v>
      </c>
      <c r="N1" s="735" t="s">
        <v>1280</v>
      </c>
      <c r="O1" s="735" t="s">
        <v>1281</v>
      </c>
      <c r="P1" s="735" t="s">
        <v>1282</v>
      </c>
      <c r="Q1" s="869" t="s">
        <v>1283</v>
      </c>
      <c r="R1" s="735" t="s">
        <v>1284</v>
      </c>
      <c r="S1" s="735" t="s">
        <v>1285</v>
      </c>
      <c r="T1" s="735" t="s">
        <v>1286</v>
      </c>
      <c r="U1" s="735" t="s">
        <v>1287</v>
      </c>
      <c r="V1" s="735" t="s">
        <v>1288</v>
      </c>
      <c r="W1" s="735" t="s">
        <v>1289</v>
      </c>
      <c r="X1" s="735" t="s">
        <v>1290</v>
      </c>
      <c r="Y1" s="735" t="s">
        <v>1291</v>
      </c>
      <c r="Z1" s="735" t="s">
        <v>1292</v>
      </c>
      <c r="AA1" s="735" t="s">
        <v>1293</v>
      </c>
      <c r="AB1" s="735" t="s">
        <v>1294</v>
      </c>
      <c r="AC1" s="735" t="s">
        <v>1295</v>
      </c>
      <c r="AD1" s="850" t="s">
        <v>1296</v>
      </c>
      <c r="AE1" s="850" t="s">
        <v>1297</v>
      </c>
      <c r="AF1" s="850" t="s">
        <v>1298</v>
      </c>
      <c r="AG1" s="850" t="s">
        <v>1299</v>
      </c>
      <c r="AH1" s="850" t="s">
        <v>1300</v>
      </c>
      <c r="AI1" s="1717" t="s">
        <v>1221</v>
      </c>
    </row>
    <row r="2" spans="1:113" s="743" customFormat="1">
      <c r="A2" s="1720" t="s">
        <v>1222</v>
      </c>
      <c r="B2" s="1721"/>
      <c r="C2" s="1722"/>
      <c r="D2" s="870"/>
      <c r="E2" s="871"/>
      <c r="F2" s="740"/>
      <c r="G2" s="740">
        <v>1</v>
      </c>
      <c r="H2" s="740"/>
      <c r="I2" s="740">
        <v>1</v>
      </c>
      <c r="J2" s="872"/>
      <c r="K2" s="740"/>
      <c r="L2" s="740"/>
      <c r="M2" s="740">
        <v>4.5</v>
      </c>
      <c r="N2" s="740"/>
      <c r="O2" s="740"/>
      <c r="P2" s="740">
        <v>0.5</v>
      </c>
      <c r="Q2" s="872"/>
      <c r="R2" s="740">
        <v>1.3</v>
      </c>
      <c r="S2" s="740">
        <v>3</v>
      </c>
      <c r="T2" s="740">
        <v>1.8</v>
      </c>
      <c r="U2" s="740">
        <v>1.4</v>
      </c>
      <c r="V2" s="740">
        <v>2.2999999999999998</v>
      </c>
      <c r="W2" s="740"/>
      <c r="X2" s="740"/>
      <c r="Y2" s="740">
        <v>1</v>
      </c>
      <c r="Z2" s="740">
        <v>3.8</v>
      </c>
      <c r="AA2" s="740">
        <v>1.2</v>
      </c>
      <c r="AB2" s="740"/>
      <c r="AC2" s="740">
        <v>6.5</v>
      </c>
      <c r="AD2" s="851"/>
      <c r="AE2" s="851"/>
      <c r="AF2" s="851"/>
      <c r="AG2" s="851"/>
      <c r="AH2" s="851">
        <v>6</v>
      </c>
      <c r="AI2" s="1718"/>
    </row>
    <row r="3" spans="1:113" s="743" customFormat="1" ht="15" customHeight="1">
      <c r="A3" s="1723" t="s">
        <v>1223</v>
      </c>
      <c r="B3" s="1724"/>
      <c r="C3" s="744" t="s">
        <v>1224</v>
      </c>
      <c r="D3" s="870"/>
      <c r="E3" s="871"/>
      <c r="F3" s="740"/>
      <c r="G3" s="740"/>
      <c r="H3" s="740"/>
      <c r="I3" s="740"/>
      <c r="J3" s="872"/>
      <c r="K3" s="740"/>
      <c r="L3" s="740"/>
      <c r="M3" s="740"/>
      <c r="N3" s="745"/>
      <c r="O3" s="740"/>
      <c r="P3" s="740"/>
      <c r="Q3" s="872"/>
      <c r="R3" s="740"/>
      <c r="S3" s="740"/>
      <c r="T3" s="740"/>
      <c r="U3" s="745"/>
      <c r="V3" s="740"/>
      <c r="W3" s="740"/>
      <c r="X3" s="740"/>
      <c r="Y3" s="740"/>
      <c r="Z3" s="740"/>
      <c r="AA3" s="740"/>
      <c r="AB3" s="740"/>
      <c r="AC3" s="740"/>
      <c r="AD3" s="851"/>
      <c r="AE3" s="851"/>
      <c r="AF3" s="851"/>
      <c r="AG3" s="851"/>
      <c r="AH3" s="851"/>
      <c r="AI3" s="1718"/>
    </row>
    <row r="4" spans="1:113" s="743" customFormat="1">
      <c r="A4" s="1723"/>
      <c r="B4" s="1724"/>
      <c r="C4" s="744" t="s">
        <v>1225</v>
      </c>
      <c r="D4" s="870"/>
      <c r="E4" s="871"/>
      <c r="F4" s="740"/>
      <c r="G4" s="740"/>
      <c r="H4" s="740"/>
      <c r="I4" s="740"/>
      <c r="J4" s="872"/>
      <c r="K4" s="740"/>
      <c r="L4" s="740"/>
      <c r="M4" s="740"/>
      <c r="N4" s="740"/>
      <c r="O4" s="740"/>
      <c r="P4" s="740"/>
      <c r="Q4" s="872"/>
      <c r="R4" s="740"/>
      <c r="S4" s="740"/>
      <c r="T4" s="740"/>
      <c r="U4" s="740"/>
      <c r="V4" s="740"/>
      <c r="W4" s="740"/>
      <c r="X4" s="740"/>
      <c r="Y4" s="740"/>
      <c r="Z4" s="740"/>
      <c r="AA4" s="740"/>
      <c r="AB4" s="740"/>
      <c r="AC4" s="740"/>
      <c r="AD4" s="851"/>
      <c r="AE4" s="851"/>
      <c r="AF4" s="851"/>
      <c r="AG4" s="851"/>
      <c r="AH4" s="851"/>
      <c r="AI4" s="1718"/>
    </row>
    <row r="5" spans="1:113" s="743" customFormat="1">
      <c r="A5" s="1720" t="s">
        <v>1226</v>
      </c>
      <c r="B5" s="1721"/>
      <c r="C5" s="1722"/>
      <c r="D5" s="873">
        <v>85950</v>
      </c>
      <c r="E5" s="874">
        <v>85500</v>
      </c>
      <c r="F5" s="747">
        <v>5200</v>
      </c>
      <c r="G5" s="747">
        <v>9930</v>
      </c>
      <c r="H5" s="747">
        <v>8900</v>
      </c>
      <c r="I5" s="747">
        <v>9000</v>
      </c>
      <c r="J5" s="875">
        <v>15500</v>
      </c>
      <c r="K5" s="747">
        <v>16000</v>
      </c>
      <c r="L5" s="747">
        <v>23200</v>
      </c>
      <c r="M5" s="747">
        <v>25800</v>
      </c>
      <c r="N5" s="747">
        <v>43400</v>
      </c>
      <c r="O5" s="747">
        <v>45000</v>
      </c>
      <c r="P5" s="747">
        <v>47500</v>
      </c>
      <c r="Q5" s="875">
        <v>51000</v>
      </c>
      <c r="R5" s="747">
        <v>40000</v>
      </c>
      <c r="S5" s="747">
        <v>48800</v>
      </c>
      <c r="T5" s="747">
        <v>53650</v>
      </c>
      <c r="U5" s="747">
        <v>52350</v>
      </c>
      <c r="V5" s="747">
        <v>53730</v>
      </c>
      <c r="W5" s="747">
        <v>30000</v>
      </c>
      <c r="X5" s="747">
        <v>63700</v>
      </c>
      <c r="Y5" s="747">
        <v>72000</v>
      </c>
      <c r="Z5" s="747">
        <v>75000</v>
      </c>
      <c r="AA5" s="747">
        <v>84150</v>
      </c>
      <c r="AB5" s="747">
        <v>89920</v>
      </c>
      <c r="AC5" s="750">
        <v>89920</v>
      </c>
      <c r="AD5" s="852">
        <v>89950</v>
      </c>
      <c r="AE5" s="852">
        <v>28000</v>
      </c>
      <c r="AF5" s="852">
        <v>38000</v>
      </c>
      <c r="AG5" s="852">
        <v>71000</v>
      </c>
      <c r="AH5" s="852">
        <v>76800</v>
      </c>
      <c r="AI5" s="1718"/>
    </row>
    <row r="6" spans="1:113" s="743" customFormat="1">
      <c r="A6" s="1725" t="s">
        <v>1227</v>
      </c>
      <c r="B6" s="1726"/>
      <c r="C6" s="1727"/>
      <c r="D6" s="876">
        <v>4514</v>
      </c>
      <c r="E6" s="877">
        <v>4514</v>
      </c>
      <c r="F6" s="754">
        <v>4515</v>
      </c>
      <c r="G6" s="754">
        <v>4515</v>
      </c>
      <c r="H6" s="754">
        <v>4515</v>
      </c>
      <c r="I6" s="754">
        <v>4515</v>
      </c>
      <c r="J6" s="878">
        <v>4515</v>
      </c>
      <c r="K6" s="754">
        <v>4515</v>
      </c>
      <c r="L6" s="754">
        <v>4515</v>
      </c>
      <c r="M6" s="754">
        <v>4515</v>
      </c>
      <c r="N6" s="754">
        <v>4515</v>
      </c>
      <c r="O6" s="754">
        <v>4515</v>
      </c>
      <c r="P6" s="754">
        <v>4514</v>
      </c>
      <c r="Q6" s="878">
        <v>4514</v>
      </c>
      <c r="R6" s="754">
        <v>4514</v>
      </c>
      <c r="S6" s="754">
        <v>4515</v>
      </c>
      <c r="T6" s="754">
        <v>4515</v>
      </c>
      <c r="U6" s="754">
        <v>4515</v>
      </c>
      <c r="V6" s="754">
        <v>4515</v>
      </c>
      <c r="W6" s="754">
        <v>4515</v>
      </c>
      <c r="X6" s="754">
        <v>4515</v>
      </c>
      <c r="Y6" s="754">
        <v>4515</v>
      </c>
      <c r="Z6" s="754">
        <v>4515</v>
      </c>
      <c r="AA6" s="754">
        <v>4515</v>
      </c>
      <c r="AB6" s="754">
        <v>4515</v>
      </c>
      <c r="AC6" s="754">
        <v>4515</v>
      </c>
      <c r="AD6" s="756">
        <v>4514</v>
      </c>
      <c r="AE6" s="756">
        <v>4515</v>
      </c>
      <c r="AF6" s="756">
        <v>4515</v>
      </c>
      <c r="AG6" s="756">
        <v>4515</v>
      </c>
      <c r="AH6" s="756">
        <v>4515</v>
      </c>
      <c r="AI6" s="1718"/>
    </row>
    <row r="7" spans="1:113" s="738" customFormat="1" ht="45">
      <c r="A7" s="1728" t="s">
        <v>1228</v>
      </c>
      <c r="B7" s="1729"/>
      <c r="C7" s="1730"/>
      <c r="D7" s="879" t="s">
        <v>1301</v>
      </c>
      <c r="E7" s="880" t="s">
        <v>1301</v>
      </c>
      <c r="F7" s="853" t="s">
        <v>759</v>
      </c>
      <c r="G7" s="853" t="s">
        <v>1302</v>
      </c>
      <c r="H7" s="853" t="s">
        <v>759</v>
      </c>
      <c r="I7" s="853" t="s">
        <v>759</v>
      </c>
      <c r="J7" s="881" t="s">
        <v>1302</v>
      </c>
      <c r="K7" s="853" t="s">
        <v>1302</v>
      </c>
      <c r="L7" s="882" t="s">
        <v>1302</v>
      </c>
      <c r="M7" s="882" t="s">
        <v>1302</v>
      </c>
      <c r="N7" s="853" t="s">
        <v>1302</v>
      </c>
      <c r="O7" s="853" t="s">
        <v>1302</v>
      </c>
      <c r="P7" s="853" t="s">
        <v>1302</v>
      </c>
      <c r="Q7" s="881" t="s">
        <v>1302</v>
      </c>
      <c r="R7" s="853" t="s">
        <v>1302</v>
      </c>
      <c r="S7" s="882" t="s">
        <v>1302</v>
      </c>
      <c r="T7" s="882" t="s">
        <v>1302</v>
      </c>
      <c r="U7" s="853" t="s">
        <v>1302</v>
      </c>
      <c r="V7" s="853" t="s">
        <v>1302</v>
      </c>
      <c r="W7" s="853" t="s">
        <v>1302</v>
      </c>
      <c r="X7" s="882" t="s">
        <v>1302</v>
      </c>
      <c r="Y7" s="882" t="s">
        <v>1302</v>
      </c>
      <c r="Z7" s="853" t="s">
        <v>1302</v>
      </c>
      <c r="AA7" s="853" t="s">
        <v>1302</v>
      </c>
      <c r="AB7" s="853" t="s">
        <v>1302</v>
      </c>
      <c r="AC7" s="853" t="s">
        <v>1302</v>
      </c>
      <c r="AD7" s="854" t="s">
        <v>758</v>
      </c>
      <c r="AE7" s="854" t="s">
        <v>758</v>
      </c>
      <c r="AF7" s="854" t="s">
        <v>1303</v>
      </c>
      <c r="AG7" s="854" t="s">
        <v>758</v>
      </c>
      <c r="AH7" s="854" t="s">
        <v>758</v>
      </c>
      <c r="AI7" s="1718"/>
    </row>
    <row r="8" spans="1:113" s="890" customFormat="1">
      <c r="A8" s="1746" t="s">
        <v>1233</v>
      </c>
      <c r="B8" s="1747"/>
      <c r="C8" s="1748"/>
      <c r="D8" s="883">
        <v>42866</v>
      </c>
      <c r="E8" s="884">
        <v>44123</v>
      </c>
      <c r="F8" s="885">
        <v>42987</v>
      </c>
      <c r="G8" s="885">
        <v>42452</v>
      </c>
      <c r="H8" s="885">
        <v>43049</v>
      </c>
      <c r="I8" s="885">
        <v>43242</v>
      </c>
      <c r="J8" s="886">
        <v>43172</v>
      </c>
      <c r="K8" s="885">
        <v>43336</v>
      </c>
      <c r="L8" s="885">
        <v>43172</v>
      </c>
      <c r="M8" s="885">
        <v>43326</v>
      </c>
      <c r="N8" s="885">
        <v>43325</v>
      </c>
      <c r="O8" s="885">
        <v>43082</v>
      </c>
      <c r="P8" s="885">
        <v>43543</v>
      </c>
      <c r="Q8" s="886">
        <v>43608</v>
      </c>
      <c r="R8" s="885">
        <v>43326</v>
      </c>
      <c r="S8" s="887">
        <v>43081</v>
      </c>
      <c r="T8" s="887">
        <v>43578</v>
      </c>
      <c r="U8" s="885" t="s">
        <v>1304</v>
      </c>
      <c r="V8" s="885">
        <v>43594</v>
      </c>
      <c r="W8" s="885">
        <v>43172</v>
      </c>
      <c r="X8" s="887">
        <v>43543</v>
      </c>
      <c r="Y8" s="887">
        <v>42937</v>
      </c>
      <c r="Z8" s="885">
        <v>43543</v>
      </c>
      <c r="AA8" s="885">
        <v>43543</v>
      </c>
      <c r="AB8" s="885">
        <v>43543</v>
      </c>
      <c r="AC8" s="888">
        <v>43543</v>
      </c>
      <c r="AD8" s="889"/>
      <c r="AE8" s="889"/>
      <c r="AF8" s="889"/>
      <c r="AG8" s="889"/>
      <c r="AH8" s="889"/>
      <c r="AI8" s="1718"/>
    </row>
    <row r="9" spans="1:113" s="899" customFormat="1" ht="30">
      <c r="A9" s="1749" t="s">
        <v>1235</v>
      </c>
      <c r="B9" s="1750"/>
      <c r="C9" s="1751"/>
      <c r="D9" s="891">
        <v>42705</v>
      </c>
      <c r="E9" s="892" t="s">
        <v>1236</v>
      </c>
      <c r="F9" s="893" t="s">
        <v>1238</v>
      </c>
      <c r="G9" s="893">
        <v>42675</v>
      </c>
      <c r="H9" s="893">
        <v>42522</v>
      </c>
      <c r="I9" s="893">
        <v>42675</v>
      </c>
      <c r="J9" s="894" t="s">
        <v>1238</v>
      </c>
      <c r="K9" s="893" t="s">
        <v>1238</v>
      </c>
      <c r="L9" s="895">
        <v>42339</v>
      </c>
      <c r="M9" s="895" t="s">
        <v>1238</v>
      </c>
      <c r="N9" s="896">
        <v>42583</v>
      </c>
      <c r="O9" s="893" t="s">
        <v>1238</v>
      </c>
      <c r="P9" s="896">
        <v>42675</v>
      </c>
      <c r="Q9" s="894" t="s">
        <v>1238</v>
      </c>
      <c r="R9" s="893" t="s">
        <v>1238</v>
      </c>
      <c r="S9" s="895" t="s">
        <v>1238</v>
      </c>
      <c r="T9" s="895" t="s">
        <v>1238</v>
      </c>
      <c r="U9" s="893" t="s">
        <v>1238</v>
      </c>
      <c r="V9" s="896">
        <v>42736</v>
      </c>
      <c r="W9" s="893" t="s">
        <v>1238</v>
      </c>
      <c r="X9" s="895" t="s">
        <v>1238</v>
      </c>
      <c r="Y9" s="895" t="s">
        <v>1238</v>
      </c>
      <c r="Z9" s="893" t="s">
        <v>1238</v>
      </c>
      <c r="AA9" s="893" t="s">
        <v>1238</v>
      </c>
      <c r="AB9" s="893" t="s">
        <v>1238</v>
      </c>
      <c r="AC9" s="893" t="s">
        <v>1238</v>
      </c>
      <c r="AD9" s="897" t="s">
        <v>1240</v>
      </c>
      <c r="AE9" s="897" t="s">
        <v>1239</v>
      </c>
      <c r="AF9" s="897" t="s">
        <v>1239</v>
      </c>
      <c r="AG9" s="898" t="s">
        <v>1305</v>
      </c>
      <c r="AH9" s="897" t="s">
        <v>1239</v>
      </c>
      <c r="AI9" s="1718"/>
    </row>
    <row r="10" spans="1:113" s="743" customFormat="1">
      <c r="A10" s="1734" t="s">
        <v>1241</v>
      </c>
      <c r="B10" s="1735"/>
      <c r="C10" s="1736"/>
      <c r="D10" s="900">
        <v>635000</v>
      </c>
      <c r="E10" s="901">
        <v>500000</v>
      </c>
      <c r="F10" s="783">
        <v>97989</v>
      </c>
      <c r="G10" s="783">
        <v>813529</v>
      </c>
      <c r="H10" s="783">
        <v>205501</v>
      </c>
      <c r="I10" s="783">
        <v>1137397</v>
      </c>
      <c r="J10" s="783">
        <v>168256</v>
      </c>
      <c r="K10" s="783">
        <v>1120376</v>
      </c>
      <c r="L10" s="783">
        <v>1317583</v>
      </c>
      <c r="M10" s="783">
        <v>350000</v>
      </c>
      <c r="N10" s="783">
        <v>532000</v>
      </c>
      <c r="O10" s="902">
        <v>562085</v>
      </c>
      <c r="P10" s="783">
        <v>392340</v>
      </c>
      <c r="Q10" s="903">
        <v>562085</v>
      </c>
      <c r="R10" s="783">
        <v>167000</v>
      </c>
      <c r="S10" s="783">
        <v>28618</v>
      </c>
      <c r="T10" s="783">
        <v>354109</v>
      </c>
      <c r="U10" s="783">
        <v>429161.02</v>
      </c>
      <c r="V10" s="902">
        <v>185718.07</v>
      </c>
      <c r="W10" s="855">
        <v>17648</v>
      </c>
      <c r="X10" s="855">
        <v>359342</v>
      </c>
      <c r="Y10" s="855">
        <v>239000</v>
      </c>
      <c r="Z10" s="783">
        <v>1091221</v>
      </c>
      <c r="AA10" s="783">
        <v>999377</v>
      </c>
      <c r="AB10" s="783">
        <v>684432</v>
      </c>
      <c r="AC10" s="787">
        <v>9980477</v>
      </c>
      <c r="AD10" s="852"/>
      <c r="AE10" s="852"/>
      <c r="AF10" s="852"/>
      <c r="AG10" s="852"/>
      <c r="AH10" s="852"/>
      <c r="AI10" s="1718"/>
    </row>
    <row r="11" spans="1:113" s="743" customFormat="1">
      <c r="A11" s="1734" t="s">
        <v>1243</v>
      </c>
      <c r="B11" s="1735"/>
      <c r="C11" s="1736"/>
      <c r="D11" s="904">
        <v>118798</v>
      </c>
      <c r="E11" s="901">
        <v>0</v>
      </c>
      <c r="F11" s="784">
        <v>0</v>
      </c>
      <c r="G11" s="784">
        <v>245323</v>
      </c>
      <c r="H11" s="784">
        <v>26523</v>
      </c>
      <c r="I11" s="784">
        <v>6782</v>
      </c>
      <c r="J11" s="784">
        <v>19345</v>
      </c>
      <c r="K11" s="784">
        <v>0</v>
      </c>
      <c r="L11" s="784">
        <v>20872</v>
      </c>
      <c r="M11" s="784">
        <v>0</v>
      </c>
      <c r="N11" s="784">
        <v>0</v>
      </c>
      <c r="O11" s="784">
        <v>0</v>
      </c>
      <c r="P11" s="783">
        <v>238573</v>
      </c>
      <c r="Q11" s="903">
        <v>0</v>
      </c>
      <c r="R11" s="783">
        <v>0</v>
      </c>
      <c r="S11" s="783">
        <v>0</v>
      </c>
      <c r="T11" s="783">
        <v>0</v>
      </c>
      <c r="U11" s="783">
        <v>0</v>
      </c>
      <c r="V11" s="784">
        <v>20836</v>
      </c>
      <c r="W11" s="783">
        <v>0</v>
      </c>
      <c r="X11" s="783">
        <v>0</v>
      </c>
      <c r="Y11" s="783">
        <v>0</v>
      </c>
      <c r="Z11" s="783">
        <v>0</v>
      </c>
      <c r="AA11" s="784">
        <v>0</v>
      </c>
      <c r="AB11" s="784">
        <v>0</v>
      </c>
      <c r="AC11" s="787">
        <v>0</v>
      </c>
      <c r="AD11" s="852"/>
      <c r="AE11" s="852"/>
      <c r="AF11" s="852"/>
      <c r="AG11" s="852"/>
      <c r="AH11" s="852"/>
      <c r="AI11" s="1718"/>
    </row>
    <row r="12" spans="1:113" s="743" customFormat="1">
      <c r="A12" s="1712" t="s">
        <v>1244</v>
      </c>
      <c r="B12" s="1713"/>
      <c r="C12" s="1737"/>
      <c r="D12" s="905">
        <v>516202</v>
      </c>
      <c r="E12" s="906">
        <v>500000</v>
      </c>
      <c r="F12" s="790">
        <v>97989</v>
      </c>
      <c r="G12" s="790">
        <v>578206</v>
      </c>
      <c r="H12" s="790">
        <v>178978</v>
      </c>
      <c r="I12" s="790">
        <v>1130615</v>
      </c>
      <c r="J12" s="790">
        <v>148911</v>
      </c>
      <c r="K12" s="790">
        <v>1120376</v>
      </c>
      <c r="L12" s="790">
        <v>1296711</v>
      </c>
      <c r="M12" s="790">
        <v>350000</v>
      </c>
      <c r="N12" s="790">
        <v>532000</v>
      </c>
      <c r="O12" s="790">
        <v>562085</v>
      </c>
      <c r="P12" s="790">
        <v>153767</v>
      </c>
      <c r="Q12" s="907">
        <v>562085</v>
      </c>
      <c r="R12" s="790">
        <v>167000</v>
      </c>
      <c r="S12" s="790">
        <v>28618</v>
      </c>
      <c r="T12" s="790">
        <v>354000</v>
      </c>
      <c r="U12" s="790">
        <v>429161</v>
      </c>
      <c r="V12" s="790">
        <v>206554</v>
      </c>
      <c r="W12" s="790">
        <v>17648</v>
      </c>
      <c r="X12" s="790">
        <v>359342</v>
      </c>
      <c r="Y12" s="790">
        <v>239000</v>
      </c>
      <c r="Z12" s="790">
        <v>1091221</v>
      </c>
      <c r="AA12" s="790">
        <v>999377</v>
      </c>
      <c r="AB12" s="790">
        <v>684432</v>
      </c>
      <c r="AC12" s="792">
        <v>9980477</v>
      </c>
      <c r="AD12" s="856"/>
      <c r="AE12" s="856"/>
      <c r="AF12" s="856"/>
      <c r="AG12" s="856"/>
      <c r="AH12" s="856"/>
      <c r="AI12" s="1719"/>
    </row>
    <row r="13" spans="1:113" s="743" customFormat="1">
      <c r="A13" s="1752" t="s">
        <v>1245</v>
      </c>
      <c r="B13" s="1753"/>
      <c r="C13" s="1754"/>
      <c r="D13" s="908">
        <f>+D14+D11</f>
        <v>133178.18816666666</v>
      </c>
      <c r="E13" s="909">
        <f t="shared" ref="E13:AC13" si="0">+E14+E11</f>
        <v>0</v>
      </c>
      <c r="F13" s="795">
        <f t="shared" si="0"/>
        <v>0</v>
      </c>
      <c r="G13" s="795">
        <f t="shared" si="0"/>
        <v>245323</v>
      </c>
      <c r="H13" s="795">
        <f t="shared" si="0"/>
        <v>26523</v>
      </c>
      <c r="I13" s="795">
        <f t="shared" si="0"/>
        <v>6782</v>
      </c>
      <c r="J13" s="795">
        <f t="shared" si="0"/>
        <v>19345</v>
      </c>
      <c r="K13" s="795">
        <f t="shared" si="0"/>
        <v>0</v>
      </c>
      <c r="L13" s="795">
        <f t="shared" si="0"/>
        <v>20872</v>
      </c>
      <c r="M13" s="795">
        <f t="shared" si="0"/>
        <v>0</v>
      </c>
      <c r="N13" s="795">
        <f t="shared" si="0"/>
        <v>0</v>
      </c>
      <c r="O13" s="795">
        <f t="shared" si="0"/>
        <v>0</v>
      </c>
      <c r="P13" s="795">
        <f t="shared" si="0"/>
        <v>238573</v>
      </c>
      <c r="Q13" s="910">
        <f t="shared" si="0"/>
        <v>0</v>
      </c>
      <c r="R13" s="795">
        <f t="shared" si="0"/>
        <v>0</v>
      </c>
      <c r="S13" s="795">
        <f t="shared" si="0"/>
        <v>0</v>
      </c>
      <c r="T13" s="795">
        <f t="shared" si="0"/>
        <v>0</v>
      </c>
      <c r="U13" s="795">
        <f t="shared" si="0"/>
        <v>0</v>
      </c>
      <c r="V13" s="795">
        <f t="shared" si="0"/>
        <v>29609.256616666666</v>
      </c>
      <c r="W13" s="911">
        <f t="shared" si="0"/>
        <v>0</v>
      </c>
      <c r="X13" s="911">
        <f t="shared" si="0"/>
        <v>0</v>
      </c>
      <c r="Y13" s="911">
        <f t="shared" si="0"/>
        <v>0</v>
      </c>
      <c r="Z13" s="911">
        <f t="shared" si="0"/>
        <v>0</v>
      </c>
      <c r="AA13" s="911">
        <f t="shared" si="0"/>
        <v>0</v>
      </c>
      <c r="AB13" s="911">
        <f t="shared" si="0"/>
        <v>0</v>
      </c>
      <c r="AC13" s="912">
        <f t="shared" si="0"/>
        <v>0</v>
      </c>
      <c r="AD13" s="796"/>
      <c r="AE13" s="796"/>
      <c r="AF13" s="796"/>
      <c r="AG13" s="796"/>
      <c r="AH13" s="796"/>
      <c r="AI13" s="857"/>
    </row>
    <row r="14" spans="1:113" s="743" customFormat="1">
      <c r="A14" s="1755" t="s">
        <v>1246</v>
      </c>
      <c r="B14" s="1756"/>
      <c r="C14" s="1757"/>
      <c r="D14" s="790">
        <f>SUMIFS(D$23:D$97,$B$23:$B$97,"Terraplen")*FACTORES!$C$10+SUMIFS(D$23:D$97,$B$23:$B$97,"Coronas")*FACTORES!$C$10+SUMIFS(D$23:D$97,$B$23:$B$97,"Subbase/Base")*FACTORES!$C$6+SUMIFS(D$23:D$97,$B$23:$B$97,"Pavimento")*FACTORES!$C$3</f>
        <v>14380.18816666667</v>
      </c>
      <c r="E14" s="906">
        <f>SUMIFS(E$23:E$97,$B$23:$B$97,"Terraplen")*FACTORES!$C$10+SUMIFS(E$23:E$97,$B$23:$B$97,"Coronas")*FACTORES!$C$10+SUMIFS(E$23:E$97,$B$23:$B$97,"Subbase/Base")*FACTORES!$C$6+SUMIFS(E$23:E$97,$B$23:$B$97,"Pavimento")*FACTORES!$C$3</f>
        <v>0</v>
      </c>
      <c r="F14" s="790">
        <f>SUMIFS(F$23:F$97,$B$23:$B$97,"Terraplen")*FACTORES!$C$10+SUMIFS(F$23:F$97,$B$23:$B$97,"Coronas")*FACTORES!$C$10+SUMIFS(F$23:F$97,$B$23:$B$97,"Subbase/Base")*FACTORES!$C$6+SUMIFS(F$23:F$97,$B$23:$B$97,"Pavimento")*FACTORES!$C$3</f>
        <v>0</v>
      </c>
      <c r="G14" s="790">
        <f>SUMIFS(G$23:G$97,$B$23:$B$97,"Terraplen")*FACTORES!$C$10+SUMIFS(G$23:G$97,$B$23:$B$97,"Coronas")*FACTORES!$C$10+SUMIFS(G$23:G$97,$B$23:$B$97,"Subbase/Base")*FACTORES!$C$6+SUMIFS(G$23:G$97,$B$23:$B$97,"Pavimento")*FACTORES!$C$3</f>
        <v>0</v>
      </c>
      <c r="H14" s="790">
        <f>SUMIFS(H$23:H$97,$B$23:$B$97,"Terraplen")*FACTORES!$C$10+SUMIFS(H$23:H$97,$B$23:$B$97,"Coronas")*FACTORES!$C$10+SUMIFS(H$23:H$97,$B$23:$B$97,"Subbase/Base")*FACTORES!$C$6+SUMIFS(H$23:H$97,$B$23:$B$97,"Pavimento")*FACTORES!$C$3</f>
        <v>0</v>
      </c>
      <c r="I14" s="790">
        <f>SUMIFS(I$23:I$97,$B$23:$B$97,"Terraplen")*FACTORES!$C$10+SUMIFS(I$23:I$97,$B$23:$B$97,"Coronas")*FACTORES!$C$10+SUMIFS(I$23:I$97,$B$23:$B$97,"Subbase/Base")*FACTORES!$C$6+SUMIFS(I$23:I$97,$B$23:$B$97,"Pavimento")*FACTORES!$C$3</f>
        <v>0</v>
      </c>
      <c r="J14" s="790">
        <f>SUMIFS(J$23:J$97,$B$23:$B$97,"Terraplen")*FACTORES!$C$10+SUMIFS(J$23:J$97,$B$23:$B$97,"Coronas")*FACTORES!$C$10+SUMIFS(J$23:J$97,$B$23:$B$97,"Subbase/Base")*FACTORES!$C$6+SUMIFS(J$23:J$97,$B$23:$B$97,"Pavimento")*FACTORES!$C$3</f>
        <v>0</v>
      </c>
      <c r="K14" s="790">
        <f>SUMIFS(K$23:K$97,$B$23:$B$97,"Terraplen")*FACTORES!$C$10+SUMIFS(K$23:K$97,$B$23:$B$97,"Coronas")*FACTORES!$C$10+SUMIFS(K$23:K$97,$B$23:$B$97,"Subbase/Base")*FACTORES!$C$6+SUMIFS(K$23:K$97,$B$23:$B$97,"Pavimento")*FACTORES!$C$3</f>
        <v>0</v>
      </c>
      <c r="L14" s="790">
        <f>SUMIFS(L$23:L$97,$B$23:$B$97,"Terraplen")*FACTORES!$C$10+SUMIFS(L$23:L$97,$B$23:$B$97,"Coronas")*FACTORES!$C$10+SUMIFS(L$23:L$97,$B$23:$B$97,"Subbase/Base")*FACTORES!$C$6+SUMIFS(L$23:L$97,$B$23:$B$97,"Pavimento")*FACTORES!$C$3</f>
        <v>0</v>
      </c>
      <c r="M14" s="790">
        <f>SUMIFS(M$23:M$97,$B$23:$B$97,"Terraplen")*FACTORES!$C$10+SUMIFS(M$23:M$97,$B$23:$B$97,"Coronas")*FACTORES!$C$10+SUMIFS(M$23:M$97,$B$23:$B$97,"Subbase/Base")*FACTORES!$C$6+SUMIFS(M$23:M$97,$B$23:$B$97,"Pavimento")*FACTORES!$C$3</f>
        <v>0</v>
      </c>
      <c r="N14" s="790">
        <f>SUMIFS(N$23:N$97,$B$23:$B$97,"Terraplen")*FACTORES!$C$10+SUMIFS(N$23:N$97,$B$23:$B$97,"Coronas")*FACTORES!$C$10+SUMIFS(N$23:N$97,$B$23:$B$97,"Subbase/Base")*FACTORES!$C$6+SUMIFS(N$23:N$97,$B$23:$B$97,"Pavimento")*FACTORES!$C$3</f>
        <v>0</v>
      </c>
      <c r="O14" s="790">
        <f>SUMIFS(O$23:O$97,$B$23:$B$97,"Terraplen")*FACTORES!$C$10+SUMIFS(O$23:O$97,$B$23:$B$97,"Coronas")*FACTORES!$C$10+SUMIFS(O$23:O$97,$B$23:$B$97,"Subbase/Base")*FACTORES!$C$6+SUMIFS(O$23:O$97,$B$23:$B$97,"Pavimento")*FACTORES!$C$3</f>
        <v>0</v>
      </c>
      <c r="P14" s="790">
        <f>SUMIFS(P$23:P$97,$B$23:$B$97,"Terraplen")*FACTORES!$C$10+SUMIFS(P$23:P$97,$B$23:$B$97,"Coronas")*FACTORES!$C$10+SUMIFS(P$23:P$97,$B$23:$B$97,"Subbase/Base")*FACTORES!$C$6+SUMIFS(P$23:P$97,$B$23:$B$97,"Pavimento")*FACTORES!$C$3</f>
        <v>0</v>
      </c>
      <c r="Q14" s="907">
        <f>SUMIFS(Q$23:Q$97,$B$23:$B$97,"Terraplen")*FACTORES!$C$10+SUMIFS(Q$23:Q$97,$B$23:$B$97,"Coronas")*FACTORES!$C$10+SUMIFS(Q$23:Q$97,$B$23:$B$97,"Subbase/Base")*FACTORES!$C$6+SUMIFS(Q$23:Q$97,$B$23:$B$97,"Pavimento")*FACTORES!$C$3</f>
        <v>0</v>
      </c>
      <c r="R14" s="790">
        <f>SUMIFS(R$23:R$97,$B$23:$B$97,"Terraplen")*FACTORES!$C$10+SUMIFS(R$23:R$97,$B$23:$B$97,"Coronas")*FACTORES!$C$10+SUMIFS(R$23:R$97,$B$23:$B$97,"Subbase/Base")*FACTORES!$C$6+SUMIFS(R$23:R$97,$B$23:$B$97,"Pavimento")*FACTORES!$C$3</f>
        <v>0</v>
      </c>
      <c r="S14" s="790">
        <f>SUMIFS(S$23:S$97,$B$23:$B$97,"Terraplen")*FACTORES!$C$10+SUMIFS(S$23:S$97,$B$23:$B$97,"Coronas")*FACTORES!$C$10+SUMIFS(S$23:S$97,$B$23:$B$97,"Subbase/Base")*FACTORES!$C$6+SUMIFS(S$23:S$97,$B$23:$B$97,"Pavimento")*FACTORES!$C$3</f>
        <v>0</v>
      </c>
      <c r="T14" s="790">
        <f>SUMIFS(T$23:T$97,$B$23:$B$97,"Terraplen")*FACTORES!$C$10+SUMIFS(T$23:T$97,$B$23:$B$97,"Coronas")*FACTORES!$C$10+SUMIFS(T$23:T$97,$B$23:$B$97,"Subbase/Base")*FACTORES!$C$6+SUMIFS(T$23:T$97,$B$23:$B$97,"Pavimento")*FACTORES!$C$3</f>
        <v>0</v>
      </c>
      <c r="U14" s="790">
        <f>SUMIFS(U$23:U$97,$B$23:$B$97,"Terraplen")*FACTORES!$C$10+SUMIFS(U$23:U$97,$B$23:$B$97,"Coronas")*FACTORES!$C$10+SUMIFS(U$23:U$97,$B$23:$B$97,"Subbase/Base")*FACTORES!$C$6+SUMIFS(U$23:U$97,$B$23:$B$97,"Pavimento")*FACTORES!$C$3</f>
        <v>0</v>
      </c>
      <c r="V14" s="790">
        <f>SUMIFS(V$23:V$97,$B$23:$B$97,"Terraplen")*FACTORES!$C$10+SUMIFS(V$23:V$97,$B$23:$B$97,"Coronas")*FACTORES!$C$10+SUMIFS(V$23:V$97,$B$23:$B$97,"Subbase/Base")*FACTORES!$C$6+SUMIFS(V$23:V$97,$B$23:$B$97,"Pavimento")*FACTORES!$C$3</f>
        <v>8773.2566166666675</v>
      </c>
      <c r="W14" s="790">
        <f>SUMIFS(W$23:W$97,$B$23:$B$97,"Terraplen")*FACTORES!$C$10+SUMIFS(W$23:W$97,$B$23:$B$97,"Coronas")*FACTORES!$C$10+SUMIFS(W$23:W$97,$B$23:$B$97,"Subbase/Base")*FACTORES!$C$6+SUMIFS(W$23:W$97,$B$23:$B$97,"Pavimento")*FACTORES!$C$3</f>
        <v>0</v>
      </c>
      <c r="X14" s="790">
        <f>SUMIFS(X$23:X$97,$B$23:$B$97,"Terraplen")*FACTORES!$C$10+SUMIFS(X$23:X$97,$B$23:$B$97,"Coronas")*FACTORES!$C$10+SUMIFS(X$23:X$97,$B$23:$B$97,"Subbase/Base")*FACTORES!$C$6+SUMIFS(X$23:X$97,$B$23:$B$97,"Pavimento")*FACTORES!$C$3</f>
        <v>0</v>
      </c>
      <c r="Y14" s="790">
        <f>SUMIFS(Y$23:Y$97,$B$23:$B$97,"Terraplen")*FACTORES!$C$10+SUMIFS(Y$23:Y$97,$B$23:$B$97,"Coronas")*FACTORES!$C$10+SUMIFS(Y$23:Y$97,$B$23:$B$97,"Subbase/Base")*FACTORES!$C$6+SUMIFS(Y$23:Y$97,$B$23:$B$97,"Pavimento")*FACTORES!$C$3</f>
        <v>0</v>
      </c>
      <c r="Z14" s="790">
        <f>SUMIFS(Z$23:Z$97,$B$23:$B$97,"Terraplen")*FACTORES!$C$10+SUMIFS(Z$23:Z$97,$B$23:$B$97,"Coronas")*FACTORES!$C$10+SUMIFS(Z$23:Z$97,$B$23:$B$97,"Subbase/Base")*FACTORES!$C$6+SUMIFS(Z$23:Z$97,$B$23:$B$97,"Pavimento")*FACTORES!$C$3</f>
        <v>0</v>
      </c>
      <c r="AA14" s="790">
        <f>SUMIFS(AA$23:AA$97,$B$23:$B$97,"Terraplen")*FACTORES!$C$10+SUMIFS(AA$23:AA$97,$B$23:$B$97,"Coronas")*FACTORES!$C$10+SUMIFS(AA$23:AA$97,$B$23:$B$97,"Subbase/Base")*FACTORES!$C$6+SUMIFS(AA$23:AA$97,$B$23:$B$97,"Pavimento")*FACTORES!$C$3</f>
        <v>0</v>
      </c>
      <c r="AB14" s="790">
        <f>SUMIFS(AB$23:AB$97,$B$23:$B$97,"Terraplen")*FACTORES!$C$10+SUMIFS(AB$23:AB$97,$B$23:$B$97,"Coronas")*FACTORES!$C$10+SUMIFS(AB$23:AB$97,$B$23:$B$97,"Subbase/Base")*FACTORES!$C$6+SUMIFS(AB$23:AB$97,$B$23:$B$97,"Pavimento")*FACTORES!$C$3</f>
        <v>0</v>
      </c>
      <c r="AC14" s="792">
        <f>SUMIFS(AC$23:AC$97,$B$23:$B$97,"Terraplen")*FACTORES!$C$10+SUMIFS(AC$23:AC$97,$B$23:$B$97,"Coronas")*FACTORES!$C$10+SUMIFS(AC$23:AC$97,$B$23:$B$97,"Subbase/Base")*FACTORES!$C$6+SUMIFS(AC$23:AC$97,$B$23:$B$97,"Pavimento")*FACTORES!$C$3</f>
        <v>0</v>
      </c>
      <c r="AD14" s="793"/>
      <c r="AE14" s="793"/>
      <c r="AF14" s="793"/>
      <c r="AG14" s="793"/>
      <c r="AH14" s="793"/>
      <c r="AI14" s="858"/>
    </row>
    <row r="15" spans="1:113">
      <c r="A15" s="799" t="s">
        <v>1247</v>
      </c>
      <c r="B15" s="800"/>
      <c r="C15" s="801" t="s">
        <v>1306</v>
      </c>
      <c r="D15" s="913"/>
      <c r="E15" s="914"/>
      <c r="F15" s="803"/>
      <c r="G15" s="803"/>
      <c r="H15" s="803"/>
      <c r="I15" s="803"/>
      <c r="J15" s="915"/>
      <c r="K15" s="803"/>
      <c r="L15" s="803"/>
      <c r="M15" s="803"/>
      <c r="N15" s="803"/>
      <c r="O15" s="803"/>
      <c r="P15" s="803"/>
      <c r="Q15" s="915"/>
      <c r="R15" s="803"/>
      <c r="S15" s="803"/>
      <c r="T15" s="803"/>
      <c r="U15" s="803"/>
      <c r="V15" s="803"/>
      <c r="W15" s="803"/>
      <c r="X15" s="803"/>
      <c r="Y15" s="803"/>
      <c r="Z15" s="803"/>
      <c r="AA15" s="803"/>
      <c r="AB15" s="803"/>
      <c r="AC15" s="803"/>
      <c r="AD15" s="859"/>
      <c r="AE15" s="859"/>
      <c r="AF15" s="859"/>
      <c r="AG15" s="859"/>
      <c r="AH15" s="859"/>
      <c r="AI15" s="860"/>
      <c r="AJ15" s="806"/>
      <c r="AK15" s="806"/>
      <c r="AL15" s="806"/>
      <c r="AM15" s="806"/>
      <c r="AN15" s="806"/>
      <c r="AO15" s="806"/>
      <c r="AP15" s="806"/>
      <c r="AQ15" s="806"/>
      <c r="AR15" s="806"/>
      <c r="AS15" s="806"/>
      <c r="AT15" s="806"/>
      <c r="AU15" s="806"/>
      <c r="AV15" s="806"/>
      <c r="AW15" s="806"/>
      <c r="AX15" s="806"/>
      <c r="AY15" s="806"/>
      <c r="AZ15" s="806"/>
      <c r="BA15" s="806"/>
      <c r="BB15" s="806"/>
      <c r="BC15" s="806"/>
      <c r="BD15" s="806"/>
      <c r="BE15" s="806"/>
      <c r="BF15" s="806"/>
      <c r="BG15" s="806"/>
      <c r="BH15" s="806"/>
      <c r="BI15" s="806"/>
      <c r="BJ15" s="806"/>
      <c r="BK15" s="806"/>
      <c r="BL15" s="806"/>
      <c r="BM15" s="806"/>
      <c r="BN15" s="806"/>
      <c r="BO15" s="806"/>
      <c r="BP15" s="806"/>
      <c r="BQ15" s="806"/>
      <c r="BR15" s="806"/>
      <c r="BS15" s="806"/>
      <c r="BT15" s="806"/>
      <c r="BU15" s="806"/>
      <c r="BV15" s="806"/>
      <c r="BW15" s="806"/>
      <c r="BX15" s="806"/>
      <c r="BY15" s="806"/>
      <c r="BZ15" s="806"/>
      <c r="CA15" s="806"/>
      <c r="CB15" s="806"/>
      <c r="CC15" s="806"/>
      <c r="CD15" s="806"/>
      <c r="CE15" s="806"/>
      <c r="CF15" s="806"/>
      <c r="CG15" s="806"/>
      <c r="CH15" s="806"/>
      <c r="CI15" s="806"/>
      <c r="CJ15" s="806"/>
      <c r="CK15" s="806"/>
      <c r="CL15" s="806"/>
      <c r="CM15" s="806"/>
      <c r="CN15" s="806"/>
      <c r="CO15" s="806"/>
      <c r="CP15" s="806"/>
      <c r="CQ15" s="806"/>
      <c r="CR15" s="806"/>
      <c r="CS15" s="806"/>
      <c r="CT15" s="806"/>
      <c r="CU15" s="806"/>
      <c r="CV15" s="806"/>
      <c r="CW15" s="806"/>
      <c r="CX15" s="806"/>
      <c r="CY15" s="806"/>
      <c r="CZ15" s="806"/>
      <c r="DA15" s="806"/>
      <c r="DB15" s="806"/>
      <c r="DC15" s="806"/>
      <c r="DD15" s="806"/>
      <c r="DE15" s="806"/>
      <c r="DF15" s="806"/>
      <c r="DG15" s="806"/>
      <c r="DH15" s="806"/>
      <c r="DI15" s="806"/>
    </row>
    <row r="16" spans="1:113">
      <c r="A16" s="808" t="s">
        <v>1227</v>
      </c>
      <c r="B16" s="809"/>
      <c r="C16" s="810">
        <v>4515</v>
      </c>
      <c r="D16" s="916"/>
      <c r="E16" s="917"/>
      <c r="F16" s="812"/>
      <c r="G16" s="812"/>
      <c r="H16" s="812"/>
      <c r="I16" s="812"/>
      <c r="J16" s="918"/>
      <c r="K16" s="812"/>
      <c r="L16" s="812"/>
      <c r="M16" s="812"/>
      <c r="N16" s="812"/>
      <c r="O16" s="812"/>
      <c r="P16" s="812"/>
      <c r="Q16" s="918"/>
      <c r="R16" s="812"/>
      <c r="S16" s="812"/>
      <c r="T16" s="812"/>
      <c r="U16" s="812"/>
      <c r="V16" s="812"/>
      <c r="W16" s="812"/>
      <c r="X16" s="812"/>
      <c r="Y16" s="812"/>
      <c r="Z16" s="812"/>
      <c r="AA16" s="812"/>
      <c r="AB16" s="812"/>
      <c r="AC16" s="812"/>
      <c r="AD16" s="861"/>
      <c r="AE16" s="861"/>
      <c r="AF16" s="861"/>
      <c r="AG16" s="861"/>
      <c r="AH16" s="861"/>
      <c r="AI16" s="860"/>
      <c r="AJ16" s="806"/>
      <c r="AK16" s="806"/>
      <c r="AL16" s="806"/>
      <c r="AM16" s="806"/>
      <c r="AN16" s="806"/>
      <c r="AO16" s="806"/>
      <c r="AP16" s="806"/>
      <c r="AQ16" s="806"/>
      <c r="AR16" s="806"/>
      <c r="AS16" s="806"/>
      <c r="AT16" s="806"/>
      <c r="AU16" s="806"/>
      <c r="AV16" s="806"/>
      <c r="AW16" s="806"/>
      <c r="AX16" s="806"/>
      <c r="AY16" s="806"/>
      <c r="AZ16" s="806"/>
      <c r="BA16" s="806"/>
      <c r="BB16" s="806"/>
      <c r="BC16" s="806"/>
      <c r="BD16" s="806"/>
      <c r="BE16" s="806"/>
      <c r="BF16" s="806"/>
      <c r="BG16" s="806"/>
      <c r="BH16" s="806"/>
      <c r="BI16" s="806"/>
      <c r="BJ16" s="806"/>
      <c r="BK16" s="806"/>
      <c r="BL16" s="806"/>
      <c r="BM16" s="806"/>
      <c r="BN16" s="806"/>
      <c r="BO16" s="806"/>
      <c r="BP16" s="806"/>
      <c r="BQ16" s="806"/>
      <c r="BR16" s="806"/>
      <c r="BS16" s="806"/>
      <c r="BT16" s="806"/>
      <c r="BU16" s="806"/>
      <c r="BV16" s="806"/>
      <c r="BW16" s="806"/>
      <c r="BX16" s="806"/>
      <c r="BY16" s="806"/>
      <c r="BZ16" s="806"/>
      <c r="CA16" s="806"/>
      <c r="CB16" s="806"/>
      <c r="CC16" s="806"/>
      <c r="CD16" s="806"/>
      <c r="CE16" s="806"/>
      <c r="CF16" s="806"/>
      <c r="CG16" s="806"/>
      <c r="CH16" s="806"/>
      <c r="CI16" s="806"/>
      <c r="CJ16" s="806"/>
      <c r="CK16" s="806"/>
      <c r="CL16" s="806"/>
      <c r="CM16" s="806"/>
      <c r="CN16" s="806"/>
      <c r="CO16" s="806"/>
      <c r="CP16" s="806"/>
      <c r="CQ16" s="806"/>
      <c r="CR16" s="806"/>
      <c r="CS16" s="806"/>
      <c r="CT16" s="806"/>
      <c r="CU16" s="806"/>
      <c r="CV16" s="806"/>
      <c r="CW16" s="806"/>
      <c r="CX16" s="806"/>
      <c r="CY16" s="806"/>
      <c r="CZ16" s="806"/>
      <c r="DA16" s="806"/>
      <c r="DB16" s="806"/>
      <c r="DC16" s="806"/>
      <c r="DD16" s="806"/>
      <c r="DE16" s="806"/>
      <c r="DF16" s="806"/>
      <c r="DG16" s="806"/>
      <c r="DH16" s="806"/>
      <c r="DI16" s="806"/>
    </row>
    <row r="17" spans="1:113" ht="15" customHeight="1">
      <c r="A17" s="1740" t="s">
        <v>1249</v>
      </c>
      <c r="B17" s="814" t="s">
        <v>1250</v>
      </c>
      <c r="C17" s="815">
        <v>410</v>
      </c>
      <c r="D17" s="919"/>
      <c r="E17" s="920"/>
      <c r="F17" s="817"/>
      <c r="G17" s="817"/>
      <c r="H17" s="817"/>
      <c r="I17" s="817"/>
      <c r="J17" s="921"/>
      <c r="K17" s="817"/>
      <c r="L17" s="817"/>
      <c r="M17" s="817"/>
      <c r="N17" s="817"/>
      <c r="O17" s="817"/>
      <c r="P17" s="817"/>
      <c r="Q17" s="921"/>
      <c r="R17" s="817"/>
      <c r="S17" s="817"/>
      <c r="T17" s="817"/>
      <c r="U17" s="817"/>
      <c r="V17" s="817"/>
      <c r="W17" s="817"/>
      <c r="X17" s="817"/>
      <c r="Y17" s="817"/>
      <c r="Z17" s="817"/>
      <c r="AA17" s="817"/>
      <c r="AB17" s="817"/>
      <c r="AC17" s="817"/>
      <c r="AD17" s="852"/>
      <c r="AE17" s="852"/>
      <c r="AF17" s="852"/>
      <c r="AG17" s="852"/>
      <c r="AH17" s="852"/>
      <c r="AI17" s="860"/>
      <c r="AJ17" s="806"/>
      <c r="AK17" s="806"/>
      <c r="AL17" s="806"/>
      <c r="AM17" s="806"/>
      <c r="AN17" s="806"/>
      <c r="AO17" s="806"/>
      <c r="AP17" s="806"/>
      <c r="AQ17" s="806"/>
      <c r="AR17" s="806"/>
      <c r="AS17" s="806"/>
      <c r="AT17" s="806"/>
      <c r="AU17" s="806"/>
      <c r="AV17" s="806"/>
      <c r="AW17" s="806"/>
      <c r="AX17" s="806"/>
      <c r="AY17" s="806"/>
      <c r="AZ17" s="806"/>
      <c r="BA17" s="806"/>
      <c r="BB17" s="806"/>
      <c r="BC17" s="806"/>
      <c r="BD17" s="806"/>
      <c r="BE17" s="806"/>
      <c r="BF17" s="806"/>
      <c r="BG17" s="806"/>
      <c r="BH17" s="806"/>
      <c r="BI17" s="806"/>
      <c r="BJ17" s="806"/>
      <c r="BK17" s="806"/>
      <c r="BL17" s="806"/>
      <c r="BM17" s="806"/>
      <c r="BN17" s="806"/>
      <c r="BO17" s="806"/>
      <c r="BP17" s="806"/>
      <c r="BQ17" s="806"/>
      <c r="BR17" s="806"/>
      <c r="BS17" s="806"/>
      <c r="BT17" s="806"/>
      <c r="BU17" s="806"/>
      <c r="BV17" s="806"/>
      <c r="BW17" s="806"/>
      <c r="BX17" s="806"/>
      <c r="BY17" s="806"/>
      <c r="BZ17" s="806"/>
      <c r="CA17" s="806"/>
      <c r="CB17" s="806"/>
      <c r="CC17" s="806"/>
      <c r="CD17" s="806"/>
      <c r="CE17" s="806"/>
      <c r="CF17" s="806"/>
      <c r="CG17" s="806"/>
      <c r="CH17" s="806"/>
      <c r="CI17" s="806"/>
      <c r="CJ17" s="806"/>
      <c r="CK17" s="806"/>
      <c r="CL17" s="806"/>
      <c r="CM17" s="806"/>
      <c r="CN17" s="806"/>
      <c r="CO17" s="806"/>
      <c r="CP17" s="806"/>
      <c r="CQ17" s="806"/>
      <c r="CR17" s="806"/>
      <c r="CS17" s="806"/>
      <c r="CT17" s="806"/>
      <c r="CU17" s="806"/>
      <c r="CV17" s="806"/>
      <c r="CW17" s="806"/>
      <c r="CX17" s="806"/>
      <c r="CY17" s="806"/>
      <c r="CZ17" s="806"/>
      <c r="DA17" s="806"/>
      <c r="DB17" s="806"/>
      <c r="DC17" s="806"/>
      <c r="DD17" s="806"/>
      <c r="DE17" s="806"/>
      <c r="DF17" s="806"/>
      <c r="DG17" s="806"/>
      <c r="DH17" s="806"/>
      <c r="DI17" s="806"/>
    </row>
    <row r="18" spans="1:113">
      <c r="A18" s="1740"/>
      <c r="B18" s="814" t="s">
        <v>1251</v>
      </c>
      <c r="C18" s="815">
        <v>11000</v>
      </c>
      <c r="D18" s="919"/>
      <c r="E18" s="920"/>
      <c r="F18" s="817"/>
      <c r="G18" s="817"/>
      <c r="H18" s="817"/>
      <c r="I18" s="817"/>
      <c r="J18" s="921"/>
      <c r="K18" s="817"/>
      <c r="L18" s="817"/>
      <c r="M18" s="817"/>
      <c r="N18" s="817"/>
      <c r="O18" s="817"/>
      <c r="P18" s="817"/>
      <c r="Q18" s="921"/>
      <c r="R18" s="817"/>
      <c r="S18" s="817"/>
      <c r="T18" s="817"/>
      <c r="U18" s="817"/>
      <c r="V18" s="817"/>
      <c r="W18" s="817"/>
      <c r="X18" s="817"/>
      <c r="Y18" s="817"/>
      <c r="Z18" s="817"/>
      <c r="AA18" s="817"/>
      <c r="AB18" s="817"/>
      <c r="AC18" s="817"/>
      <c r="AD18" s="862"/>
      <c r="AE18" s="862"/>
      <c r="AF18" s="862"/>
      <c r="AG18" s="862"/>
      <c r="AH18" s="862"/>
      <c r="AI18" s="863"/>
    </row>
    <row r="19" spans="1:113">
      <c r="A19" s="819" t="s">
        <v>1252</v>
      </c>
      <c r="B19" s="820"/>
      <c r="C19" s="815">
        <f>+(C18-C17)/2+C17</f>
        <v>5705</v>
      </c>
      <c r="D19" s="919"/>
      <c r="E19" s="920"/>
      <c r="F19" s="817"/>
      <c r="G19" s="817"/>
      <c r="H19" s="817"/>
      <c r="I19" s="817"/>
      <c r="J19" s="921"/>
      <c r="K19" s="817"/>
      <c r="L19" s="817"/>
      <c r="M19" s="817"/>
      <c r="N19" s="817"/>
      <c r="O19" s="817"/>
      <c r="P19" s="817"/>
      <c r="Q19" s="921"/>
      <c r="R19" s="817"/>
      <c r="S19" s="817"/>
      <c r="T19" s="817"/>
      <c r="U19" s="817"/>
      <c r="V19" s="817"/>
      <c r="W19" s="817"/>
      <c r="X19" s="817"/>
      <c r="Y19" s="817"/>
      <c r="Z19" s="817"/>
      <c r="AA19" s="817"/>
      <c r="AB19" s="817"/>
      <c r="AC19" s="817"/>
      <c r="AD19" s="862"/>
      <c r="AE19" s="862"/>
      <c r="AF19" s="862"/>
      <c r="AG19" s="862"/>
      <c r="AH19" s="862"/>
      <c r="AI19" s="863"/>
    </row>
    <row r="20" spans="1:113">
      <c r="A20" s="819" t="s">
        <v>1253</v>
      </c>
      <c r="B20" s="820"/>
      <c r="C20" s="821"/>
      <c r="D20" s="922">
        <f>IF(D22&gt;D21,(D22-D21)+D$2+D$3,(D21-D22)+D$2+D$4)/1000</f>
        <v>20.754999999999999</v>
      </c>
      <c r="E20" s="923">
        <f t="shared" ref="E20:AG20" si="1">IF(E22&gt;E21,(E22-E21)+E$2+E$3,(E21-E22)+E$2+E$4)/1000</f>
        <v>21.204999999999998</v>
      </c>
      <c r="F20" s="823">
        <f t="shared" si="1"/>
        <v>0.505</v>
      </c>
      <c r="G20" s="823">
        <f t="shared" si="1"/>
        <v>4.226</v>
      </c>
      <c r="H20" s="823">
        <f t="shared" si="1"/>
        <v>3.1949999999999998</v>
      </c>
      <c r="I20" s="823">
        <f t="shared" si="1"/>
        <v>3.2959999999999998</v>
      </c>
      <c r="J20" s="924">
        <f t="shared" si="1"/>
        <v>9.7949999999999999</v>
      </c>
      <c r="K20" s="823">
        <f t="shared" si="1"/>
        <v>10.295</v>
      </c>
      <c r="L20" s="823">
        <f t="shared" si="1"/>
        <v>17.495000000000001</v>
      </c>
      <c r="M20" s="823">
        <f t="shared" si="1"/>
        <v>20.099499999999999</v>
      </c>
      <c r="N20" s="823">
        <f t="shared" si="1"/>
        <v>37.695</v>
      </c>
      <c r="O20" s="823">
        <f t="shared" si="1"/>
        <v>39.295000000000002</v>
      </c>
      <c r="P20" s="823">
        <f t="shared" si="1"/>
        <v>59.205500000000001</v>
      </c>
      <c r="Q20" s="924">
        <f t="shared" si="1"/>
        <v>55.704999999999998</v>
      </c>
      <c r="R20" s="823">
        <f t="shared" si="1"/>
        <v>66.706299999999999</v>
      </c>
      <c r="S20" s="823">
        <f t="shared" si="1"/>
        <v>43.097999999999999</v>
      </c>
      <c r="T20" s="823">
        <f t="shared" si="1"/>
        <v>47.946800000000003</v>
      </c>
      <c r="U20" s="823">
        <f t="shared" si="1"/>
        <v>46.6464</v>
      </c>
      <c r="V20" s="823">
        <f t="shared" si="1"/>
        <v>48.027300000000004</v>
      </c>
      <c r="W20" s="823">
        <f t="shared" si="1"/>
        <v>24.295000000000002</v>
      </c>
      <c r="X20" s="823">
        <f t="shared" si="1"/>
        <v>57.994999999999997</v>
      </c>
      <c r="Y20" s="823">
        <f t="shared" si="1"/>
        <v>66.296000000000006</v>
      </c>
      <c r="Z20" s="823">
        <f t="shared" si="1"/>
        <v>69.2988</v>
      </c>
      <c r="AA20" s="823">
        <f t="shared" si="1"/>
        <v>78.44619999999999</v>
      </c>
      <c r="AB20" s="823">
        <f t="shared" si="1"/>
        <v>84.215000000000003</v>
      </c>
      <c r="AC20" s="823">
        <f t="shared" si="1"/>
        <v>84.221500000000006</v>
      </c>
      <c r="AD20" s="824">
        <f t="shared" si="1"/>
        <v>16.754999999999999</v>
      </c>
      <c r="AE20" s="824">
        <f t="shared" si="1"/>
        <v>22.295000000000002</v>
      </c>
      <c r="AF20" s="824">
        <f t="shared" si="1"/>
        <v>32.295000000000002</v>
      </c>
      <c r="AG20" s="824">
        <f t="shared" si="1"/>
        <v>65.295000000000002</v>
      </c>
      <c r="AH20" s="824">
        <f>IF(AH22&gt;AH21,(AH22-AH21)+AH$2+AH$3,(AH21-AH22)+AH$2+AH$4)/1000</f>
        <v>71.100999999999999</v>
      </c>
      <c r="AI20" s="863"/>
    </row>
    <row r="21" spans="1:113" hidden="1">
      <c r="A21" s="825" t="s">
        <v>1254</v>
      </c>
      <c r="B21" s="826"/>
      <c r="C21" s="827"/>
      <c r="D21" s="873">
        <f>+IF($C16=4514,IF(D$6=4514,$C19,$C19),IF(D$6=4515,$C19+101000,101000+$C19))</f>
        <v>106705</v>
      </c>
      <c r="E21" s="873">
        <f t="shared" ref="E21:AH21" si="2">+IF($C16=4514,IF(E$6=4514,$C19,$C19),IF(E$6=4515,$C19+101000,101000+$C19))</f>
        <v>106705</v>
      </c>
      <c r="F21" s="746">
        <f t="shared" si="2"/>
        <v>106705</v>
      </c>
      <c r="G21" s="746">
        <f t="shared" si="2"/>
        <v>106705</v>
      </c>
      <c r="H21" s="746">
        <f t="shared" si="2"/>
        <v>106705</v>
      </c>
      <c r="I21" s="746">
        <f t="shared" si="2"/>
        <v>106705</v>
      </c>
      <c r="J21" s="925">
        <f t="shared" si="2"/>
        <v>106705</v>
      </c>
      <c r="K21" s="746">
        <f t="shared" si="2"/>
        <v>106705</v>
      </c>
      <c r="L21" s="746">
        <f t="shared" si="2"/>
        <v>106705</v>
      </c>
      <c r="M21" s="746">
        <f t="shared" si="2"/>
        <v>106705</v>
      </c>
      <c r="N21" s="746">
        <f t="shared" si="2"/>
        <v>106705</v>
      </c>
      <c r="O21" s="746">
        <f t="shared" si="2"/>
        <v>106705</v>
      </c>
      <c r="P21" s="746">
        <f t="shared" si="2"/>
        <v>106705</v>
      </c>
      <c r="Q21" s="925">
        <f t="shared" si="2"/>
        <v>106705</v>
      </c>
      <c r="R21" s="746">
        <f t="shared" si="2"/>
        <v>106705</v>
      </c>
      <c r="S21" s="746">
        <f t="shared" si="2"/>
        <v>106705</v>
      </c>
      <c r="T21" s="746">
        <f t="shared" si="2"/>
        <v>106705</v>
      </c>
      <c r="U21" s="746">
        <f t="shared" si="2"/>
        <v>106705</v>
      </c>
      <c r="V21" s="746">
        <f t="shared" si="2"/>
        <v>106705</v>
      </c>
      <c r="W21" s="746">
        <f t="shared" si="2"/>
        <v>106705</v>
      </c>
      <c r="X21" s="746">
        <f t="shared" si="2"/>
        <v>106705</v>
      </c>
      <c r="Y21" s="746">
        <f t="shared" si="2"/>
        <v>106705</v>
      </c>
      <c r="Z21" s="746">
        <f t="shared" si="2"/>
        <v>106705</v>
      </c>
      <c r="AA21" s="746">
        <f t="shared" si="2"/>
        <v>106705</v>
      </c>
      <c r="AB21" s="746">
        <f t="shared" si="2"/>
        <v>106705</v>
      </c>
      <c r="AC21" s="746">
        <f t="shared" si="2"/>
        <v>106705</v>
      </c>
      <c r="AD21" s="828">
        <f t="shared" si="2"/>
        <v>106705</v>
      </c>
      <c r="AE21" s="828">
        <f t="shared" si="2"/>
        <v>106705</v>
      </c>
      <c r="AF21" s="828">
        <f t="shared" si="2"/>
        <v>106705</v>
      </c>
      <c r="AG21" s="828">
        <f t="shared" si="2"/>
        <v>106705</v>
      </c>
      <c r="AH21" s="828">
        <f t="shared" si="2"/>
        <v>106705</v>
      </c>
      <c r="AI21" s="863"/>
    </row>
    <row r="22" spans="1:113" hidden="1">
      <c r="A22" s="825" t="s">
        <v>1255</v>
      </c>
      <c r="B22" s="926"/>
      <c r="C22" s="927"/>
      <c r="D22" s="928">
        <f>+IF($C16=4514,IF(D$6=4514,D$5,D$5+101000),IF(D$6=4515,D$5+101000,D$5))</f>
        <v>85950</v>
      </c>
      <c r="E22" s="928">
        <f t="shared" ref="E22:AH22" si="3">+IF($C16=4514,IF(E$6=4514,E$5,E$5+101000),IF(E$6=4515,E$5+101000,E$5))</f>
        <v>85500</v>
      </c>
      <c r="F22" s="929">
        <f t="shared" si="3"/>
        <v>106200</v>
      </c>
      <c r="G22" s="929">
        <f t="shared" si="3"/>
        <v>110930</v>
      </c>
      <c r="H22" s="929">
        <f t="shared" si="3"/>
        <v>109900</v>
      </c>
      <c r="I22" s="929">
        <f t="shared" si="3"/>
        <v>110000</v>
      </c>
      <c r="J22" s="930">
        <f t="shared" si="3"/>
        <v>116500</v>
      </c>
      <c r="K22" s="929">
        <f t="shared" si="3"/>
        <v>117000</v>
      </c>
      <c r="L22" s="929">
        <f t="shared" si="3"/>
        <v>124200</v>
      </c>
      <c r="M22" s="929">
        <f t="shared" si="3"/>
        <v>126800</v>
      </c>
      <c r="N22" s="929">
        <f t="shared" si="3"/>
        <v>144400</v>
      </c>
      <c r="O22" s="929">
        <f t="shared" si="3"/>
        <v>146000</v>
      </c>
      <c r="P22" s="929">
        <f t="shared" si="3"/>
        <v>47500</v>
      </c>
      <c r="Q22" s="930">
        <f t="shared" si="3"/>
        <v>51000</v>
      </c>
      <c r="R22" s="929">
        <f t="shared" si="3"/>
        <v>40000</v>
      </c>
      <c r="S22" s="929">
        <f t="shared" si="3"/>
        <v>149800</v>
      </c>
      <c r="T22" s="929">
        <f t="shared" si="3"/>
        <v>154650</v>
      </c>
      <c r="U22" s="929">
        <f t="shared" si="3"/>
        <v>153350</v>
      </c>
      <c r="V22" s="929">
        <f t="shared" si="3"/>
        <v>154730</v>
      </c>
      <c r="W22" s="929">
        <f t="shared" si="3"/>
        <v>131000</v>
      </c>
      <c r="X22" s="929">
        <f t="shared" si="3"/>
        <v>164700</v>
      </c>
      <c r="Y22" s="929">
        <f t="shared" si="3"/>
        <v>173000</v>
      </c>
      <c r="Z22" s="929">
        <f t="shared" si="3"/>
        <v>176000</v>
      </c>
      <c r="AA22" s="929">
        <f t="shared" si="3"/>
        <v>185150</v>
      </c>
      <c r="AB22" s="929">
        <f t="shared" si="3"/>
        <v>190920</v>
      </c>
      <c r="AC22" s="929">
        <f t="shared" si="3"/>
        <v>190920</v>
      </c>
      <c r="AD22" s="931">
        <f t="shared" si="3"/>
        <v>89950</v>
      </c>
      <c r="AE22" s="931">
        <f t="shared" si="3"/>
        <v>129000</v>
      </c>
      <c r="AF22" s="931">
        <f t="shared" si="3"/>
        <v>139000</v>
      </c>
      <c r="AG22" s="931">
        <f t="shared" si="3"/>
        <v>172000</v>
      </c>
      <c r="AH22" s="931">
        <f t="shared" si="3"/>
        <v>177800</v>
      </c>
      <c r="AI22" s="932"/>
    </row>
    <row r="23" spans="1:113" ht="15" customHeight="1">
      <c r="A23" s="1743" t="s">
        <v>1266</v>
      </c>
      <c r="B23" s="814" t="s">
        <v>1257</v>
      </c>
      <c r="C23" s="829">
        <f>+'CANTIDADES TOTALIZADAS'!BO25</f>
        <v>2852.3056500000025</v>
      </c>
      <c r="D23" s="782">
        <f>$C23*FACTORES!$D$11*FACTORES!$D$25</f>
        <v>4357.6891875000038</v>
      </c>
      <c r="E23" s="901"/>
      <c r="F23" s="783"/>
      <c r="G23" s="783"/>
      <c r="H23" s="783"/>
      <c r="I23" s="783"/>
      <c r="J23" s="933"/>
      <c r="K23" s="783"/>
      <c r="L23" s="783"/>
      <c r="M23" s="783"/>
      <c r="N23" s="783"/>
      <c r="O23" s="783"/>
      <c r="P23" s="783"/>
      <c r="Q23" s="933"/>
      <c r="R23" s="783"/>
      <c r="S23" s="783"/>
      <c r="T23" s="783"/>
      <c r="U23" s="783"/>
      <c r="V23" s="783"/>
      <c r="W23" s="783"/>
      <c r="X23" s="783"/>
      <c r="Y23" s="783"/>
      <c r="Z23" s="783"/>
      <c r="AA23" s="783"/>
      <c r="AB23" s="783"/>
      <c r="AC23" s="783"/>
      <c r="AD23" s="830"/>
      <c r="AE23" s="830"/>
      <c r="AF23" s="830"/>
      <c r="AG23" s="830"/>
      <c r="AH23" s="830"/>
      <c r="AI23" s="864">
        <f>+SUMPRODUCT(D23:AH23,D20:AH20)</f>
        <v>90443.83908656257</v>
      </c>
      <c r="AJ23" s="934">
        <f>$C23*FACTORES!$D$11*FACTORES!$D$25</f>
        <v>4357.6891875000038</v>
      </c>
    </row>
    <row r="24" spans="1:113">
      <c r="A24" s="1744"/>
      <c r="B24" s="814" t="s">
        <v>1258</v>
      </c>
      <c r="C24" s="829">
        <f>+'CANTIDADES TOTALIZADAS'!BO26</f>
        <v>3895.335</v>
      </c>
      <c r="D24" s="782">
        <f>$C24*FACTORES!$D$11*FACTORES!$D$25</f>
        <v>5951.2062500000002</v>
      </c>
      <c r="E24" s="901"/>
      <c r="F24" s="783"/>
      <c r="G24" s="783"/>
      <c r="H24" s="783"/>
      <c r="I24" s="783"/>
      <c r="J24" s="933"/>
      <c r="K24" s="783"/>
      <c r="L24" s="783"/>
      <c r="M24" s="783"/>
      <c r="N24" s="783"/>
      <c r="O24" s="783"/>
      <c r="P24" s="783"/>
      <c r="Q24" s="933"/>
      <c r="R24" s="783"/>
      <c r="S24" s="783"/>
      <c r="T24" s="783"/>
      <c r="U24" s="783"/>
      <c r="V24" s="783"/>
      <c r="W24" s="783"/>
      <c r="X24" s="783"/>
      <c r="Y24" s="783"/>
      <c r="Z24" s="783"/>
      <c r="AA24" s="783"/>
      <c r="AB24" s="783"/>
      <c r="AC24" s="783"/>
      <c r="AD24" s="830"/>
      <c r="AE24" s="830"/>
      <c r="AF24" s="830"/>
      <c r="AG24" s="830"/>
      <c r="AH24" s="830"/>
      <c r="AI24" s="864">
        <f>+SUMPRODUCT(D24:AH24,D20:AH20)</f>
        <v>123517.28571875</v>
      </c>
      <c r="AJ24" s="934">
        <f>$C24*FACTORES!$D$11*FACTORES!$D$25</f>
        <v>5951.2062500000002</v>
      </c>
    </row>
    <row r="25" spans="1:113">
      <c r="A25" s="1744"/>
      <c r="B25" s="814" t="s">
        <v>1259</v>
      </c>
      <c r="C25" s="829">
        <f>+'CANTIDADES TOTALIZADAS'!BO72</f>
        <v>1947.8165631341171</v>
      </c>
      <c r="D25" s="782"/>
      <c r="E25" s="901"/>
      <c r="F25" s="783"/>
      <c r="G25" s="783"/>
      <c r="H25" s="783"/>
      <c r="I25" s="783"/>
      <c r="J25" s="933"/>
      <c r="K25" s="783"/>
      <c r="L25" s="783"/>
      <c r="M25" s="783"/>
      <c r="N25" s="783"/>
      <c r="O25" s="783"/>
      <c r="P25" s="783"/>
      <c r="Q25" s="933"/>
      <c r="R25" s="783"/>
      <c r="S25" s="783"/>
      <c r="T25" s="783"/>
      <c r="U25" s="783"/>
      <c r="V25" s="783"/>
      <c r="W25" s="783"/>
      <c r="X25" s="783"/>
      <c r="Y25" s="783"/>
      <c r="Z25" s="783"/>
      <c r="AA25" s="783"/>
      <c r="AB25" s="783"/>
      <c r="AC25" s="783"/>
      <c r="AD25" s="830">
        <f>+$C25*FACTORES!$D$23*FACTORES!$D$28</f>
        <v>2284.7888285563195</v>
      </c>
      <c r="AE25" s="830"/>
      <c r="AF25" s="830"/>
      <c r="AG25" s="830"/>
      <c r="AH25" s="830"/>
      <c r="AI25" s="864">
        <f>+SUMPRODUCT(D25:AH25,D20:AH20)</f>
        <v>38281.636822461129</v>
      </c>
      <c r="AJ25" s="782">
        <f>+$C25*FACTORES!$D$23*FACTORES!$D$28</f>
        <v>2284.7888285563195</v>
      </c>
    </row>
    <row r="26" spans="1:113">
      <c r="A26" s="1744"/>
      <c r="B26" s="814" t="s">
        <v>1260</v>
      </c>
      <c r="C26" s="829">
        <f>+'CANTIDADES TOTALIZADAS'!BO85</f>
        <v>3214.4580000000001</v>
      </c>
      <c r="D26" s="782"/>
      <c r="E26" s="901"/>
      <c r="F26" s="783"/>
      <c r="G26" s="783"/>
      <c r="H26" s="783"/>
      <c r="I26" s="783"/>
      <c r="J26" s="933"/>
      <c r="K26" s="783"/>
      <c r="L26" s="783"/>
      <c r="M26" s="783"/>
      <c r="N26" s="783"/>
      <c r="O26" s="783"/>
      <c r="P26" s="783"/>
      <c r="Q26" s="933"/>
      <c r="R26" s="783"/>
      <c r="S26" s="783"/>
      <c r="T26" s="783"/>
      <c r="U26" s="783"/>
      <c r="V26" s="783"/>
      <c r="W26" s="783"/>
      <c r="X26" s="783"/>
      <c r="Y26" s="783"/>
      <c r="Z26" s="783"/>
      <c r="AA26" s="783"/>
      <c r="AB26" s="783"/>
      <c r="AC26" s="783"/>
      <c r="AD26" s="830">
        <f>+$C26*FACTORES!$D$7*FACTORES!$D$26</f>
        <v>3924.6289534883726</v>
      </c>
      <c r="AE26" s="830"/>
      <c r="AF26" s="830"/>
      <c r="AG26" s="830"/>
      <c r="AH26" s="830"/>
      <c r="AI26" s="864">
        <f>+SUMPRODUCT(D26:AH26,D20:AH20)</f>
        <v>65757.158115697675</v>
      </c>
      <c r="AJ26" s="934">
        <f>+$C26*FACTORES!$D$7*FACTORES!$D$26</f>
        <v>3924.6289534883726</v>
      </c>
    </row>
    <row r="27" spans="1:113">
      <c r="A27" s="1744"/>
      <c r="B27" s="814" t="s">
        <v>1261</v>
      </c>
      <c r="C27" s="829">
        <f>+'CANTIDADES TOTALIZADAS'!BO93</f>
        <v>2583.2035999999998</v>
      </c>
      <c r="D27" s="782"/>
      <c r="E27" s="901"/>
      <c r="F27" s="783"/>
      <c r="G27" s="783"/>
      <c r="H27" s="783"/>
      <c r="I27" s="783"/>
      <c r="J27" s="933"/>
      <c r="K27" s="783"/>
      <c r="L27" s="783"/>
      <c r="M27" s="783"/>
      <c r="N27" s="783"/>
      <c r="O27" s="783"/>
      <c r="P27" s="783"/>
      <c r="Q27" s="933"/>
      <c r="R27" s="783"/>
      <c r="S27" s="783"/>
      <c r="T27" s="783"/>
      <c r="U27" s="783"/>
      <c r="V27" s="783"/>
      <c r="W27" s="783"/>
      <c r="X27" s="783"/>
      <c r="Y27" s="783"/>
      <c r="Z27" s="783"/>
      <c r="AA27" s="783"/>
      <c r="AB27" s="783"/>
      <c r="AC27" s="783"/>
      <c r="AD27" s="830">
        <f>+$C27*FACTORES!$D$3*FACTORES!$D$27</f>
        <v>3161.8412063999999</v>
      </c>
      <c r="AE27" s="830"/>
      <c r="AF27" s="830"/>
      <c r="AG27" s="830"/>
      <c r="AH27" s="830"/>
      <c r="AI27" s="864">
        <f>+SUMPRODUCT(D27:AH27,D20:AH20)</f>
        <v>52976.649413231993</v>
      </c>
      <c r="AJ27" s="934">
        <f>+$C27*FACTORES!$D$3*FACTORES!$D$27</f>
        <v>3161.8412063999999</v>
      </c>
    </row>
    <row r="28" spans="1:113" s="835" customFormat="1" ht="30">
      <c r="A28" s="1745"/>
      <c r="B28" s="832" t="s">
        <v>1262</v>
      </c>
      <c r="C28" s="833">
        <f>+'CANTIDADES TOTALIZADAS'!BO99</f>
        <v>283.50899999999996</v>
      </c>
      <c r="D28" s="834"/>
      <c r="E28" s="792"/>
      <c r="F28" s="792"/>
      <c r="G28" s="792"/>
      <c r="H28" s="792"/>
      <c r="I28" s="792"/>
      <c r="J28" s="792"/>
      <c r="K28" s="792"/>
      <c r="L28" s="792"/>
      <c r="M28" s="792"/>
      <c r="N28" s="792"/>
      <c r="O28" s="792"/>
      <c r="P28" s="792"/>
      <c r="Q28" s="792"/>
      <c r="R28" s="792"/>
      <c r="S28" s="792"/>
      <c r="T28" s="792"/>
      <c r="U28" s="792"/>
      <c r="V28" s="792"/>
      <c r="W28" s="792"/>
      <c r="X28" s="792"/>
      <c r="Y28" s="792"/>
      <c r="Z28" s="792"/>
      <c r="AA28" s="792"/>
      <c r="AB28" s="792"/>
      <c r="AC28" s="792"/>
      <c r="AD28" s="793">
        <f>+$C28*FACTORES!$D$3</f>
        <v>340.21079999999995</v>
      </c>
      <c r="AE28" s="793"/>
      <c r="AF28" s="793"/>
      <c r="AG28" s="793"/>
      <c r="AH28" s="793"/>
      <c r="AI28" s="935">
        <f>+SUMPRODUCT(D28:AH28,D20:AH20)</f>
        <v>5700.231953999999</v>
      </c>
      <c r="AJ28" s="834">
        <f>+$C28*FACTORES!$D$3</f>
        <v>340.21079999999995</v>
      </c>
    </row>
    <row r="29" spans="1:113">
      <c r="A29" s="799" t="s">
        <v>1247</v>
      </c>
      <c r="B29" s="837"/>
      <c r="C29" s="838" t="s">
        <v>1307</v>
      </c>
      <c r="D29" s="916"/>
      <c r="E29" s="917"/>
      <c r="F29" s="812"/>
      <c r="G29" s="812"/>
      <c r="H29" s="812"/>
      <c r="I29" s="812"/>
      <c r="J29" s="918"/>
      <c r="K29" s="812"/>
      <c r="L29" s="812"/>
      <c r="M29" s="812"/>
      <c r="N29" s="812"/>
      <c r="O29" s="812"/>
      <c r="P29" s="812"/>
      <c r="Q29" s="918"/>
      <c r="R29" s="812"/>
      <c r="S29" s="812"/>
      <c r="T29" s="812"/>
      <c r="U29" s="812"/>
      <c r="V29" s="812"/>
      <c r="W29" s="812"/>
      <c r="X29" s="812"/>
      <c r="Y29" s="812"/>
      <c r="Z29" s="812"/>
      <c r="AA29" s="812"/>
      <c r="AB29" s="812"/>
      <c r="AC29" s="812"/>
      <c r="AD29" s="861"/>
      <c r="AE29" s="861"/>
      <c r="AF29" s="861"/>
      <c r="AG29" s="861"/>
      <c r="AH29" s="861"/>
      <c r="AI29" s="936"/>
      <c r="AJ29" s="806"/>
      <c r="AK29" s="806"/>
      <c r="AL29" s="806"/>
      <c r="AM29" s="806"/>
      <c r="AN29" s="806"/>
      <c r="AO29" s="806"/>
      <c r="AP29" s="806"/>
      <c r="AQ29" s="806"/>
      <c r="AR29" s="806"/>
      <c r="AS29" s="806"/>
      <c r="AT29" s="806"/>
      <c r="AU29" s="806"/>
      <c r="AV29" s="806"/>
      <c r="AW29" s="806"/>
      <c r="AX29" s="806"/>
      <c r="AY29" s="806"/>
      <c r="AZ29" s="806"/>
      <c r="BA29" s="806"/>
      <c r="BB29" s="806"/>
      <c r="BC29" s="806"/>
      <c r="BD29" s="806"/>
      <c r="BE29" s="806"/>
      <c r="BF29" s="806"/>
      <c r="BG29" s="806"/>
      <c r="BH29" s="806"/>
      <c r="BI29" s="806"/>
      <c r="BJ29" s="806"/>
      <c r="BK29" s="806"/>
      <c r="BL29" s="806"/>
      <c r="BM29" s="806"/>
      <c r="BN29" s="806"/>
      <c r="BO29" s="806"/>
      <c r="BP29" s="806"/>
      <c r="BQ29" s="806"/>
      <c r="BR29" s="806"/>
      <c r="BS29" s="806"/>
      <c r="BT29" s="806"/>
      <c r="BU29" s="806"/>
      <c r="BV29" s="806"/>
      <c r="BW29" s="806"/>
      <c r="BX29" s="806"/>
      <c r="BY29" s="806"/>
      <c r="BZ29" s="806"/>
      <c r="CA29" s="806"/>
      <c r="CB29" s="806"/>
      <c r="CC29" s="806"/>
      <c r="CD29" s="806"/>
      <c r="CE29" s="806"/>
      <c r="CF29" s="806"/>
      <c r="CG29" s="806"/>
      <c r="CH29" s="806"/>
      <c r="CI29" s="806"/>
      <c r="CJ29" s="806"/>
      <c r="CK29" s="806"/>
      <c r="CL29" s="806"/>
      <c r="CM29" s="806"/>
      <c r="CN29" s="806"/>
      <c r="CO29" s="806"/>
      <c r="CP29" s="806"/>
      <c r="CQ29" s="806"/>
      <c r="CR29" s="806"/>
      <c r="CS29" s="806"/>
      <c r="CT29" s="806"/>
      <c r="CU29" s="806"/>
      <c r="CV29" s="806"/>
      <c r="CW29" s="806"/>
      <c r="CX29" s="806"/>
      <c r="CY29" s="806"/>
      <c r="CZ29" s="806"/>
      <c r="DA29" s="806"/>
      <c r="DB29" s="806"/>
      <c r="DC29" s="806"/>
      <c r="DD29" s="806"/>
      <c r="DE29" s="806"/>
      <c r="DF29" s="806"/>
      <c r="DG29" s="806"/>
      <c r="DH29" s="806"/>
      <c r="DI29" s="806"/>
    </row>
    <row r="30" spans="1:113">
      <c r="A30" s="808" t="s">
        <v>1227</v>
      </c>
      <c r="B30" s="809"/>
      <c r="C30" s="810">
        <v>4515</v>
      </c>
      <c r="D30" s="916"/>
      <c r="E30" s="917"/>
      <c r="F30" s="812"/>
      <c r="G30" s="812"/>
      <c r="H30" s="812"/>
      <c r="I30" s="812"/>
      <c r="J30" s="918"/>
      <c r="K30" s="812"/>
      <c r="L30" s="812"/>
      <c r="M30" s="812"/>
      <c r="N30" s="812"/>
      <c r="O30" s="812"/>
      <c r="P30" s="812"/>
      <c r="Q30" s="918"/>
      <c r="R30" s="812"/>
      <c r="S30" s="812"/>
      <c r="T30" s="812"/>
      <c r="U30" s="812"/>
      <c r="V30" s="812"/>
      <c r="W30" s="812"/>
      <c r="X30" s="812"/>
      <c r="Y30" s="812"/>
      <c r="Z30" s="812"/>
      <c r="AA30" s="812"/>
      <c r="AB30" s="812"/>
      <c r="AC30" s="812"/>
      <c r="AD30" s="861"/>
      <c r="AE30" s="861"/>
      <c r="AF30" s="861"/>
      <c r="AG30" s="861"/>
      <c r="AH30" s="861"/>
      <c r="AI30" s="860"/>
      <c r="AJ30" s="806"/>
      <c r="AK30" s="806"/>
      <c r="AL30" s="806"/>
      <c r="AM30" s="806"/>
      <c r="AN30" s="806"/>
      <c r="AO30" s="806"/>
      <c r="AP30" s="806"/>
      <c r="AQ30" s="806"/>
      <c r="AR30" s="806"/>
      <c r="AS30" s="806"/>
      <c r="AT30" s="806"/>
      <c r="AU30" s="806"/>
      <c r="AV30" s="806"/>
      <c r="AW30" s="806"/>
      <c r="AX30" s="806"/>
      <c r="AY30" s="806"/>
      <c r="AZ30" s="806"/>
      <c r="BA30" s="806"/>
      <c r="BB30" s="806"/>
      <c r="BC30" s="806"/>
      <c r="BD30" s="806"/>
      <c r="BE30" s="806"/>
      <c r="BF30" s="806"/>
      <c r="BG30" s="806"/>
      <c r="BH30" s="806"/>
      <c r="BI30" s="806"/>
      <c r="BJ30" s="806"/>
      <c r="BK30" s="806"/>
      <c r="BL30" s="806"/>
      <c r="BM30" s="806"/>
      <c r="BN30" s="806"/>
      <c r="BO30" s="806"/>
      <c r="BP30" s="806"/>
      <c r="BQ30" s="806"/>
      <c r="BR30" s="806"/>
      <c r="BS30" s="806"/>
      <c r="BT30" s="806"/>
      <c r="BU30" s="806"/>
      <c r="BV30" s="806"/>
      <c r="BW30" s="806"/>
      <c r="BX30" s="806"/>
      <c r="BY30" s="806"/>
      <c r="BZ30" s="806"/>
      <c r="CA30" s="806"/>
      <c r="CB30" s="806"/>
      <c r="CC30" s="806"/>
      <c r="CD30" s="806"/>
      <c r="CE30" s="806"/>
      <c r="CF30" s="806"/>
      <c r="CG30" s="806"/>
      <c r="CH30" s="806"/>
      <c r="CI30" s="806"/>
      <c r="CJ30" s="806"/>
      <c r="CK30" s="806"/>
      <c r="CL30" s="806"/>
      <c r="CM30" s="806"/>
      <c r="CN30" s="806"/>
      <c r="CO30" s="806"/>
      <c r="CP30" s="806"/>
      <c r="CQ30" s="806"/>
      <c r="CR30" s="806"/>
      <c r="CS30" s="806"/>
      <c r="CT30" s="806"/>
      <c r="CU30" s="806"/>
      <c r="CV30" s="806"/>
      <c r="CW30" s="806"/>
      <c r="CX30" s="806"/>
      <c r="CY30" s="806"/>
      <c r="CZ30" s="806"/>
      <c r="DA30" s="806"/>
      <c r="DB30" s="806"/>
      <c r="DC30" s="806"/>
      <c r="DD30" s="806"/>
      <c r="DE30" s="806"/>
      <c r="DF30" s="806"/>
      <c r="DG30" s="806"/>
      <c r="DH30" s="806"/>
      <c r="DI30" s="806"/>
    </row>
    <row r="31" spans="1:113" ht="15" customHeight="1">
      <c r="A31" s="1740" t="s">
        <v>1249</v>
      </c>
      <c r="B31" s="814" t="s">
        <v>1250</v>
      </c>
      <c r="C31" s="815">
        <v>9400</v>
      </c>
      <c r="D31" s="919"/>
      <c r="E31" s="920"/>
      <c r="F31" s="817"/>
      <c r="G31" s="817"/>
      <c r="H31" s="817"/>
      <c r="I31" s="817"/>
      <c r="J31" s="921"/>
      <c r="K31" s="817"/>
      <c r="L31" s="817"/>
      <c r="M31" s="817"/>
      <c r="N31" s="817"/>
      <c r="O31" s="817"/>
      <c r="P31" s="817"/>
      <c r="Q31" s="921"/>
      <c r="R31" s="817"/>
      <c r="S31" s="817"/>
      <c r="T31" s="817"/>
      <c r="U31" s="817"/>
      <c r="V31" s="817"/>
      <c r="W31" s="817"/>
      <c r="X31" s="817"/>
      <c r="Y31" s="817"/>
      <c r="Z31" s="817"/>
      <c r="AA31" s="817"/>
      <c r="AB31" s="817"/>
      <c r="AC31" s="817"/>
      <c r="AD31" s="852"/>
      <c r="AE31" s="852"/>
      <c r="AF31" s="852"/>
      <c r="AG31" s="852"/>
      <c r="AH31" s="852"/>
      <c r="AI31" s="860"/>
      <c r="AJ31" s="806"/>
      <c r="AK31" s="806"/>
      <c r="AL31" s="806"/>
      <c r="AM31" s="806"/>
      <c r="AN31" s="806"/>
      <c r="AO31" s="806"/>
      <c r="AP31" s="806"/>
      <c r="AQ31" s="806"/>
      <c r="AR31" s="806"/>
      <c r="AS31" s="806"/>
      <c r="AT31" s="806"/>
      <c r="AU31" s="806"/>
      <c r="AV31" s="806"/>
      <c r="AW31" s="806"/>
      <c r="AX31" s="806"/>
      <c r="AY31" s="806"/>
      <c r="AZ31" s="806"/>
      <c r="BA31" s="806"/>
      <c r="BB31" s="806"/>
      <c r="BC31" s="806"/>
      <c r="BD31" s="806"/>
      <c r="BE31" s="806"/>
      <c r="BF31" s="806"/>
      <c r="BG31" s="806"/>
      <c r="BH31" s="806"/>
      <c r="BI31" s="806"/>
      <c r="BJ31" s="806"/>
      <c r="BK31" s="806"/>
      <c r="BL31" s="806"/>
      <c r="BM31" s="806"/>
      <c r="BN31" s="806"/>
      <c r="BO31" s="806"/>
      <c r="BP31" s="806"/>
      <c r="BQ31" s="806"/>
      <c r="BR31" s="806"/>
      <c r="BS31" s="806"/>
      <c r="BT31" s="806"/>
      <c r="BU31" s="806"/>
      <c r="BV31" s="806"/>
      <c r="BW31" s="806"/>
      <c r="BX31" s="806"/>
      <c r="BY31" s="806"/>
      <c r="BZ31" s="806"/>
      <c r="CA31" s="806"/>
      <c r="CB31" s="806"/>
      <c r="CC31" s="806"/>
      <c r="CD31" s="806"/>
      <c r="CE31" s="806"/>
      <c r="CF31" s="806"/>
      <c r="CG31" s="806"/>
      <c r="CH31" s="806"/>
      <c r="CI31" s="806"/>
      <c r="CJ31" s="806"/>
      <c r="CK31" s="806"/>
      <c r="CL31" s="806"/>
      <c r="CM31" s="806"/>
      <c r="CN31" s="806"/>
      <c r="CO31" s="806"/>
      <c r="CP31" s="806"/>
      <c r="CQ31" s="806"/>
      <c r="CR31" s="806"/>
      <c r="CS31" s="806"/>
      <c r="CT31" s="806"/>
      <c r="CU31" s="806"/>
      <c r="CV31" s="806"/>
      <c r="CW31" s="806"/>
      <c r="CX31" s="806"/>
      <c r="CY31" s="806"/>
      <c r="CZ31" s="806"/>
      <c r="DA31" s="806"/>
      <c r="DB31" s="806"/>
      <c r="DC31" s="806"/>
      <c r="DD31" s="806"/>
      <c r="DE31" s="806"/>
      <c r="DF31" s="806"/>
      <c r="DG31" s="806"/>
      <c r="DH31" s="806"/>
      <c r="DI31" s="806"/>
    </row>
    <row r="32" spans="1:113">
      <c r="A32" s="1740"/>
      <c r="B32" s="814" t="s">
        <v>1251</v>
      </c>
      <c r="C32" s="815">
        <v>9930</v>
      </c>
      <c r="D32" s="919"/>
      <c r="E32" s="920"/>
      <c r="F32" s="817"/>
      <c r="G32" s="817"/>
      <c r="H32" s="817"/>
      <c r="I32" s="817"/>
      <c r="J32" s="921"/>
      <c r="K32" s="817"/>
      <c r="L32" s="817"/>
      <c r="M32" s="817"/>
      <c r="N32" s="817"/>
      <c r="O32" s="817"/>
      <c r="P32" s="817"/>
      <c r="Q32" s="921"/>
      <c r="R32" s="817"/>
      <c r="S32" s="817"/>
      <c r="T32" s="817"/>
      <c r="U32" s="817"/>
      <c r="V32" s="817"/>
      <c r="W32" s="817"/>
      <c r="X32" s="817"/>
      <c r="Y32" s="817"/>
      <c r="Z32" s="817"/>
      <c r="AA32" s="817"/>
      <c r="AB32" s="817"/>
      <c r="AC32" s="817"/>
      <c r="AD32" s="862"/>
      <c r="AE32" s="862"/>
      <c r="AF32" s="862"/>
      <c r="AG32" s="862"/>
      <c r="AH32" s="862"/>
      <c r="AI32" s="863"/>
    </row>
    <row r="33" spans="1:113">
      <c r="A33" s="819" t="s">
        <v>1252</v>
      </c>
      <c r="B33" s="820"/>
      <c r="C33" s="815">
        <f>+(C32-C31)/2+C31</f>
        <v>9665</v>
      </c>
      <c r="D33" s="919"/>
      <c r="E33" s="920"/>
      <c r="F33" s="817"/>
      <c r="G33" s="817"/>
      <c r="H33" s="817"/>
      <c r="I33" s="817"/>
      <c r="J33" s="921"/>
      <c r="K33" s="817"/>
      <c r="L33" s="817"/>
      <c r="M33" s="817"/>
      <c r="N33" s="817"/>
      <c r="O33" s="817"/>
      <c r="P33" s="817"/>
      <c r="Q33" s="921"/>
      <c r="R33" s="817"/>
      <c r="S33" s="817"/>
      <c r="T33" s="817"/>
      <c r="U33" s="817"/>
      <c r="V33" s="817"/>
      <c r="W33" s="817"/>
      <c r="X33" s="817"/>
      <c r="Y33" s="817"/>
      <c r="Z33" s="817"/>
      <c r="AA33" s="817"/>
      <c r="AB33" s="817"/>
      <c r="AC33" s="817"/>
      <c r="AD33" s="862"/>
      <c r="AE33" s="862"/>
      <c r="AF33" s="862"/>
      <c r="AG33" s="862"/>
      <c r="AH33" s="862"/>
      <c r="AI33" s="863"/>
    </row>
    <row r="34" spans="1:113">
      <c r="A34" s="819" t="s">
        <v>1253</v>
      </c>
      <c r="B34" s="820"/>
      <c r="C34" s="821"/>
      <c r="D34" s="937">
        <f>IF(D36&gt;D35,(D36-D35)+D$2+D$3,(D35-D36)+D$2+D$4)/1000</f>
        <v>24.715</v>
      </c>
      <c r="E34" s="923">
        <f t="shared" ref="E34:AG34" si="4">IF(E36&gt;E35,(E36-E35)+E$2+E$3,(E35-E36)+E$2+E$4)/1000</f>
        <v>25.164999999999999</v>
      </c>
      <c r="F34" s="823">
        <f t="shared" si="4"/>
        <v>4.4649999999999999</v>
      </c>
      <c r="G34" s="823">
        <f t="shared" si="4"/>
        <v>0.26600000000000001</v>
      </c>
      <c r="H34" s="823">
        <f t="shared" si="4"/>
        <v>0.76500000000000001</v>
      </c>
      <c r="I34" s="823">
        <f t="shared" si="4"/>
        <v>0.66600000000000004</v>
      </c>
      <c r="J34" s="924">
        <f t="shared" si="4"/>
        <v>5.835</v>
      </c>
      <c r="K34" s="823">
        <f t="shared" si="4"/>
        <v>6.335</v>
      </c>
      <c r="L34" s="823">
        <f t="shared" si="4"/>
        <v>13.535</v>
      </c>
      <c r="M34" s="823">
        <f t="shared" si="4"/>
        <v>16.139500000000002</v>
      </c>
      <c r="N34" s="823">
        <f t="shared" si="4"/>
        <v>33.734999999999999</v>
      </c>
      <c r="O34" s="823">
        <f t="shared" si="4"/>
        <v>35.335000000000001</v>
      </c>
      <c r="P34" s="823">
        <f t="shared" si="4"/>
        <v>63.165500000000002</v>
      </c>
      <c r="Q34" s="924">
        <f t="shared" si="4"/>
        <v>59.664999999999999</v>
      </c>
      <c r="R34" s="823">
        <f t="shared" si="4"/>
        <v>70.666300000000007</v>
      </c>
      <c r="S34" s="823">
        <f t="shared" si="4"/>
        <v>39.137999999999998</v>
      </c>
      <c r="T34" s="823">
        <f t="shared" si="4"/>
        <v>43.986800000000002</v>
      </c>
      <c r="U34" s="823">
        <f t="shared" si="4"/>
        <v>42.686399999999999</v>
      </c>
      <c r="V34" s="823">
        <f t="shared" si="4"/>
        <v>44.067300000000003</v>
      </c>
      <c r="W34" s="823">
        <f t="shared" si="4"/>
        <v>20.335000000000001</v>
      </c>
      <c r="X34" s="823">
        <f t="shared" si="4"/>
        <v>54.034999999999997</v>
      </c>
      <c r="Y34" s="823">
        <f t="shared" si="4"/>
        <v>62.335999999999999</v>
      </c>
      <c r="Z34" s="823">
        <f t="shared" si="4"/>
        <v>65.338800000000006</v>
      </c>
      <c r="AA34" s="823">
        <f t="shared" si="4"/>
        <v>74.486199999999997</v>
      </c>
      <c r="AB34" s="823">
        <f t="shared" si="4"/>
        <v>80.254999999999995</v>
      </c>
      <c r="AC34" s="823">
        <f t="shared" si="4"/>
        <v>80.261499999999998</v>
      </c>
      <c r="AD34" s="824">
        <f t="shared" si="4"/>
        <v>20.715</v>
      </c>
      <c r="AE34" s="824">
        <f t="shared" si="4"/>
        <v>18.335000000000001</v>
      </c>
      <c r="AF34" s="824">
        <f t="shared" si="4"/>
        <v>28.335000000000001</v>
      </c>
      <c r="AG34" s="824">
        <f t="shared" si="4"/>
        <v>61.335000000000001</v>
      </c>
      <c r="AH34" s="824">
        <f>IF(AH36&gt;AH35,(AH36-AH35)+AH$2+AH$3,(AH35-AH36)+AH$2+AH$4)/1000</f>
        <v>67.141000000000005</v>
      </c>
      <c r="AI34" s="863"/>
    </row>
    <row r="35" spans="1:113" hidden="1">
      <c r="A35" s="825" t="s">
        <v>1254</v>
      </c>
      <c r="B35" s="826"/>
      <c r="C35" s="827"/>
      <c r="D35" s="873">
        <f>+IF($C30=4514,IF(D$6=4514,$C33,$C33),IF(D$6=4515,$C33+101000,101000+$C33))</f>
        <v>110665</v>
      </c>
      <c r="E35" s="873">
        <f t="shared" ref="E35:AH35" si="5">+IF($C30=4514,IF(E$6=4514,$C33,$C33),IF(E$6=4515,$C33+101000,101000+$C33))</f>
        <v>110665</v>
      </c>
      <c r="F35" s="746">
        <f t="shared" si="5"/>
        <v>110665</v>
      </c>
      <c r="G35" s="746">
        <f t="shared" si="5"/>
        <v>110665</v>
      </c>
      <c r="H35" s="746">
        <f t="shared" si="5"/>
        <v>110665</v>
      </c>
      <c r="I35" s="746">
        <f t="shared" si="5"/>
        <v>110665</v>
      </c>
      <c r="J35" s="925">
        <f t="shared" si="5"/>
        <v>110665</v>
      </c>
      <c r="K35" s="746">
        <f t="shared" si="5"/>
        <v>110665</v>
      </c>
      <c r="L35" s="746">
        <f t="shared" si="5"/>
        <v>110665</v>
      </c>
      <c r="M35" s="746">
        <f t="shared" si="5"/>
        <v>110665</v>
      </c>
      <c r="N35" s="746">
        <f t="shared" si="5"/>
        <v>110665</v>
      </c>
      <c r="O35" s="746">
        <f t="shared" si="5"/>
        <v>110665</v>
      </c>
      <c r="P35" s="746">
        <f t="shared" si="5"/>
        <v>110665</v>
      </c>
      <c r="Q35" s="925">
        <f t="shared" si="5"/>
        <v>110665</v>
      </c>
      <c r="R35" s="746">
        <f t="shared" si="5"/>
        <v>110665</v>
      </c>
      <c r="S35" s="746">
        <f t="shared" si="5"/>
        <v>110665</v>
      </c>
      <c r="T35" s="746">
        <f t="shared" si="5"/>
        <v>110665</v>
      </c>
      <c r="U35" s="746">
        <f t="shared" si="5"/>
        <v>110665</v>
      </c>
      <c r="V35" s="746">
        <f t="shared" si="5"/>
        <v>110665</v>
      </c>
      <c r="W35" s="746">
        <f t="shared" si="5"/>
        <v>110665</v>
      </c>
      <c r="X35" s="746">
        <f t="shared" si="5"/>
        <v>110665</v>
      </c>
      <c r="Y35" s="746">
        <f t="shared" si="5"/>
        <v>110665</v>
      </c>
      <c r="Z35" s="746">
        <f t="shared" si="5"/>
        <v>110665</v>
      </c>
      <c r="AA35" s="746">
        <f t="shared" si="5"/>
        <v>110665</v>
      </c>
      <c r="AB35" s="746">
        <f t="shared" si="5"/>
        <v>110665</v>
      </c>
      <c r="AC35" s="746">
        <f t="shared" si="5"/>
        <v>110665</v>
      </c>
      <c r="AD35" s="828">
        <f t="shared" si="5"/>
        <v>110665</v>
      </c>
      <c r="AE35" s="828">
        <f t="shared" si="5"/>
        <v>110665</v>
      </c>
      <c r="AF35" s="828">
        <f t="shared" si="5"/>
        <v>110665</v>
      </c>
      <c r="AG35" s="828">
        <f t="shared" si="5"/>
        <v>110665</v>
      </c>
      <c r="AH35" s="828">
        <f t="shared" si="5"/>
        <v>110665</v>
      </c>
      <c r="AI35" s="863"/>
    </row>
    <row r="36" spans="1:113" hidden="1">
      <c r="A36" s="825" t="s">
        <v>1255</v>
      </c>
      <c r="B36" s="826"/>
      <c r="C36" s="827"/>
      <c r="D36" s="873">
        <f>+IF($C30=4514,IF(D$6=4514,D$5,D$5+101000),IF(D$6=4515,D$5+101000,D$5))</f>
        <v>85950</v>
      </c>
      <c r="E36" s="873">
        <f t="shared" ref="E36:AH36" si="6">+IF($C30=4514,IF(E$6=4514,E$5,E$5+101000),IF(E$6=4515,E$5+101000,E$5))</f>
        <v>85500</v>
      </c>
      <c r="F36" s="746">
        <f t="shared" si="6"/>
        <v>106200</v>
      </c>
      <c r="G36" s="746">
        <f t="shared" si="6"/>
        <v>110930</v>
      </c>
      <c r="H36" s="746">
        <f t="shared" si="6"/>
        <v>109900</v>
      </c>
      <c r="I36" s="746">
        <f t="shared" si="6"/>
        <v>110000</v>
      </c>
      <c r="J36" s="925">
        <f t="shared" si="6"/>
        <v>116500</v>
      </c>
      <c r="K36" s="746">
        <f t="shared" si="6"/>
        <v>117000</v>
      </c>
      <c r="L36" s="746">
        <f t="shared" si="6"/>
        <v>124200</v>
      </c>
      <c r="M36" s="746">
        <f t="shared" si="6"/>
        <v>126800</v>
      </c>
      <c r="N36" s="746">
        <f t="shared" si="6"/>
        <v>144400</v>
      </c>
      <c r="O36" s="746">
        <f t="shared" si="6"/>
        <v>146000</v>
      </c>
      <c r="P36" s="746">
        <f t="shared" si="6"/>
        <v>47500</v>
      </c>
      <c r="Q36" s="925">
        <f t="shared" si="6"/>
        <v>51000</v>
      </c>
      <c r="R36" s="746">
        <f t="shared" si="6"/>
        <v>40000</v>
      </c>
      <c r="S36" s="746">
        <f t="shared" si="6"/>
        <v>149800</v>
      </c>
      <c r="T36" s="746">
        <f t="shared" si="6"/>
        <v>154650</v>
      </c>
      <c r="U36" s="746">
        <f t="shared" si="6"/>
        <v>153350</v>
      </c>
      <c r="V36" s="746">
        <f t="shared" si="6"/>
        <v>154730</v>
      </c>
      <c r="W36" s="746">
        <f t="shared" si="6"/>
        <v>131000</v>
      </c>
      <c r="X36" s="746">
        <f t="shared" si="6"/>
        <v>164700</v>
      </c>
      <c r="Y36" s="746">
        <f t="shared" si="6"/>
        <v>173000</v>
      </c>
      <c r="Z36" s="746">
        <f t="shared" si="6"/>
        <v>176000</v>
      </c>
      <c r="AA36" s="746">
        <f t="shared" si="6"/>
        <v>185150</v>
      </c>
      <c r="AB36" s="746">
        <f t="shared" si="6"/>
        <v>190920</v>
      </c>
      <c r="AC36" s="746">
        <f t="shared" si="6"/>
        <v>190920</v>
      </c>
      <c r="AD36" s="828">
        <f t="shared" si="6"/>
        <v>89950</v>
      </c>
      <c r="AE36" s="828">
        <f t="shared" si="6"/>
        <v>129000</v>
      </c>
      <c r="AF36" s="828">
        <f t="shared" si="6"/>
        <v>139000</v>
      </c>
      <c r="AG36" s="828">
        <f t="shared" si="6"/>
        <v>172000</v>
      </c>
      <c r="AH36" s="828">
        <f t="shared" si="6"/>
        <v>177800</v>
      </c>
      <c r="AI36" s="863"/>
    </row>
    <row r="37" spans="1:113" ht="15" customHeight="1">
      <c r="A37" s="1741" t="s">
        <v>1266</v>
      </c>
      <c r="B37" s="814" t="s">
        <v>1257</v>
      </c>
      <c r="C37" s="829">
        <f>+'CANTIDADES TOTALIZADAS'!BS25</f>
        <v>2865.1873500000006</v>
      </c>
      <c r="D37" s="782">
        <f>$C37*FACTORES!$D$11*FACTORES!$D$25</f>
        <v>4377.3695625000009</v>
      </c>
      <c r="E37" s="901"/>
      <c r="F37" s="783"/>
      <c r="G37" s="783"/>
      <c r="H37" s="783"/>
      <c r="I37" s="783"/>
      <c r="J37" s="933"/>
      <c r="K37" s="783"/>
      <c r="L37" s="783"/>
      <c r="M37" s="783"/>
      <c r="N37" s="783"/>
      <c r="O37" s="783"/>
      <c r="P37" s="783"/>
      <c r="Q37" s="933"/>
      <c r="R37" s="783"/>
      <c r="S37" s="783"/>
      <c r="T37" s="783"/>
      <c r="U37" s="783"/>
      <c r="V37" s="783"/>
      <c r="W37" s="783"/>
      <c r="X37" s="783"/>
      <c r="Y37" s="783"/>
      <c r="Z37" s="783"/>
      <c r="AA37" s="783"/>
      <c r="AB37" s="783"/>
      <c r="AC37" s="783"/>
      <c r="AD37" s="830"/>
      <c r="AE37" s="830"/>
      <c r="AF37" s="830"/>
      <c r="AG37" s="830"/>
      <c r="AH37" s="830"/>
      <c r="AI37" s="864">
        <f>+SUMPRODUCT(D37:AH37,D34:AH34)</f>
        <v>108186.68873718752</v>
      </c>
      <c r="AJ37" s="807">
        <f>$C37*FACTORES!$D$11*FACTORES!$D$25</f>
        <v>4377.3695625000009</v>
      </c>
    </row>
    <row r="38" spans="1:113">
      <c r="A38" s="1741"/>
      <c r="B38" s="814" t="s">
        <v>1258</v>
      </c>
      <c r="C38" s="829">
        <f>+'CANTIDADES TOTALIZADAS'!BS26</f>
        <v>2152.7804999999998</v>
      </c>
      <c r="D38" s="782">
        <f>$C38*FACTORES!$D$11*FACTORES!$D$25</f>
        <v>3288.9702083333332</v>
      </c>
      <c r="E38" s="901"/>
      <c r="F38" s="783"/>
      <c r="G38" s="783"/>
      <c r="H38" s="783"/>
      <c r="I38" s="783"/>
      <c r="J38" s="933"/>
      <c r="K38" s="783"/>
      <c r="L38" s="783"/>
      <c r="M38" s="783"/>
      <c r="N38" s="783"/>
      <c r="O38" s="783"/>
      <c r="P38" s="783"/>
      <c r="Q38" s="933"/>
      <c r="R38" s="783"/>
      <c r="S38" s="783"/>
      <c r="T38" s="783"/>
      <c r="U38" s="783"/>
      <c r="V38" s="783"/>
      <c r="W38" s="783"/>
      <c r="X38" s="783"/>
      <c r="Y38" s="783"/>
      <c r="Z38" s="783"/>
      <c r="AA38" s="783"/>
      <c r="AB38" s="783"/>
      <c r="AC38" s="783"/>
      <c r="AD38" s="830"/>
      <c r="AE38" s="830"/>
      <c r="AF38" s="830"/>
      <c r="AG38" s="830"/>
      <c r="AH38" s="830"/>
      <c r="AI38" s="864">
        <f>+SUMPRODUCT(D38:AH38,D34:AH34)</f>
        <v>81286.898698958335</v>
      </c>
      <c r="AJ38" s="807">
        <f>$C38*FACTORES!$D$11*FACTORES!$D$25</f>
        <v>3288.9702083333332</v>
      </c>
    </row>
    <row r="39" spans="1:113">
      <c r="A39" s="1741"/>
      <c r="B39" s="814" t="s">
        <v>1259</v>
      </c>
      <c r="C39" s="829">
        <f>+'CANTIDADES TOTALIZADAS'!BS72</f>
        <v>1179.2022056048547</v>
      </c>
      <c r="D39" s="782"/>
      <c r="E39" s="901"/>
      <c r="F39" s="783"/>
      <c r="G39" s="783"/>
      <c r="H39" s="783"/>
      <c r="I39" s="783"/>
      <c r="J39" s="933"/>
      <c r="K39" s="783"/>
      <c r="L39" s="783"/>
      <c r="M39" s="783"/>
      <c r="N39" s="783"/>
      <c r="O39" s="783"/>
      <c r="P39" s="783"/>
      <c r="Q39" s="933"/>
      <c r="R39" s="783"/>
      <c r="S39" s="783"/>
      <c r="T39" s="783"/>
      <c r="U39" s="783"/>
      <c r="V39" s="783"/>
      <c r="W39" s="783"/>
      <c r="X39" s="783"/>
      <c r="Y39" s="783"/>
      <c r="Z39" s="783"/>
      <c r="AA39" s="783"/>
      <c r="AB39" s="783"/>
      <c r="AC39" s="783"/>
      <c r="AD39" s="830">
        <f>+$C39*FACTORES!$D$23*FACTORES!$D$28</f>
        <v>1383.2041871744943</v>
      </c>
      <c r="AE39" s="830"/>
      <c r="AF39" s="830"/>
      <c r="AG39" s="830"/>
      <c r="AH39" s="830"/>
      <c r="AI39" s="864">
        <f>+SUMPRODUCT(D39:AH39,D34:AH34)</f>
        <v>28653.07473731965</v>
      </c>
      <c r="AJ39" s="782">
        <f>+$C39*FACTORES!$D$23*FACTORES!$D$28</f>
        <v>1383.2041871744943</v>
      </c>
    </row>
    <row r="40" spans="1:113">
      <c r="A40" s="1741"/>
      <c r="B40" s="814" t="s">
        <v>1260</v>
      </c>
      <c r="C40" s="829">
        <f>+'CANTIDADES TOTALIZADAS'!BS85</f>
        <v>1879.1680000000001</v>
      </c>
      <c r="D40" s="782"/>
      <c r="E40" s="901"/>
      <c r="F40" s="783"/>
      <c r="G40" s="783"/>
      <c r="H40" s="783"/>
      <c r="I40" s="783"/>
      <c r="J40" s="933"/>
      <c r="K40" s="783"/>
      <c r="L40" s="783"/>
      <c r="M40" s="783"/>
      <c r="N40" s="783"/>
      <c r="O40" s="783"/>
      <c r="P40" s="783"/>
      <c r="Q40" s="933"/>
      <c r="R40" s="783"/>
      <c r="S40" s="783"/>
      <c r="T40" s="783"/>
      <c r="U40" s="783"/>
      <c r="V40" s="783"/>
      <c r="W40" s="783"/>
      <c r="X40" s="783"/>
      <c r="Y40" s="783"/>
      <c r="Z40" s="783"/>
      <c r="AA40" s="783"/>
      <c r="AB40" s="783"/>
      <c r="AC40" s="783"/>
      <c r="AD40" s="830">
        <f>+$C40*FACTORES!$D$7*FACTORES!$D$26</f>
        <v>2294.3330232558142</v>
      </c>
      <c r="AE40" s="830"/>
      <c r="AF40" s="830"/>
      <c r="AG40" s="830"/>
      <c r="AH40" s="830"/>
      <c r="AI40" s="864">
        <f>+SUMPRODUCT(D40:AH40,D34:AH34)</f>
        <v>47527.108576744191</v>
      </c>
      <c r="AJ40" s="807">
        <f>+$C40*FACTORES!$D$7*FACTORES!$D$26</f>
        <v>2294.3330232558142</v>
      </c>
    </row>
    <row r="41" spans="1:113">
      <c r="A41" s="1742"/>
      <c r="B41" s="840" t="s">
        <v>1261</v>
      </c>
      <c r="C41" s="841">
        <f>+'CANTIDADES TOTALIZADAS'!BS93</f>
        <v>516.11400000000003</v>
      </c>
      <c r="D41" s="789"/>
      <c r="E41" s="906"/>
      <c r="F41" s="790"/>
      <c r="G41" s="790"/>
      <c r="H41" s="790"/>
      <c r="I41" s="790"/>
      <c r="J41" s="938"/>
      <c r="K41" s="790"/>
      <c r="L41" s="790"/>
      <c r="M41" s="790"/>
      <c r="N41" s="790"/>
      <c r="O41" s="790"/>
      <c r="P41" s="790"/>
      <c r="Q41" s="938"/>
      <c r="R41" s="790"/>
      <c r="S41" s="790"/>
      <c r="T41" s="790"/>
      <c r="U41" s="790"/>
      <c r="V41" s="790"/>
      <c r="W41" s="790"/>
      <c r="X41" s="790"/>
      <c r="Y41" s="790"/>
      <c r="Z41" s="790"/>
      <c r="AA41" s="790"/>
      <c r="AB41" s="790"/>
      <c r="AC41" s="790"/>
      <c r="AD41" s="842">
        <f>+$C41*FACTORES!$D$3*FACTORES!$D$27</f>
        <v>631.72353600000008</v>
      </c>
      <c r="AE41" s="842"/>
      <c r="AF41" s="842"/>
      <c r="AG41" s="842"/>
      <c r="AH41" s="842"/>
      <c r="AI41" s="865">
        <f>+SUMPRODUCT(D41:AH41,D34:AH34)</f>
        <v>13086.153048240001</v>
      </c>
      <c r="AJ41" s="807">
        <f>+$C41*FACTORES!$D$3*FACTORES!$D$27</f>
        <v>631.72353600000008</v>
      </c>
    </row>
    <row r="42" spans="1:113">
      <c r="A42" s="799" t="s">
        <v>1247</v>
      </c>
      <c r="B42" s="800"/>
      <c r="C42" s="801" t="s">
        <v>798</v>
      </c>
      <c r="D42" s="913"/>
      <c r="E42" s="914"/>
      <c r="F42" s="803"/>
      <c r="G42" s="803"/>
      <c r="H42" s="803"/>
      <c r="I42" s="803"/>
      <c r="J42" s="915"/>
      <c r="K42" s="803"/>
      <c r="L42" s="803"/>
      <c r="M42" s="803"/>
      <c r="N42" s="803"/>
      <c r="O42" s="803"/>
      <c r="P42" s="803"/>
      <c r="Q42" s="915"/>
      <c r="R42" s="803"/>
      <c r="S42" s="803"/>
      <c r="T42" s="803"/>
      <c r="U42" s="803"/>
      <c r="V42" s="803"/>
      <c r="W42" s="803"/>
      <c r="X42" s="803"/>
      <c r="Y42" s="803"/>
      <c r="Z42" s="803"/>
      <c r="AA42" s="803"/>
      <c r="AB42" s="803"/>
      <c r="AC42" s="803"/>
      <c r="AD42" s="859"/>
      <c r="AE42" s="859"/>
      <c r="AF42" s="859"/>
      <c r="AG42" s="859"/>
      <c r="AH42" s="859"/>
      <c r="AI42" s="860"/>
      <c r="AJ42" s="806"/>
      <c r="AK42" s="806"/>
      <c r="AL42" s="806"/>
      <c r="AM42" s="806"/>
      <c r="AN42" s="806"/>
      <c r="AO42" s="806"/>
      <c r="AP42" s="806"/>
      <c r="AQ42" s="806"/>
      <c r="AR42" s="806"/>
      <c r="AS42" s="806"/>
      <c r="AT42" s="806"/>
      <c r="AU42" s="806"/>
      <c r="AV42" s="806"/>
      <c r="AW42" s="806"/>
      <c r="AX42" s="806"/>
      <c r="AY42" s="806"/>
      <c r="AZ42" s="806"/>
      <c r="BA42" s="806"/>
      <c r="BB42" s="806"/>
      <c r="BC42" s="806"/>
      <c r="BD42" s="806"/>
      <c r="BE42" s="806"/>
      <c r="BF42" s="806"/>
      <c r="BG42" s="806"/>
      <c r="BH42" s="806"/>
      <c r="BI42" s="806"/>
      <c r="BJ42" s="806"/>
      <c r="BK42" s="806"/>
      <c r="BL42" s="806"/>
      <c r="BM42" s="806"/>
      <c r="BN42" s="806"/>
      <c r="BO42" s="806"/>
      <c r="BP42" s="806"/>
      <c r="BQ42" s="806"/>
      <c r="BR42" s="806"/>
      <c r="BS42" s="806"/>
      <c r="BT42" s="806"/>
      <c r="BU42" s="806"/>
      <c r="BV42" s="806"/>
      <c r="BW42" s="806"/>
      <c r="BX42" s="806"/>
      <c r="BY42" s="806"/>
      <c r="BZ42" s="806"/>
      <c r="CA42" s="806"/>
      <c r="CB42" s="806"/>
      <c r="CC42" s="806"/>
      <c r="CD42" s="806"/>
      <c r="CE42" s="806"/>
      <c r="CF42" s="806"/>
      <c r="CG42" s="806"/>
      <c r="CH42" s="806"/>
      <c r="CI42" s="806"/>
      <c r="CJ42" s="806"/>
      <c r="CK42" s="806"/>
      <c r="CL42" s="806"/>
      <c r="CM42" s="806"/>
      <c r="CN42" s="806"/>
      <c r="CO42" s="806"/>
      <c r="CP42" s="806"/>
      <c r="CQ42" s="806"/>
      <c r="CR42" s="806"/>
      <c r="CS42" s="806"/>
      <c r="CT42" s="806"/>
      <c r="CU42" s="806"/>
      <c r="CV42" s="806"/>
      <c r="CW42" s="806"/>
      <c r="CX42" s="806"/>
      <c r="CY42" s="806"/>
      <c r="CZ42" s="806"/>
      <c r="DA42" s="806"/>
      <c r="DB42" s="806"/>
      <c r="DC42" s="806"/>
      <c r="DD42" s="806"/>
      <c r="DE42" s="806"/>
      <c r="DF42" s="806"/>
      <c r="DG42" s="806"/>
      <c r="DH42" s="806"/>
      <c r="DI42" s="806"/>
    </row>
    <row r="43" spans="1:113">
      <c r="A43" s="808" t="s">
        <v>1227</v>
      </c>
      <c r="B43" s="809"/>
      <c r="C43" s="810">
        <v>4515</v>
      </c>
      <c r="D43" s="916"/>
      <c r="E43" s="917"/>
      <c r="F43" s="812"/>
      <c r="G43" s="812"/>
      <c r="H43" s="812"/>
      <c r="I43" s="812"/>
      <c r="J43" s="918"/>
      <c r="K43" s="812"/>
      <c r="L43" s="812"/>
      <c r="M43" s="812"/>
      <c r="N43" s="812"/>
      <c r="O43" s="812"/>
      <c r="P43" s="812"/>
      <c r="Q43" s="918"/>
      <c r="R43" s="812"/>
      <c r="S43" s="812"/>
      <c r="T43" s="812"/>
      <c r="U43" s="812"/>
      <c r="V43" s="812"/>
      <c r="W43" s="812"/>
      <c r="X43" s="812"/>
      <c r="Y43" s="812"/>
      <c r="Z43" s="812"/>
      <c r="AA43" s="812"/>
      <c r="AB43" s="812"/>
      <c r="AC43" s="812"/>
      <c r="AD43" s="861"/>
      <c r="AE43" s="861"/>
      <c r="AF43" s="861"/>
      <c r="AG43" s="861"/>
      <c r="AH43" s="861"/>
      <c r="AI43" s="860"/>
      <c r="AJ43" s="806"/>
      <c r="AK43" s="806"/>
      <c r="AL43" s="806"/>
      <c r="AM43" s="806"/>
      <c r="AN43" s="806"/>
      <c r="AO43" s="806"/>
      <c r="AP43" s="806"/>
      <c r="AQ43" s="806"/>
      <c r="AR43" s="806"/>
      <c r="AS43" s="806"/>
      <c r="AT43" s="806"/>
      <c r="AU43" s="806"/>
      <c r="AV43" s="806"/>
      <c r="AW43" s="806"/>
      <c r="AX43" s="806"/>
      <c r="AY43" s="806"/>
      <c r="AZ43" s="806"/>
      <c r="BA43" s="806"/>
      <c r="BB43" s="806"/>
      <c r="BC43" s="806"/>
      <c r="BD43" s="806"/>
      <c r="BE43" s="806"/>
      <c r="BF43" s="806"/>
      <c r="BG43" s="806"/>
      <c r="BH43" s="806"/>
      <c r="BI43" s="806"/>
      <c r="BJ43" s="806"/>
      <c r="BK43" s="806"/>
      <c r="BL43" s="806"/>
      <c r="BM43" s="806"/>
      <c r="BN43" s="806"/>
      <c r="BO43" s="806"/>
      <c r="BP43" s="806"/>
      <c r="BQ43" s="806"/>
      <c r="BR43" s="806"/>
      <c r="BS43" s="806"/>
      <c r="BT43" s="806"/>
      <c r="BU43" s="806"/>
      <c r="BV43" s="806"/>
      <c r="BW43" s="806"/>
      <c r="BX43" s="806"/>
      <c r="BY43" s="806"/>
      <c r="BZ43" s="806"/>
      <c r="CA43" s="806"/>
      <c r="CB43" s="806"/>
      <c r="CC43" s="806"/>
      <c r="CD43" s="806"/>
      <c r="CE43" s="806"/>
      <c r="CF43" s="806"/>
      <c r="CG43" s="806"/>
      <c r="CH43" s="806"/>
      <c r="CI43" s="806"/>
      <c r="CJ43" s="806"/>
      <c r="CK43" s="806"/>
      <c r="CL43" s="806"/>
      <c r="CM43" s="806"/>
      <c r="CN43" s="806"/>
      <c r="CO43" s="806"/>
      <c r="CP43" s="806"/>
      <c r="CQ43" s="806"/>
      <c r="CR43" s="806"/>
      <c r="CS43" s="806"/>
      <c r="CT43" s="806"/>
      <c r="CU43" s="806"/>
      <c r="CV43" s="806"/>
      <c r="CW43" s="806"/>
      <c r="CX43" s="806"/>
      <c r="CY43" s="806"/>
      <c r="CZ43" s="806"/>
      <c r="DA43" s="806"/>
      <c r="DB43" s="806"/>
      <c r="DC43" s="806"/>
      <c r="DD43" s="806"/>
      <c r="DE43" s="806"/>
      <c r="DF43" s="806"/>
      <c r="DG43" s="806"/>
      <c r="DH43" s="806"/>
      <c r="DI43" s="806"/>
    </row>
    <row r="44" spans="1:113" ht="15" customHeight="1">
      <c r="A44" s="1740" t="s">
        <v>1249</v>
      </c>
      <c r="B44" s="814" t="s">
        <v>1250</v>
      </c>
      <c r="C44" s="815">
        <v>31300</v>
      </c>
      <c r="D44" s="919"/>
      <c r="E44" s="920"/>
      <c r="F44" s="817"/>
      <c r="G44" s="817"/>
      <c r="H44" s="817"/>
      <c r="I44" s="817"/>
      <c r="J44" s="921"/>
      <c r="K44" s="817"/>
      <c r="L44" s="817"/>
      <c r="M44" s="817"/>
      <c r="N44" s="817"/>
      <c r="O44" s="817"/>
      <c r="P44" s="817"/>
      <c r="Q44" s="921"/>
      <c r="R44" s="817"/>
      <c r="S44" s="817"/>
      <c r="T44" s="817"/>
      <c r="U44" s="817"/>
      <c r="V44" s="817"/>
      <c r="W44" s="817"/>
      <c r="X44" s="817"/>
      <c r="Y44" s="817"/>
      <c r="Z44" s="817"/>
      <c r="AA44" s="817"/>
      <c r="AB44" s="817"/>
      <c r="AC44" s="817"/>
      <c r="AD44" s="852"/>
      <c r="AE44" s="852"/>
      <c r="AF44" s="852"/>
      <c r="AG44" s="852"/>
      <c r="AH44" s="852"/>
      <c r="AI44" s="860"/>
      <c r="AJ44" s="806"/>
      <c r="AK44" s="806"/>
      <c r="AL44" s="806"/>
      <c r="AM44" s="806"/>
      <c r="AN44" s="806"/>
      <c r="AO44" s="806"/>
      <c r="AP44" s="806"/>
      <c r="AQ44" s="806"/>
      <c r="AR44" s="806"/>
      <c r="AS44" s="806"/>
      <c r="AT44" s="806"/>
      <c r="AU44" s="806"/>
      <c r="AV44" s="806"/>
      <c r="AW44" s="806"/>
      <c r="AX44" s="806"/>
      <c r="AY44" s="806"/>
      <c r="AZ44" s="806"/>
      <c r="BA44" s="806"/>
      <c r="BB44" s="806"/>
      <c r="BC44" s="806"/>
      <c r="BD44" s="806"/>
      <c r="BE44" s="806"/>
      <c r="BF44" s="806"/>
      <c r="BG44" s="806"/>
      <c r="BH44" s="806"/>
      <c r="BI44" s="806"/>
      <c r="BJ44" s="806"/>
      <c r="BK44" s="806"/>
      <c r="BL44" s="806"/>
      <c r="BM44" s="806"/>
      <c r="BN44" s="806"/>
      <c r="BO44" s="806"/>
      <c r="BP44" s="806"/>
      <c r="BQ44" s="806"/>
      <c r="BR44" s="806"/>
      <c r="BS44" s="806"/>
      <c r="BT44" s="806"/>
      <c r="BU44" s="806"/>
      <c r="BV44" s="806"/>
      <c r="BW44" s="806"/>
      <c r="BX44" s="806"/>
      <c r="BY44" s="806"/>
      <c r="BZ44" s="806"/>
      <c r="CA44" s="806"/>
      <c r="CB44" s="806"/>
      <c r="CC44" s="806"/>
      <c r="CD44" s="806"/>
      <c r="CE44" s="806"/>
      <c r="CF44" s="806"/>
      <c r="CG44" s="806"/>
      <c r="CH44" s="806"/>
      <c r="CI44" s="806"/>
      <c r="CJ44" s="806"/>
      <c r="CK44" s="806"/>
      <c r="CL44" s="806"/>
      <c r="CM44" s="806"/>
      <c r="CN44" s="806"/>
      <c r="CO44" s="806"/>
      <c r="CP44" s="806"/>
      <c r="CQ44" s="806"/>
      <c r="CR44" s="806"/>
      <c r="CS44" s="806"/>
      <c r="CT44" s="806"/>
      <c r="CU44" s="806"/>
      <c r="CV44" s="806"/>
      <c r="CW44" s="806"/>
      <c r="CX44" s="806"/>
      <c r="CY44" s="806"/>
      <c r="CZ44" s="806"/>
      <c r="DA44" s="806"/>
      <c r="DB44" s="806"/>
      <c r="DC44" s="806"/>
      <c r="DD44" s="806"/>
      <c r="DE44" s="806"/>
      <c r="DF44" s="806"/>
      <c r="DG44" s="806"/>
      <c r="DH44" s="806"/>
      <c r="DI44" s="806"/>
    </row>
    <row r="45" spans="1:113">
      <c r="A45" s="1740"/>
      <c r="B45" s="814" t="s">
        <v>1251</v>
      </c>
      <c r="C45" s="815">
        <v>32080</v>
      </c>
      <c r="D45" s="919"/>
      <c r="E45" s="920"/>
      <c r="F45" s="817"/>
      <c r="G45" s="817"/>
      <c r="H45" s="817"/>
      <c r="I45" s="817"/>
      <c r="J45" s="921"/>
      <c r="K45" s="817"/>
      <c r="L45" s="817"/>
      <c r="M45" s="817"/>
      <c r="N45" s="817"/>
      <c r="O45" s="817"/>
      <c r="P45" s="817"/>
      <c r="Q45" s="921"/>
      <c r="R45" s="817"/>
      <c r="S45" s="817"/>
      <c r="T45" s="817"/>
      <c r="U45" s="817"/>
      <c r="V45" s="817"/>
      <c r="W45" s="817"/>
      <c r="X45" s="817"/>
      <c r="Y45" s="817"/>
      <c r="Z45" s="817"/>
      <c r="AA45" s="817"/>
      <c r="AB45" s="817"/>
      <c r="AC45" s="817"/>
      <c r="AD45" s="862"/>
      <c r="AE45" s="862"/>
      <c r="AF45" s="862"/>
      <c r="AG45" s="862"/>
      <c r="AH45" s="862"/>
      <c r="AI45" s="863"/>
    </row>
    <row r="46" spans="1:113">
      <c r="A46" s="819" t="s">
        <v>1252</v>
      </c>
      <c r="B46" s="820"/>
      <c r="C46" s="815">
        <f>+(C45-C44)/2+C44</f>
        <v>31690</v>
      </c>
      <c r="D46" s="919"/>
      <c r="E46" s="920"/>
      <c r="F46" s="817"/>
      <c r="G46" s="817"/>
      <c r="H46" s="817"/>
      <c r="I46" s="817"/>
      <c r="J46" s="921"/>
      <c r="K46" s="817"/>
      <c r="L46" s="817"/>
      <c r="M46" s="817"/>
      <c r="N46" s="817"/>
      <c r="O46" s="817"/>
      <c r="P46" s="817"/>
      <c r="Q46" s="921"/>
      <c r="R46" s="817"/>
      <c r="S46" s="817"/>
      <c r="T46" s="817"/>
      <c r="U46" s="817"/>
      <c r="V46" s="817"/>
      <c r="W46" s="817"/>
      <c r="X46" s="817"/>
      <c r="Y46" s="817"/>
      <c r="Z46" s="817"/>
      <c r="AA46" s="817"/>
      <c r="AB46" s="817"/>
      <c r="AC46" s="817"/>
      <c r="AD46" s="862"/>
      <c r="AE46" s="862"/>
      <c r="AF46" s="862"/>
      <c r="AG46" s="862"/>
      <c r="AH46" s="862"/>
      <c r="AI46" s="863"/>
    </row>
    <row r="47" spans="1:113">
      <c r="A47" s="819" t="s">
        <v>1253</v>
      </c>
      <c r="B47" s="820"/>
      <c r="C47" s="821"/>
      <c r="D47" s="937">
        <f>IF(D49&gt;D48,(D49-D48)+D$2+D$3,(D48-D49)+D$2+D$4)/1000</f>
        <v>46.74</v>
      </c>
      <c r="E47" s="923">
        <f t="shared" ref="E47:AG47" si="7">IF(E49&gt;E48,(E49-E48)+E$2+E$3,(E48-E49)+E$2+E$4)/1000</f>
        <v>47.19</v>
      </c>
      <c r="F47" s="823">
        <f t="shared" si="7"/>
        <v>26.49</v>
      </c>
      <c r="G47" s="823">
        <f t="shared" si="7"/>
        <v>21.760999999999999</v>
      </c>
      <c r="H47" s="823">
        <f t="shared" si="7"/>
        <v>22.79</v>
      </c>
      <c r="I47" s="823">
        <f t="shared" si="7"/>
        <v>22.690999999999999</v>
      </c>
      <c r="J47" s="924">
        <f t="shared" si="7"/>
        <v>16.190000000000001</v>
      </c>
      <c r="K47" s="823">
        <f t="shared" si="7"/>
        <v>15.69</v>
      </c>
      <c r="L47" s="823">
        <f t="shared" si="7"/>
        <v>8.49</v>
      </c>
      <c r="M47" s="823">
        <f t="shared" si="7"/>
        <v>5.8944999999999999</v>
      </c>
      <c r="N47" s="823">
        <f t="shared" si="7"/>
        <v>11.71</v>
      </c>
      <c r="O47" s="823">
        <f t="shared" si="7"/>
        <v>13.31</v>
      </c>
      <c r="P47" s="823">
        <f t="shared" si="7"/>
        <v>85.1905</v>
      </c>
      <c r="Q47" s="924">
        <f t="shared" si="7"/>
        <v>81.69</v>
      </c>
      <c r="R47" s="823">
        <f t="shared" si="7"/>
        <v>92.691299999999998</v>
      </c>
      <c r="S47" s="823">
        <f t="shared" si="7"/>
        <v>17.113</v>
      </c>
      <c r="T47" s="823">
        <f t="shared" si="7"/>
        <v>21.9618</v>
      </c>
      <c r="U47" s="823">
        <f t="shared" si="7"/>
        <v>20.6614</v>
      </c>
      <c r="V47" s="823">
        <f t="shared" si="7"/>
        <v>22.042300000000001</v>
      </c>
      <c r="W47" s="823">
        <f t="shared" si="7"/>
        <v>1.69</v>
      </c>
      <c r="X47" s="823">
        <f t="shared" si="7"/>
        <v>32.01</v>
      </c>
      <c r="Y47" s="823">
        <f t="shared" si="7"/>
        <v>40.311</v>
      </c>
      <c r="Z47" s="823">
        <f t="shared" si="7"/>
        <v>43.313800000000001</v>
      </c>
      <c r="AA47" s="823">
        <f t="shared" si="7"/>
        <v>52.461199999999998</v>
      </c>
      <c r="AB47" s="823">
        <f t="shared" si="7"/>
        <v>58.23</v>
      </c>
      <c r="AC47" s="823">
        <f t="shared" si="7"/>
        <v>58.236499999999999</v>
      </c>
      <c r="AD47" s="824">
        <f t="shared" si="7"/>
        <v>42.74</v>
      </c>
      <c r="AE47" s="824">
        <f t="shared" si="7"/>
        <v>3.69</v>
      </c>
      <c r="AF47" s="824">
        <f t="shared" si="7"/>
        <v>6.31</v>
      </c>
      <c r="AG47" s="824">
        <f t="shared" si="7"/>
        <v>39.31</v>
      </c>
      <c r="AH47" s="824">
        <f>IF(AH49&gt;AH48,(AH49-AH48)+AH$2+AH$3,(AH48-AH49)+AH$2+AH$4)/1000</f>
        <v>45.116</v>
      </c>
      <c r="AI47" s="863"/>
    </row>
    <row r="48" spans="1:113" hidden="1">
      <c r="A48" s="825" t="s">
        <v>1254</v>
      </c>
      <c r="B48" s="826"/>
      <c r="C48" s="827"/>
      <c r="D48" s="873">
        <f>+IF($C43=4514,IF(D$6=4514,$C46,$C46),IF(D$6=4515,$C46+101000,101000+$C46))</f>
        <v>132690</v>
      </c>
      <c r="E48" s="873">
        <f t="shared" ref="E48:AH48" si="8">+IF($C43=4514,IF(E$6=4514,$C46,$C46),IF(E$6=4515,$C46+101000,101000+$C46))</f>
        <v>132690</v>
      </c>
      <c r="F48" s="746">
        <f t="shared" si="8"/>
        <v>132690</v>
      </c>
      <c r="G48" s="746">
        <f t="shared" si="8"/>
        <v>132690</v>
      </c>
      <c r="H48" s="746">
        <f t="shared" si="8"/>
        <v>132690</v>
      </c>
      <c r="I48" s="746">
        <f t="shared" si="8"/>
        <v>132690</v>
      </c>
      <c r="J48" s="925">
        <f t="shared" si="8"/>
        <v>132690</v>
      </c>
      <c r="K48" s="746">
        <f t="shared" si="8"/>
        <v>132690</v>
      </c>
      <c r="L48" s="746">
        <f t="shared" si="8"/>
        <v>132690</v>
      </c>
      <c r="M48" s="746">
        <f t="shared" si="8"/>
        <v>132690</v>
      </c>
      <c r="N48" s="746">
        <f t="shared" si="8"/>
        <v>132690</v>
      </c>
      <c r="O48" s="746">
        <f t="shared" si="8"/>
        <v>132690</v>
      </c>
      <c r="P48" s="746">
        <f t="shared" si="8"/>
        <v>132690</v>
      </c>
      <c r="Q48" s="925">
        <f t="shared" si="8"/>
        <v>132690</v>
      </c>
      <c r="R48" s="746">
        <f t="shared" si="8"/>
        <v>132690</v>
      </c>
      <c r="S48" s="746">
        <f t="shared" si="8"/>
        <v>132690</v>
      </c>
      <c r="T48" s="746">
        <f t="shared" si="8"/>
        <v>132690</v>
      </c>
      <c r="U48" s="746">
        <f t="shared" si="8"/>
        <v>132690</v>
      </c>
      <c r="V48" s="746">
        <f t="shared" si="8"/>
        <v>132690</v>
      </c>
      <c r="W48" s="746">
        <f t="shared" si="8"/>
        <v>132690</v>
      </c>
      <c r="X48" s="746">
        <f t="shared" si="8"/>
        <v>132690</v>
      </c>
      <c r="Y48" s="746">
        <f t="shared" si="8"/>
        <v>132690</v>
      </c>
      <c r="Z48" s="746">
        <f t="shared" si="8"/>
        <v>132690</v>
      </c>
      <c r="AA48" s="746">
        <f t="shared" si="8"/>
        <v>132690</v>
      </c>
      <c r="AB48" s="746">
        <f t="shared" si="8"/>
        <v>132690</v>
      </c>
      <c r="AC48" s="746">
        <f t="shared" si="8"/>
        <v>132690</v>
      </c>
      <c r="AD48" s="828">
        <f t="shared" si="8"/>
        <v>132690</v>
      </c>
      <c r="AE48" s="828">
        <f t="shared" si="8"/>
        <v>132690</v>
      </c>
      <c r="AF48" s="828">
        <f t="shared" si="8"/>
        <v>132690</v>
      </c>
      <c r="AG48" s="828">
        <f t="shared" si="8"/>
        <v>132690</v>
      </c>
      <c r="AH48" s="828">
        <f t="shared" si="8"/>
        <v>132690</v>
      </c>
      <c r="AI48" s="863"/>
    </row>
    <row r="49" spans="1:113" hidden="1">
      <c r="A49" s="825" t="s">
        <v>1255</v>
      </c>
      <c r="B49" s="826"/>
      <c r="C49" s="827"/>
      <c r="D49" s="873">
        <f>+IF($C43=4514,IF(D$6=4514,D$5,D$5+101000),IF(D$6=4515,D$5+101000,D$5))</f>
        <v>85950</v>
      </c>
      <c r="E49" s="873">
        <f t="shared" ref="E49:AH49" si="9">+IF($C43=4514,IF(E$6=4514,E$5,E$5+101000),IF(E$6=4515,E$5+101000,E$5))</f>
        <v>85500</v>
      </c>
      <c r="F49" s="746">
        <f t="shared" si="9"/>
        <v>106200</v>
      </c>
      <c r="G49" s="746">
        <f t="shared" si="9"/>
        <v>110930</v>
      </c>
      <c r="H49" s="746">
        <f t="shared" si="9"/>
        <v>109900</v>
      </c>
      <c r="I49" s="746">
        <f t="shared" si="9"/>
        <v>110000</v>
      </c>
      <c r="J49" s="925">
        <f t="shared" si="9"/>
        <v>116500</v>
      </c>
      <c r="K49" s="746">
        <f t="shared" si="9"/>
        <v>117000</v>
      </c>
      <c r="L49" s="746">
        <f t="shared" si="9"/>
        <v>124200</v>
      </c>
      <c r="M49" s="746">
        <f t="shared" si="9"/>
        <v>126800</v>
      </c>
      <c r="N49" s="746">
        <f t="shared" si="9"/>
        <v>144400</v>
      </c>
      <c r="O49" s="746">
        <f t="shared" si="9"/>
        <v>146000</v>
      </c>
      <c r="P49" s="746">
        <f t="shared" si="9"/>
        <v>47500</v>
      </c>
      <c r="Q49" s="925">
        <f t="shared" si="9"/>
        <v>51000</v>
      </c>
      <c r="R49" s="746">
        <f t="shared" si="9"/>
        <v>40000</v>
      </c>
      <c r="S49" s="746">
        <f t="shared" si="9"/>
        <v>149800</v>
      </c>
      <c r="T49" s="746">
        <f t="shared" si="9"/>
        <v>154650</v>
      </c>
      <c r="U49" s="746">
        <f t="shared" si="9"/>
        <v>153350</v>
      </c>
      <c r="V49" s="746">
        <f t="shared" si="9"/>
        <v>154730</v>
      </c>
      <c r="W49" s="746">
        <f t="shared" si="9"/>
        <v>131000</v>
      </c>
      <c r="X49" s="746">
        <f t="shared" si="9"/>
        <v>164700</v>
      </c>
      <c r="Y49" s="746">
        <f t="shared" si="9"/>
        <v>173000</v>
      </c>
      <c r="Z49" s="746">
        <f t="shared" si="9"/>
        <v>176000</v>
      </c>
      <c r="AA49" s="746">
        <f t="shared" si="9"/>
        <v>185150</v>
      </c>
      <c r="AB49" s="746">
        <f t="shared" si="9"/>
        <v>190920</v>
      </c>
      <c r="AC49" s="746">
        <f t="shared" si="9"/>
        <v>190920</v>
      </c>
      <c r="AD49" s="828">
        <f t="shared" si="9"/>
        <v>89950</v>
      </c>
      <c r="AE49" s="828">
        <f t="shared" si="9"/>
        <v>129000</v>
      </c>
      <c r="AF49" s="828">
        <f t="shared" si="9"/>
        <v>139000</v>
      </c>
      <c r="AG49" s="828">
        <f t="shared" si="9"/>
        <v>172000</v>
      </c>
      <c r="AH49" s="828">
        <f t="shared" si="9"/>
        <v>177800</v>
      </c>
      <c r="AI49" s="863"/>
    </row>
    <row r="50" spans="1:113" ht="15" customHeight="1">
      <c r="A50" s="1741" t="s">
        <v>1266</v>
      </c>
      <c r="B50" s="814" t="s">
        <v>1257</v>
      </c>
      <c r="C50" s="829">
        <f>+'CANTIDADES TOTALIZADAS'!BU25</f>
        <v>0</v>
      </c>
      <c r="D50" s="782"/>
      <c r="E50" s="901"/>
      <c r="F50" s="783"/>
      <c r="G50" s="783"/>
      <c r="H50" s="783"/>
      <c r="I50" s="783"/>
      <c r="J50" s="933"/>
      <c r="K50" s="783"/>
      <c r="L50" s="783"/>
      <c r="M50" s="783"/>
      <c r="N50" s="783"/>
      <c r="O50" s="783"/>
      <c r="P50" s="783"/>
      <c r="Q50" s="933"/>
      <c r="R50" s="783"/>
      <c r="S50" s="783"/>
      <c r="T50" s="783"/>
      <c r="U50" s="783"/>
      <c r="V50" s="783">
        <f>$C50*FACTORES!$D$11*FACTORES!$D$25</f>
        <v>0</v>
      </c>
      <c r="W50" s="783"/>
      <c r="X50" s="783"/>
      <c r="Y50" s="783"/>
      <c r="Z50" s="783"/>
      <c r="AA50" s="783"/>
      <c r="AB50" s="783"/>
      <c r="AC50" s="783"/>
      <c r="AD50" s="830"/>
      <c r="AE50" s="830"/>
      <c r="AF50" s="830"/>
      <c r="AG50" s="830"/>
      <c r="AH50" s="830"/>
      <c r="AI50" s="864">
        <f>+SUMPRODUCT(D50:AH50,D47:AH47)</f>
        <v>0</v>
      </c>
      <c r="AJ50" s="807">
        <f>$C50*FACTORES!$D$11*FACTORES!$D$25</f>
        <v>0</v>
      </c>
    </row>
    <row r="51" spans="1:113">
      <c r="A51" s="1741"/>
      <c r="B51" s="814" t="s">
        <v>1258</v>
      </c>
      <c r="C51" s="829">
        <f>+'CANTIDADES TOTALIZADAS'!BU26</f>
        <v>649.89599999999996</v>
      </c>
      <c r="D51" s="782"/>
      <c r="E51" s="901"/>
      <c r="F51" s="783"/>
      <c r="G51" s="783"/>
      <c r="H51" s="783"/>
      <c r="I51" s="783"/>
      <c r="J51" s="933"/>
      <c r="K51" s="783"/>
      <c r="L51" s="783"/>
      <c r="M51" s="783"/>
      <c r="N51" s="783"/>
      <c r="O51" s="783"/>
      <c r="P51" s="783"/>
      <c r="Q51" s="933"/>
      <c r="R51" s="783"/>
      <c r="S51" s="783"/>
      <c r="T51" s="783"/>
      <c r="U51" s="783"/>
      <c r="V51" s="783">
        <f>$C51*FACTORES!$D$11*FACTORES!$D$25</f>
        <v>992.89666666666665</v>
      </c>
      <c r="W51" s="783"/>
      <c r="X51" s="783"/>
      <c r="Y51" s="783"/>
      <c r="Z51" s="783"/>
      <c r="AA51" s="783"/>
      <c r="AB51" s="783"/>
      <c r="AC51" s="783"/>
      <c r="AD51" s="830"/>
      <c r="AE51" s="830"/>
      <c r="AF51" s="830"/>
      <c r="AG51" s="830"/>
      <c r="AH51" s="830"/>
      <c r="AI51" s="864">
        <f>+SUMPRODUCT(D51:AH51,D47:AH47)</f>
        <v>21885.726195666666</v>
      </c>
      <c r="AJ51" s="807">
        <f>$C51*FACTORES!$D$11*FACTORES!$D$25</f>
        <v>992.89666666666665</v>
      </c>
    </row>
    <row r="52" spans="1:113">
      <c r="A52" s="1741"/>
      <c r="B52" s="814" t="s">
        <v>1259</v>
      </c>
      <c r="C52" s="829">
        <f>+'CANTIDADES TOTALIZADAS'!BU72</f>
        <v>612.29999999999995</v>
      </c>
      <c r="D52" s="782"/>
      <c r="E52" s="901"/>
      <c r="F52" s="783"/>
      <c r="G52" s="783"/>
      <c r="H52" s="783"/>
      <c r="I52" s="783"/>
      <c r="J52" s="933"/>
      <c r="K52" s="783"/>
      <c r="L52" s="783"/>
      <c r="M52" s="783"/>
      <c r="N52" s="783"/>
      <c r="O52" s="783"/>
      <c r="P52" s="783"/>
      <c r="Q52" s="933"/>
      <c r="R52" s="783"/>
      <c r="S52" s="783"/>
      <c r="T52" s="783"/>
      <c r="U52" s="783"/>
      <c r="V52" s="783"/>
      <c r="W52" s="783"/>
      <c r="X52" s="783"/>
      <c r="Y52" s="783"/>
      <c r="Z52" s="783"/>
      <c r="AA52" s="783"/>
      <c r="AB52" s="783"/>
      <c r="AC52" s="783"/>
      <c r="AD52" s="830"/>
      <c r="AE52" s="830"/>
      <c r="AF52" s="830"/>
      <c r="AG52" s="830">
        <f>+$C52*FACTORES!$D$23*FACTORES!$D$28</f>
        <v>718.22789999999986</v>
      </c>
      <c r="AH52" s="830"/>
      <c r="AI52" s="864">
        <f>+SUMPRODUCT(D52:AH52,D47:AH47)</f>
        <v>28233.538748999996</v>
      </c>
      <c r="AJ52" s="782">
        <f>+$C52*FACTORES!$D$23*FACTORES!$D$28</f>
        <v>718.22789999999986</v>
      </c>
    </row>
    <row r="53" spans="1:113">
      <c r="A53" s="1741"/>
      <c r="B53" s="814" t="s">
        <v>1260</v>
      </c>
      <c r="C53" s="829">
        <f>+'CANTIDADES TOTALIZADAS'!BU85</f>
        <v>567.29600000000005</v>
      </c>
      <c r="D53" s="782"/>
      <c r="E53" s="901"/>
      <c r="F53" s="783"/>
      <c r="G53" s="783"/>
      <c r="H53" s="783"/>
      <c r="I53" s="783"/>
      <c r="J53" s="933"/>
      <c r="K53" s="783"/>
      <c r="L53" s="783"/>
      <c r="M53" s="783"/>
      <c r="N53" s="783"/>
      <c r="O53" s="783"/>
      <c r="P53" s="783"/>
      <c r="Q53" s="933"/>
      <c r="R53" s="783"/>
      <c r="S53" s="783"/>
      <c r="T53" s="783"/>
      <c r="U53" s="783"/>
      <c r="V53" s="783"/>
      <c r="W53" s="783"/>
      <c r="X53" s="783"/>
      <c r="Y53" s="783"/>
      <c r="Z53" s="783"/>
      <c r="AA53" s="783"/>
      <c r="AB53" s="783"/>
      <c r="AC53" s="783"/>
      <c r="AD53" s="830"/>
      <c r="AE53" s="830"/>
      <c r="AF53" s="830"/>
      <c r="AG53" s="830">
        <f>+$C53*FACTORES!$D$7*FACTORES!$D$26</f>
        <v>692.62883720930245</v>
      </c>
      <c r="AH53" s="830"/>
      <c r="AI53" s="864">
        <f>+SUMPRODUCT(D53:AH53,D47:AH47)</f>
        <v>27227.239590697682</v>
      </c>
      <c r="AJ53" s="807">
        <f>+$C53*FACTORES!$D$7*FACTORES!$D$26</f>
        <v>692.62883720930245</v>
      </c>
    </row>
    <row r="54" spans="1:113">
      <c r="A54" s="1742"/>
      <c r="B54" s="840" t="s">
        <v>1261</v>
      </c>
      <c r="C54" s="841">
        <f>+'CANTIDADES TOTALIZADAS'!BU93</f>
        <v>759.56400000000008</v>
      </c>
      <c r="D54" s="789"/>
      <c r="E54" s="906"/>
      <c r="F54" s="790"/>
      <c r="G54" s="790"/>
      <c r="H54" s="790"/>
      <c r="I54" s="790"/>
      <c r="J54" s="938"/>
      <c r="K54" s="790"/>
      <c r="L54" s="790"/>
      <c r="M54" s="790"/>
      <c r="N54" s="790"/>
      <c r="O54" s="790"/>
      <c r="P54" s="790"/>
      <c r="Q54" s="938"/>
      <c r="R54" s="790"/>
      <c r="S54" s="790"/>
      <c r="T54" s="790"/>
      <c r="U54" s="790"/>
      <c r="V54" s="790"/>
      <c r="W54" s="790"/>
      <c r="X54" s="790"/>
      <c r="Y54" s="790"/>
      <c r="Z54" s="790"/>
      <c r="AA54" s="790"/>
      <c r="AB54" s="790"/>
      <c r="AC54" s="790"/>
      <c r="AD54" s="842">
        <f>+$C54*FACTORES!$D$3*FACTORES!$D$27</f>
        <v>929.70633600000008</v>
      </c>
      <c r="AE54" s="842"/>
      <c r="AF54" s="842"/>
      <c r="AG54" s="842"/>
      <c r="AH54" s="842"/>
      <c r="AI54" s="865">
        <f>+SUMPRODUCT(D54:AH54,D47:AH47)</f>
        <v>39735.648800640003</v>
      </c>
      <c r="AJ54" s="807">
        <f>+$C54*FACTORES!$D$3*FACTORES!$D$27</f>
        <v>929.70633600000008</v>
      </c>
    </row>
    <row r="55" spans="1:113">
      <c r="A55" s="799" t="s">
        <v>1247</v>
      </c>
      <c r="B55" s="800"/>
      <c r="C55" s="801" t="s">
        <v>1308</v>
      </c>
      <c r="D55" s="913"/>
      <c r="E55" s="914"/>
      <c r="F55" s="803"/>
      <c r="G55" s="803"/>
      <c r="H55" s="803"/>
      <c r="I55" s="803"/>
      <c r="J55" s="915"/>
      <c r="K55" s="803"/>
      <c r="L55" s="803"/>
      <c r="M55" s="803"/>
      <c r="N55" s="803"/>
      <c r="O55" s="803"/>
      <c r="P55" s="803"/>
      <c r="Q55" s="915"/>
      <c r="R55" s="803"/>
      <c r="S55" s="803"/>
      <c r="T55" s="803"/>
      <c r="U55" s="803"/>
      <c r="V55" s="803"/>
      <c r="W55" s="803"/>
      <c r="X55" s="803"/>
      <c r="Y55" s="803"/>
      <c r="Z55" s="803"/>
      <c r="AA55" s="803"/>
      <c r="AB55" s="803"/>
      <c r="AC55" s="803"/>
      <c r="AD55" s="859"/>
      <c r="AE55" s="859"/>
      <c r="AF55" s="859"/>
      <c r="AG55" s="859"/>
      <c r="AH55" s="859"/>
      <c r="AI55" s="860"/>
      <c r="AJ55" s="806"/>
      <c r="AK55" s="806"/>
      <c r="AL55" s="806"/>
      <c r="AM55" s="806"/>
      <c r="AN55" s="806"/>
      <c r="AO55" s="806"/>
      <c r="AP55" s="806"/>
      <c r="AQ55" s="806"/>
      <c r="AR55" s="806"/>
      <c r="AS55" s="806"/>
      <c r="AT55" s="806"/>
      <c r="AU55" s="806"/>
      <c r="AV55" s="806"/>
      <c r="AW55" s="806"/>
      <c r="AX55" s="806"/>
      <c r="AY55" s="806"/>
      <c r="AZ55" s="806"/>
      <c r="BA55" s="806"/>
      <c r="BB55" s="806"/>
      <c r="BC55" s="806"/>
      <c r="BD55" s="806"/>
      <c r="BE55" s="806"/>
      <c r="BF55" s="806"/>
      <c r="BG55" s="806"/>
      <c r="BH55" s="806"/>
      <c r="BI55" s="806"/>
      <c r="BJ55" s="806"/>
      <c r="BK55" s="806"/>
      <c r="BL55" s="806"/>
      <c r="BM55" s="806"/>
      <c r="BN55" s="806"/>
      <c r="BO55" s="806"/>
      <c r="BP55" s="806"/>
      <c r="BQ55" s="806"/>
      <c r="BR55" s="806"/>
      <c r="BS55" s="806"/>
      <c r="BT55" s="806"/>
      <c r="BU55" s="806"/>
      <c r="BV55" s="806"/>
      <c r="BW55" s="806"/>
      <c r="BX55" s="806"/>
      <c r="BY55" s="806"/>
      <c r="BZ55" s="806"/>
      <c r="CA55" s="806"/>
      <c r="CB55" s="806"/>
      <c r="CC55" s="806"/>
      <c r="CD55" s="806"/>
      <c r="CE55" s="806"/>
      <c r="CF55" s="806"/>
      <c r="CG55" s="806"/>
      <c r="CH55" s="806"/>
      <c r="CI55" s="806"/>
      <c r="CJ55" s="806"/>
      <c r="CK55" s="806"/>
      <c r="CL55" s="806"/>
      <c r="CM55" s="806"/>
      <c r="CN55" s="806"/>
      <c r="CO55" s="806"/>
      <c r="CP55" s="806"/>
      <c r="CQ55" s="806"/>
      <c r="CR55" s="806"/>
      <c r="CS55" s="806"/>
      <c r="CT55" s="806"/>
      <c r="CU55" s="806"/>
      <c r="CV55" s="806"/>
      <c r="CW55" s="806"/>
      <c r="CX55" s="806"/>
      <c r="CY55" s="806"/>
      <c r="CZ55" s="806"/>
      <c r="DA55" s="806"/>
      <c r="DB55" s="806"/>
      <c r="DC55" s="806"/>
      <c r="DD55" s="806"/>
      <c r="DE55" s="806"/>
      <c r="DF55" s="806"/>
      <c r="DG55" s="806"/>
      <c r="DH55" s="806"/>
      <c r="DI55" s="806"/>
    </row>
    <row r="56" spans="1:113">
      <c r="A56" s="808" t="s">
        <v>1227</v>
      </c>
      <c r="B56" s="809"/>
      <c r="C56" s="810">
        <v>4515</v>
      </c>
      <c r="D56" s="916"/>
      <c r="E56" s="917"/>
      <c r="F56" s="812"/>
      <c r="G56" s="812"/>
      <c r="H56" s="812"/>
      <c r="I56" s="812"/>
      <c r="J56" s="918"/>
      <c r="K56" s="812"/>
      <c r="L56" s="812"/>
      <c r="M56" s="812"/>
      <c r="N56" s="812"/>
      <c r="O56" s="812"/>
      <c r="P56" s="812"/>
      <c r="Q56" s="918"/>
      <c r="R56" s="812"/>
      <c r="S56" s="812"/>
      <c r="T56" s="812"/>
      <c r="U56" s="812"/>
      <c r="V56" s="812"/>
      <c r="W56" s="812"/>
      <c r="X56" s="812"/>
      <c r="Y56" s="812"/>
      <c r="Z56" s="812"/>
      <c r="AA56" s="812"/>
      <c r="AB56" s="812"/>
      <c r="AC56" s="812"/>
      <c r="AD56" s="861"/>
      <c r="AE56" s="861"/>
      <c r="AF56" s="861"/>
      <c r="AG56" s="861"/>
      <c r="AH56" s="861"/>
      <c r="AI56" s="860"/>
      <c r="AJ56" s="806"/>
      <c r="AK56" s="806"/>
      <c r="AL56" s="806"/>
      <c r="AM56" s="806"/>
      <c r="AN56" s="806"/>
      <c r="AO56" s="806"/>
      <c r="AP56" s="806"/>
      <c r="AQ56" s="806"/>
      <c r="AR56" s="806"/>
      <c r="AS56" s="806"/>
      <c r="AT56" s="806"/>
      <c r="AU56" s="806"/>
      <c r="AV56" s="806"/>
      <c r="AW56" s="806"/>
      <c r="AX56" s="806"/>
      <c r="AY56" s="806"/>
      <c r="AZ56" s="806"/>
      <c r="BA56" s="806"/>
      <c r="BB56" s="806"/>
      <c r="BC56" s="806"/>
      <c r="BD56" s="806"/>
      <c r="BE56" s="806"/>
      <c r="BF56" s="806"/>
      <c r="BG56" s="806"/>
      <c r="BH56" s="806"/>
      <c r="BI56" s="806"/>
      <c r="BJ56" s="806"/>
      <c r="BK56" s="806"/>
      <c r="BL56" s="806"/>
      <c r="BM56" s="806"/>
      <c r="BN56" s="806"/>
      <c r="BO56" s="806"/>
      <c r="BP56" s="806"/>
      <c r="BQ56" s="806"/>
      <c r="BR56" s="806"/>
      <c r="BS56" s="806"/>
      <c r="BT56" s="806"/>
      <c r="BU56" s="806"/>
      <c r="BV56" s="806"/>
      <c r="BW56" s="806"/>
      <c r="BX56" s="806"/>
      <c r="BY56" s="806"/>
      <c r="BZ56" s="806"/>
      <c r="CA56" s="806"/>
      <c r="CB56" s="806"/>
      <c r="CC56" s="806"/>
      <c r="CD56" s="806"/>
      <c r="CE56" s="806"/>
      <c r="CF56" s="806"/>
      <c r="CG56" s="806"/>
      <c r="CH56" s="806"/>
      <c r="CI56" s="806"/>
      <c r="CJ56" s="806"/>
      <c r="CK56" s="806"/>
      <c r="CL56" s="806"/>
      <c r="CM56" s="806"/>
      <c r="CN56" s="806"/>
      <c r="CO56" s="806"/>
      <c r="CP56" s="806"/>
      <c r="CQ56" s="806"/>
      <c r="CR56" s="806"/>
      <c r="CS56" s="806"/>
      <c r="CT56" s="806"/>
      <c r="CU56" s="806"/>
      <c r="CV56" s="806"/>
      <c r="CW56" s="806"/>
      <c r="CX56" s="806"/>
      <c r="CY56" s="806"/>
      <c r="CZ56" s="806"/>
      <c r="DA56" s="806"/>
      <c r="DB56" s="806"/>
      <c r="DC56" s="806"/>
      <c r="DD56" s="806"/>
      <c r="DE56" s="806"/>
      <c r="DF56" s="806"/>
      <c r="DG56" s="806"/>
      <c r="DH56" s="806"/>
      <c r="DI56" s="806"/>
    </row>
    <row r="57" spans="1:113" ht="15" customHeight="1">
      <c r="A57" s="1740" t="s">
        <v>1249</v>
      </c>
      <c r="B57" s="814" t="s">
        <v>1250</v>
      </c>
      <c r="C57" s="815">
        <v>27350</v>
      </c>
      <c r="D57" s="919"/>
      <c r="E57" s="920"/>
      <c r="F57" s="817"/>
      <c r="G57" s="817"/>
      <c r="H57" s="817"/>
      <c r="I57" s="817"/>
      <c r="J57" s="921"/>
      <c r="K57" s="817"/>
      <c r="L57" s="817"/>
      <c r="M57" s="817"/>
      <c r="N57" s="817"/>
      <c r="O57" s="817"/>
      <c r="P57" s="817"/>
      <c r="Q57" s="921"/>
      <c r="R57" s="817"/>
      <c r="S57" s="817"/>
      <c r="T57" s="817"/>
      <c r="U57" s="817"/>
      <c r="V57" s="817"/>
      <c r="W57" s="817"/>
      <c r="X57" s="817"/>
      <c r="Y57" s="817"/>
      <c r="Z57" s="817"/>
      <c r="AA57" s="817"/>
      <c r="AB57" s="817"/>
      <c r="AC57" s="817"/>
      <c r="AD57" s="852"/>
      <c r="AE57" s="852"/>
      <c r="AF57" s="852"/>
      <c r="AG57" s="852"/>
      <c r="AH57" s="852"/>
      <c r="AI57" s="860"/>
      <c r="AJ57" s="806"/>
      <c r="AK57" s="806"/>
      <c r="AL57" s="806"/>
      <c r="AM57" s="806"/>
      <c r="AN57" s="806"/>
      <c r="AO57" s="806"/>
      <c r="AP57" s="806"/>
      <c r="AQ57" s="806"/>
      <c r="AR57" s="806"/>
      <c r="AS57" s="806"/>
      <c r="AT57" s="806"/>
      <c r="AU57" s="806"/>
      <c r="AV57" s="806"/>
      <c r="AW57" s="806"/>
      <c r="AX57" s="806"/>
      <c r="AY57" s="806"/>
      <c r="AZ57" s="806"/>
      <c r="BA57" s="806"/>
      <c r="BB57" s="806"/>
      <c r="BC57" s="806"/>
      <c r="BD57" s="806"/>
      <c r="BE57" s="806"/>
      <c r="BF57" s="806"/>
      <c r="BG57" s="806"/>
      <c r="BH57" s="806"/>
      <c r="BI57" s="806"/>
      <c r="BJ57" s="806"/>
      <c r="BK57" s="806"/>
      <c r="BL57" s="806"/>
      <c r="BM57" s="806"/>
      <c r="BN57" s="806"/>
      <c r="BO57" s="806"/>
      <c r="BP57" s="806"/>
      <c r="BQ57" s="806"/>
      <c r="BR57" s="806"/>
      <c r="BS57" s="806"/>
      <c r="BT57" s="806"/>
      <c r="BU57" s="806"/>
      <c r="BV57" s="806"/>
      <c r="BW57" s="806"/>
      <c r="BX57" s="806"/>
      <c r="BY57" s="806"/>
      <c r="BZ57" s="806"/>
      <c r="CA57" s="806"/>
      <c r="CB57" s="806"/>
      <c r="CC57" s="806"/>
      <c r="CD57" s="806"/>
      <c r="CE57" s="806"/>
      <c r="CF57" s="806"/>
      <c r="CG57" s="806"/>
      <c r="CH57" s="806"/>
      <c r="CI57" s="806"/>
      <c r="CJ57" s="806"/>
      <c r="CK57" s="806"/>
      <c r="CL57" s="806"/>
      <c r="CM57" s="806"/>
      <c r="CN57" s="806"/>
      <c r="CO57" s="806"/>
      <c r="CP57" s="806"/>
      <c r="CQ57" s="806"/>
      <c r="CR57" s="806"/>
      <c r="CS57" s="806"/>
      <c r="CT57" s="806"/>
      <c r="CU57" s="806"/>
      <c r="CV57" s="806"/>
      <c r="CW57" s="806"/>
      <c r="CX57" s="806"/>
      <c r="CY57" s="806"/>
      <c r="CZ57" s="806"/>
      <c r="DA57" s="806"/>
      <c r="DB57" s="806"/>
      <c r="DC57" s="806"/>
      <c r="DD57" s="806"/>
      <c r="DE57" s="806"/>
      <c r="DF57" s="806"/>
      <c r="DG57" s="806"/>
      <c r="DH57" s="806"/>
      <c r="DI57" s="806"/>
    </row>
    <row r="58" spans="1:113">
      <c r="A58" s="1740"/>
      <c r="B58" s="814" t="s">
        <v>1251</v>
      </c>
      <c r="C58" s="815">
        <v>37215</v>
      </c>
      <c r="D58" s="919"/>
      <c r="E58" s="920"/>
      <c r="F58" s="817"/>
      <c r="G58" s="817"/>
      <c r="H58" s="817"/>
      <c r="I58" s="817"/>
      <c r="J58" s="921"/>
      <c r="K58" s="817"/>
      <c r="L58" s="817"/>
      <c r="M58" s="817"/>
      <c r="N58" s="817"/>
      <c r="O58" s="817"/>
      <c r="P58" s="817"/>
      <c r="Q58" s="921"/>
      <c r="R58" s="817"/>
      <c r="S58" s="817"/>
      <c r="T58" s="817"/>
      <c r="U58" s="817"/>
      <c r="V58" s="817"/>
      <c r="W58" s="817"/>
      <c r="X58" s="817"/>
      <c r="Y58" s="817"/>
      <c r="Z58" s="817"/>
      <c r="AA58" s="817"/>
      <c r="AB58" s="817"/>
      <c r="AC58" s="817"/>
      <c r="AD58" s="862"/>
      <c r="AE58" s="862"/>
      <c r="AF58" s="862"/>
      <c r="AG58" s="862"/>
      <c r="AH58" s="862"/>
      <c r="AI58" s="863"/>
    </row>
    <row r="59" spans="1:113">
      <c r="A59" s="819" t="s">
        <v>1252</v>
      </c>
      <c r="B59" s="820"/>
      <c r="C59" s="815">
        <f>+(C58-C57)/2+C57</f>
        <v>32282.5</v>
      </c>
      <c r="D59" s="919"/>
      <c r="E59" s="920"/>
      <c r="F59" s="817"/>
      <c r="G59" s="817"/>
      <c r="H59" s="817"/>
      <c r="I59" s="817"/>
      <c r="J59" s="921"/>
      <c r="K59" s="817"/>
      <c r="L59" s="817"/>
      <c r="M59" s="817"/>
      <c r="N59" s="817"/>
      <c r="O59" s="817"/>
      <c r="P59" s="817"/>
      <c r="Q59" s="921"/>
      <c r="R59" s="817"/>
      <c r="S59" s="817"/>
      <c r="T59" s="817"/>
      <c r="U59" s="817"/>
      <c r="V59" s="817"/>
      <c r="W59" s="817"/>
      <c r="X59" s="817"/>
      <c r="Y59" s="817"/>
      <c r="Z59" s="817"/>
      <c r="AA59" s="817"/>
      <c r="AB59" s="817"/>
      <c r="AC59" s="817"/>
      <c r="AD59" s="862"/>
      <c r="AE59" s="862"/>
      <c r="AF59" s="862"/>
      <c r="AG59" s="862"/>
      <c r="AH59" s="862"/>
      <c r="AI59" s="863"/>
    </row>
    <row r="60" spans="1:113">
      <c r="A60" s="819" t="s">
        <v>1253</v>
      </c>
      <c r="B60" s="820"/>
      <c r="C60" s="821"/>
      <c r="D60" s="937">
        <f>IF(D62&gt;D61,(D62-D61)+D$2+D$3,(D61-D62)+D$2+D$4)/1000</f>
        <v>47.332500000000003</v>
      </c>
      <c r="E60" s="923">
        <f t="shared" ref="E60:AG60" si="10">IF(E62&gt;E61,(E62-E61)+E$2+E$3,(E61-E62)+E$2+E$4)/1000</f>
        <v>47.782499999999999</v>
      </c>
      <c r="F60" s="823">
        <f t="shared" si="10"/>
        <v>27.0825</v>
      </c>
      <c r="G60" s="823">
        <f t="shared" si="10"/>
        <v>22.3535</v>
      </c>
      <c r="H60" s="823">
        <f t="shared" si="10"/>
        <v>23.3825</v>
      </c>
      <c r="I60" s="823">
        <f t="shared" si="10"/>
        <v>23.2835</v>
      </c>
      <c r="J60" s="924">
        <f t="shared" si="10"/>
        <v>16.782499999999999</v>
      </c>
      <c r="K60" s="823">
        <f t="shared" si="10"/>
        <v>16.282499999999999</v>
      </c>
      <c r="L60" s="823">
        <f t="shared" si="10"/>
        <v>9.0824999999999996</v>
      </c>
      <c r="M60" s="823">
        <f t="shared" si="10"/>
        <v>6.4870000000000001</v>
      </c>
      <c r="N60" s="823">
        <f t="shared" si="10"/>
        <v>11.1175</v>
      </c>
      <c r="O60" s="823">
        <f t="shared" si="10"/>
        <v>12.717499999999999</v>
      </c>
      <c r="P60" s="823">
        <f t="shared" si="10"/>
        <v>85.783000000000001</v>
      </c>
      <c r="Q60" s="924">
        <f t="shared" si="10"/>
        <v>82.282499999999999</v>
      </c>
      <c r="R60" s="823">
        <f t="shared" si="10"/>
        <v>93.283799999999999</v>
      </c>
      <c r="S60" s="823">
        <f t="shared" si="10"/>
        <v>16.520499999999998</v>
      </c>
      <c r="T60" s="823">
        <f t="shared" si="10"/>
        <v>21.369299999999999</v>
      </c>
      <c r="U60" s="823">
        <f t="shared" si="10"/>
        <v>20.068900000000003</v>
      </c>
      <c r="V60" s="823">
        <f t="shared" si="10"/>
        <v>21.4498</v>
      </c>
      <c r="W60" s="823">
        <f t="shared" si="10"/>
        <v>2.2825000000000002</v>
      </c>
      <c r="X60" s="823">
        <f t="shared" si="10"/>
        <v>31.4175</v>
      </c>
      <c r="Y60" s="823">
        <f t="shared" si="10"/>
        <v>39.718499999999999</v>
      </c>
      <c r="Z60" s="823">
        <f t="shared" si="10"/>
        <v>42.721299999999999</v>
      </c>
      <c r="AA60" s="823">
        <f t="shared" si="10"/>
        <v>51.868699999999997</v>
      </c>
      <c r="AB60" s="823">
        <f t="shared" si="10"/>
        <v>57.637500000000003</v>
      </c>
      <c r="AC60" s="823">
        <f t="shared" si="10"/>
        <v>57.643999999999998</v>
      </c>
      <c r="AD60" s="824">
        <f t="shared" si="10"/>
        <v>43.332500000000003</v>
      </c>
      <c r="AE60" s="824">
        <f t="shared" si="10"/>
        <v>4.2824999999999998</v>
      </c>
      <c r="AF60" s="824">
        <f t="shared" si="10"/>
        <v>5.7175000000000002</v>
      </c>
      <c r="AG60" s="824">
        <f t="shared" si="10"/>
        <v>38.717500000000001</v>
      </c>
      <c r="AH60" s="824">
        <f>IF(AH62&gt;AH61,(AH62-AH61)+AH$2+AH$3,(AH61-AH62)+AH$2+AH$4)/1000</f>
        <v>44.523499999999999</v>
      </c>
      <c r="AI60" s="863"/>
    </row>
    <row r="61" spans="1:113" hidden="1">
      <c r="A61" s="825" t="s">
        <v>1254</v>
      </c>
      <c r="B61" s="826"/>
      <c r="C61" s="827"/>
      <c r="D61" s="873">
        <f>+IF($C56=4514,IF(D$6=4514,$C59,$C59),IF(D$6=4515,$C59+101000,101000+$C59))</f>
        <v>133282.5</v>
      </c>
      <c r="E61" s="873">
        <f t="shared" ref="E61:AH61" si="11">+IF($C56=4514,IF(E$6=4514,$C59,$C59),IF(E$6=4515,$C59+101000,101000+$C59))</f>
        <v>133282.5</v>
      </c>
      <c r="F61" s="746">
        <f t="shared" si="11"/>
        <v>133282.5</v>
      </c>
      <c r="G61" s="746">
        <f t="shared" si="11"/>
        <v>133282.5</v>
      </c>
      <c r="H61" s="746">
        <f t="shared" si="11"/>
        <v>133282.5</v>
      </c>
      <c r="I61" s="746">
        <f t="shared" si="11"/>
        <v>133282.5</v>
      </c>
      <c r="J61" s="925">
        <f t="shared" si="11"/>
        <v>133282.5</v>
      </c>
      <c r="K61" s="746">
        <f t="shared" si="11"/>
        <v>133282.5</v>
      </c>
      <c r="L61" s="746">
        <f t="shared" si="11"/>
        <v>133282.5</v>
      </c>
      <c r="M61" s="746">
        <f t="shared" si="11"/>
        <v>133282.5</v>
      </c>
      <c r="N61" s="746">
        <f t="shared" si="11"/>
        <v>133282.5</v>
      </c>
      <c r="O61" s="746">
        <f t="shared" si="11"/>
        <v>133282.5</v>
      </c>
      <c r="P61" s="746">
        <f t="shared" si="11"/>
        <v>133282.5</v>
      </c>
      <c r="Q61" s="925">
        <f t="shared" si="11"/>
        <v>133282.5</v>
      </c>
      <c r="R61" s="746">
        <f t="shared" si="11"/>
        <v>133282.5</v>
      </c>
      <c r="S61" s="746">
        <f t="shared" si="11"/>
        <v>133282.5</v>
      </c>
      <c r="T61" s="746">
        <f t="shared" si="11"/>
        <v>133282.5</v>
      </c>
      <c r="U61" s="746">
        <f t="shared" si="11"/>
        <v>133282.5</v>
      </c>
      <c r="V61" s="746">
        <f t="shared" si="11"/>
        <v>133282.5</v>
      </c>
      <c r="W61" s="746">
        <f t="shared" si="11"/>
        <v>133282.5</v>
      </c>
      <c r="X61" s="746">
        <f t="shared" si="11"/>
        <v>133282.5</v>
      </c>
      <c r="Y61" s="746">
        <f t="shared" si="11"/>
        <v>133282.5</v>
      </c>
      <c r="Z61" s="746">
        <f t="shared" si="11"/>
        <v>133282.5</v>
      </c>
      <c r="AA61" s="746">
        <f t="shared" si="11"/>
        <v>133282.5</v>
      </c>
      <c r="AB61" s="746">
        <f t="shared" si="11"/>
        <v>133282.5</v>
      </c>
      <c r="AC61" s="746">
        <f t="shared" si="11"/>
        <v>133282.5</v>
      </c>
      <c r="AD61" s="828">
        <f t="shared" si="11"/>
        <v>133282.5</v>
      </c>
      <c r="AE61" s="828">
        <f t="shared" si="11"/>
        <v>133282.5</v>
      </c>
      <c r="AF61" s="828">
        <f t="shared" si="11"/>
        <v>133282.5</v>
      </c>
      <c r="AG61" s="828">
        <f t="shared" si="11"/>
        <v>133282.5</v>
      </c>
      <c r="AH61" s="828">
        <f t="shared" si="11"/>
        <v>133282.5</v>
      </c>
      <c r="AI61" s="863"/>
    </row>
    <row r="62" spans="1:113" hidden="1">
      <c r="A62" s="825" t="s">
        <v>1255</v>
      </c>
      <c r="B62" s="826"/>
      <c r="C62" s="827"/>
      <c r="D62" s="873">
        <f>+IF($C56=4514,IF(D$6=4514,D$5,D$5+101000),IF(D$6=4515,D$5+101000,D$5))</f>
        <v>85950</v>
      </c>
      <c r="E62" s="873">
        <f t="shared" ref="E62:AH62" si="12">+IF($C56=4514,IF(E$6=4514,E$5,E$5+101000),IF(E$6=4515,E$5+101000,E$5))</f>
        <v>85500</v>
      </c>
      <c r="F62" s="746">
        <f t="shared" si="12"/>
        <v>106200</v>
      </c>
      <c r="G62" s="746">
        <f t="shared" si="12"/>
        <v>110930</v>
      </c>
      <c r="H62" s="746">
        <f t="shared" si="12"/>
        <v>109900</v>
      </c>
      <c r="I62" s="746">
        <f t="shared" si="12"/>
        <v>110000</v>
      </c>
      <c r="J62" s="925">
        <f t="shared" si="12"/>
        <v>116500</v>
      </c>
      <c r="K62" s="746">
        <f t="shared" si="12"/>
        <v>117000</v>
      </c>
      <c r="L62" s="746">
        <f t="shared" si="12"/>
        <v>124200</v>
      </c>
      <c r="M62" s="746">
        <f t="shared" si="12"/>
        <v>126800</v>
      </c>
      <c r="N62" s="746">
        <f t="shared" si="12"/>
        <v>144400</v>
      </c>
      <c r="O62" s="746">
        <f t="shared" si="12"/>
        <v>146000</v>
      </c>
      <c r="P62" s="746">
        <f t="shared" si="12"/>
        <v>47500</v>
      </c>
      <c r="Q62" s="925">
        <f t="shared" si="12"/>
        <v>51000</v>
      </c>
      <c r="R62" s="746">
        <f t="shared" si="12"/>
        <v>40000</v>
      </c>
      <c r="S62" s="746">
        <f t="shared" si="12"/>
        <v>149800</v>
      </c>
      <c r="T62" s="746">
        <f t="shared" si="12"/>
        <v>154650</v>
      </c>
      <c r="U62" s="746">
        <f t="shared" si="12"/>
        <v>153350</v>
      </c>
      <c r="V62" s="746">
        <f t="shared" si="12"/>
        <v>154730</v>
      </c>
      <c r="W62" s="746">
        <f t="shared" si="12"/>
        <v>131000</v>
      </c>
      <c r="X62" s="746">
        <f t="shared" si="12"/>
        <v>164700</v>
      </c>
      <c r="Y62" s="746">
        <f t="shared" si="12"/>
        <v>173000</v>
      </c>
      <c r="Z62" s="746">
        <f t="shared" si="12"/>
        <v>176000</v>
      </c>
      <c r="AA62" s="746">
        <f t="shared" si="12"/>
        <v>185150</v>
      </c>
      <c r="AB62" s="746">
        <f t="shared" si="12"/>
        <v>190920</v>
      </c>
      <c r="AC62" s="746">
        <f t="shared" si="12"/>
        <v>190920</v>
      </c>
      <c r="AD62" s="828">
        <f t="shared" si="12"/>
        <v>89950</v>
      </c>
      <c r="AE62" s="828">
        <f t="shared" si="12"/>
        <v>129000</v>
      </c>
      <c r="AF62" s="828">
        <f t="shared" si="12"/>
        <v>139000</v>
      </c>
      <c r="AG62" s="828">
        <f t="shared" si="12"/>
        <v>172000</v>
      </c>
      <c r="AH62" s="828">
        <f t="shared" si="12"/>
        <v>177800</v>
      </c>
      <c r="AI62" s="863"/>
    </row>
    <row r="63" spans="1:113" ht="15" customHeight="1">
      <c r="A63" s="1741" t="s">
        <v>1266</v>
      </c>
      <c r="B63" s="814" t="s">
        <v>1257</v>
      </c>
      <c r="C63" s="829">
        <f>+'CANTIDADES TOTALIZADAS'!CE25</f>
        <v>0</v>
      </c>
      <c r="D63" s="782"/>
      <c r="E63" s="901"/>
      <c r="F63" s="783"/>
      <c r="G63" s="783"/>
      <c r="H63" s="783"/>
      <c r="I63" s="783"/>
      <c r="J63" s="933"/>
      <c r="K63" s="783"/>
      <c r="L63" s="783"/>
      <c r="M63" s="783"/>
      <c r="N63" s="783"/>
      <c r="O63" s="783"/>
      <c r="P63" s="783"/>
      <c r="Q63" s="933"/>
      <c r="R63" s="783"/>
      <c r="S63" s="783"/>
      <c r="T63" s="783"/>
      <c r="U63" s="783"/>
      <c r="V63" s="783">
        <f>$C63*FACTORES!$D$11*FACTORES!$D$25</f>
        <v>0</v>
      </c>
      <c r="W63" s="783"/>
      <c r="X63" s="783"/>
      <c r="Y63" s="783"/>
      <c r="Z63" s="783"/>
      <c r="AA63" s="783"/>
      <c r="AB63" s="783"/>
      <c r="AC63" s="783"/>
      <c r="AD63" s="830"/>
      <c r="AE63" s="830"/>
      <c r="AF63" s="830"/>
      <c r="AG63" s="830"/>
      <c r="AH63" s="830"/>
      <c r="AI63" s="864">
        <f>+SUMPRODUCT(D63:AH63,D60:AH60)</f>
        <v>0</v>
      </c>
      <c r="AJ63" s="807">
        <f>$C63*FACTORES!$D$11*FACTORES!$D$25</f>
        <v>0</v>
      </c>
    </row>
    <row r="64" spans="1:113">
      <c r="A64" s="1741"/>
      <c r="B64" s="814" t="s">
        <v>1258</v>
      </c>
      <c r="C64" s="829">
        <f>+'CANTIDADES TOTALIZADAS'!CE26</f>
        <v>0</v>
      </c>
      <c r="D64" s="782"/>
      <c r="E64" s="901"/>
      <c r="F64" s="783"/>
      <c r="G64" s="783"/>
      <c r="H64" s="783"/>
      <c r="I64" s="783"/>
      <c r="J64" s="933"/>
      <c r="K64" s="783"/>
      <c r="L64" s="783"/>
      <c r="M64" s="783"/>
      <c r="N64" s="783"/>
      <c r="O64" s="783"/>
      <c r="P64" s="783"/>
      <c r="Q64" s="933"/>
      <c r="R64" s="783"/>
      <c r="S64" s="783"/>
      <c r="T64" s="783"/>
      <c r="U64" s="783"/>
      <c r="V64" s="783">
        <f>$C64*FACTORES!$D$11*FACTORES!$D$25</f>
        <v>0</v>
      </c>
      <c r="W64" s="783"/>
      <c r="X64" s="783"/>
      <c r="Y64" s="783"/>
      <c r="Z64" s="783"/>
      <c r="AA64" s="783"/>
      <c r="AB64" s="783"/>
      <c r="AC64" s="783"/>
      <c r="AD64" s="830"/>
      <c r="AE64" s="830"/>
      <c r="AF64" s="830"/>
      <c r="AG64" s="830"/>
      <c r="AH64" s="830"/>
      <c r="AI64" s="864">
        <f>+SUMPRODUCT(D64:AH64,D60:AH60)</f>
        <v>0</v>
      </c>
      <c r="AJ64" s="807">
        <f>$C64*FACTORES!$D$11*FACTORES!$D$25</f>
        <v>0</v>
      </c>
    </row>
    <row r="65" spans="1:113">
      <c r="A65" s="1741"/>
      <c r="B65" s="814" t="s">
        <v>1259</v>
      </c>
      <c r="C65" s="829">
        <f>+'CANTIDADES TOTALIZADAS'!CE72</f>
        <v>302.69719200000003</v>
      </c>
      <c r="D65" s="782"/>
      <c r="E65" s="901"/>
      <c r="F65" s="783"/>
      <c r="G65" s="783"/>
      <c r="H65" s="783"/>
      <c r="I65" s="783"/>
      <c r="J65" s="933"/>
      <c r="K65" s="783"/>
      <c r="L65" s="783"/>
      <c r="M65" s="783"/>
      <c r="N65" s="783"/>
      <c r="O65" s="783"/>
      <c r="P65" s="783"/>
      <c r="Q65" s="933"/>
      <c r="R65" s="783"/>
      <c r="S65" s="783"/>
      <c r="T65" s="783"/>
      <c r="U65" s="783"/>
      <c r="V65" s="783"/>
      <c r="W65" s="783"/>
      <c r="X65" s="783"/>
      <c r="Y65" s="783"/>
      <c r="Z65" s="783"/>
      <c r="AA65" s="783"/>
      <c r="AB65" s="783"/>
      <c r="AC65" s="783"/>
      <c r="AD65" s="830"/>
      <c r="AE65" s="830"/>
      <c r="AF65" s="830"/>
      <c r="AG65" s="830">
        <f>+$C65*FACTORES!$D$23*FACTORES!$D$28</f>
        <v>355.06380621599999</v>
      </c>
      <c r="AH65" s="830"/>
      <c r="AI65" s="864">
        <f>+SUMPRODUCT(D65:AH65,D60:AH60)</f>
        <v>13747.18291716798</v>
      </c>
      <c r="AJ65" s="782">
        <f>+$C65*FACTORES!$D$23*FACTORES!$D$28</f>
        <v>355.06380621599999</v>
      </c>
    </row>
    <row r="66" spans="1:113">
      <c r="A66" s="1741"/>
      <c r="B66" s="814" t="s">
        <v>1260</v>
      </c>
      <c r="C66" s="829">
        <f>+'CANTIDADES TOTALIZADAS'!CE85</f>
        <v>911.88</v>
      </c>
      <c r="D66" s="782"/>
      <c r="E66" s="901"/>
      <c r="F66" s="783"/>
      <c r="G66" s="783"/>
      <c r="H66" s="783"/>
      <c r="I66" s="783"/>
      <c r="J66" s="933"/>
      <c r="K66" s="783"/>
      <c r="L66" s="783"/>
      <c r="M66" s="783"/>
      <c r="N66" s="783"/>
      <c r="O66" s="783"/>
      <c r="P66" s="783"/>
      <c r="Q66" s="933"/>
      <c r="R66" s="783"/>
      <c r="S66" s="783"/>
      <c r="T66" s="783"/>
      <c r="U66" s="783"/>
      <c r="V66" s="783"/>
      <c r="W66" s="783"/>
      <c r="X66" s="783"/>
      <c r="Y66" s="783"/>
      <c r="Z66" s="783"/>
      <c r="AA66" s="783"/>
      <c r="AB66" s="783"/>
      <c r="AC66" s="783"/>
      <c r="AD66" s="830"/>
      <c r="AE66" s="830"/>
      <c r="AF66" s="830"/>
      <c r="AG66" s="830">
        <f>+$C66*FACTORES!$D$7*FACTORES!$D$26</f>
        <v>1113.3418604651165</v>
      </c>
      <c r="AH66" s="830"/>
      <c r="AI66" s="864">
        <f>+SUMPRODUCT(D66:AH66,D60:AH60)</f>
        <v>43105.813482558151</v>
      </c>
      <c r="AJ66" s="807">
        <f>+$C66*FACTORES!$D$7*FACTORES!$D$26</f>
        <v>1113.3418604651165</v>
      </c>
    </row>
    <row r="67" spans="1:113">
      <c r="A67" s="1742"/>
      <c r="B67" s="840" t="s">
        <v>1261</v>
      </c>
      <c r="C67" s="841">
        <f>+'CANTIDADES TOTALIZADAS'!CE93</f>
        <v>1160.9399999999998</v>
      </c>
      <c r="D67" s="789"/>
      <c r="E67" s="906"/>
      <c r="F67" s="790"/>
      <c r="G67" s="790"/>
      <c r="H67" s="790"/>
      <c r="I67" s="790"/>
      <c r="J67" s="938"/>
      <c r="K67" s="790"/>
      <c r="L67" s="790"/>
      <c r="M67" s="790"/>
      <c r="N67" s="790"/>
      <c r="O67" s="790"/>
      <c r="P67" s="790"/>
      <c r="Q67" s="938"/>
      <c r="R67" s="790"/>
      <c r="S67" s="790"/>
      <c r="T67" s="790"/>
      <c r="U67" s="790"/>
      <c r="V67" s="790"/>
      <c r="W67" s="790"/>
      <c r="X67" s="790"/>
      <c r="Y67" s="790"/>
      <c r="Z67" s="790"/>
      <c r="AA67" s="790"/>
      <c r="AB67" s="790"/>
      <c r="AC67" s="790"/>
      <c r="AD67" s="842">
        <f>+$C67*FACTORES!$D$3*FACTORES!$D$27</f>
        <v>1420.9905599999997</v>
      </c>
      <c r="AE67" s="842"/>
      <c r="AF67" s="842"/>
      <c r="AG67" s="842"/>
      <c r="AH67" s="842"/>
      <c r="AI67" s="865">
        <f>+SUMPRODUCT(D67:AH67,D60:AH60)</f>
        <v>61575.073441199995</v>
      </c>
      <c r="AJ67" s="807">
        <f>+$C67*FACTORES!$D$3*FACTORES!$D$27</f>
        <v>1420.9905599999997</v>
      </c>
    </row>
    <row r="68" spans="1:113">
      <c r="A68" s="799" t="s">
        <v>1247</v>
      </c>
      <c r="B68" s="800"/>
      <c r="C68" s="801" t="s">
        <v>1309</v>
      </c>
      <c r="D68" s="913"/>
      <c r="E68" s="914"/>
      <c r="F68" s="803"/>
      <c r="G68" s="803"/>
      <c r="H68" s="803"/>
      <c r="I68" s="803"/>
      <c r="J68" s="915"/>
      <c r="K68" s="803"/>
      <c r="L68" s="803"/>
      <c r="M68" s="803"/>
      <c r="N68" s="803"/>
      <c r="O68" s="803"/>
      <c r="P68" s="803"/>
      <c r="Q68" s="915"/>
      <c r="R68" s="803"/>
      <c r="S68" s="803"/>
      <c r="T68" s="803"/>
      <c r="U68" s="803"/>
      <c r="V68" s="803"/>
      <c r="W68" s="803"/>
      <c r="X68" s="803"/>
      <c r="Y68" s="803"/>
      <c r="Z68" s="803"/>
      <c r="AA68" s="803"/>
      <c r="AB68" s="803"/>
      <c r="AC68" s="803"/>
      <c r="AD68" s="859"/>
      <c r="AE68" s="859"/>
      <c r="AF68" s="859"/>
      <c r="AG68" s="859"/>
      <c r="AH68" s="859"/>
      <c r="AI68" s="860"/>
      <c r="AJ68" s="806"/>
      <c r="AK68" s="806"/>
      <c r="AL68" s="806"/>
      <c r="AM68" s="806"/>
      <c r="AN68" s="806"/>
      <c r="AO68" s="806"/>
      <c r="AP68" s="806"/>
      <c r="AQ68" s="806"/>
      <c r="AR68" s="806"/>
      <c r="AS68" s="806"/>
      <c r="AT68" s="806"/>
      <c r="AU68" s="806"/>
      <c r="AV68" s="806"/>
      <c r="AW68" s="806"/>
      <c r="AX68" s="806"/>
      <c r="AY68" s="806"/>
      <c r="AZ68" s="806"/>
      <c r="BA68" s="806"/>
      <c r="BB68" s="806"/>
      <c r="BC68" s="806"/>
      <c r="BD68" s="806"/>
      <c r="BE68" s="806"/>
      <c r="BF68" s="806"/>
      <c r="BG68" s="806"/>
      <c r="BH68" s="806"/>
      <c r="BI68" s="806"/>
      <c r="BJ68" s="806"/>
      <c r="BK68" s="806"/>
      <c r="BL68" s="806"/>
      <c r="BM68" s="806"/>
      <c r="BN68" s="806"/>
      <c r="BO68" s="806"/>
      <c r="BP68" s="806"/>
      <c r="BQ68" s="806"/>
      <c r="BR68" s="806"/>
      <c r="BS68" s="806"/>
      <c r="BT68" s="806"/>
      <c r="BU68" s="806"/>
      <c r="BV68" s="806"/>
      <c r="BW68" s="806"/>
      <c r="BX68" s="806"/>
      <c r="BY68" s="806"/>
      <c r="BZ68" s="806"/>
      <c r="CA68" s="806"/>
      <c r="CB68" s="806"/>
      <c r="CC68" s="806"/>
      <c r="CD68" s="806"/>
      <c r="CE68" s="806"/>
      <c r="CF68" s="806"/>
      <c r="CG68" s="806"/>
      <c r="CH68" s="806"/>
      <c r="CI68" s="806"/>
      <c r="CJ68" s="806"/>
      <c r="CK68" s="806"/>
      <c r="CL68" s="806"/>
      <c r="CM68" s="806"/>
      <c r="CN68" s="806"/>
      <c r="CO68" s="806"/>
      <c r="CP68" s="806"/>
      <c r="CQ68" s="806"/>
      <c r="CR68" s="806"/>
      <c r="CS68" s="806"/>
      <c r="CT68" s="806"/>
      <c r="CU68" s="806"/>
      <c r="CV68" s="806"/>
      <c r="CW68" s="806"/>
      <c r="CX68" s="806"/>
      <c r="CY68" s="806"/>
      <c r="CZ68" s="806"/>
      <c r="DA68" s="806"/>
      <c r="DB68" s="806"/>
      <c r="DC68" s="806"/>
      <c r="DD68" s="806"/>
      <c r="DE68" s="806"/>
      <c r="DF68" s="806"/>
      <c r="DG68" s="806"/>
      <c r="DH68" s="806"/>
      <c r="DI68" s="806"/>
    </row>
    <row r="69" spans="1:113">
      <c r="A69" s="808" t="s">
        <v>1227</v>
      </c>
      <c r="B69" s="809"/>
      <c r="C69" s="810">
        <v>4515</v>
      </c>
      <c r="D69" s="916"/>
      <c r="E69" s="917"/>
      <c r="F69" s="812"/>
      <c r="G69" s="812"/>
      <c r="H69" s="812"/>
      <c r="I69" s="812"/>
      <c r="J69" s="918"/>
      <c r="K69" s="812"/>
      <c r="L69" s="812"/>
      <c r="M69" s="812"/>
      <c r="N69" s="812"/>
      <c r="O69" s="812"/>
      <c r="P69" s="812"/>
      <c r="Q69" s="918"/>
      <c r="R69" s="812"/>
      <c r="S69" s="812"/>
      <c r="T69" s="812"/>
      <c r="U69" s="812"/>
      <c r="V69" s="812"/>
      <c r="W69" s="812"/>
      <c r="X69" s="812"/>
      <c r="Y69" s="812"/>
      <c r="Z69" s="812"/>
      <c r="AA69" s="812"/>
      <c r="AB69" s="812"/>
      <c r="AC69" s="812"/>
      <c r="AD69" s="861"/>
      <c r="AE69" s="861"/>
      <c r="AF69" s="861"/>
      <c r="AG69" s="861"/>
      <c r="AH69" s="861"/>
      <c r="AI69" s="860"/>
      <c r="AJ69" s="806"/>
      <c r="AK69" s="806"/>
      <c r="AL69" s="806"/>
      <c r="AM69" s="806"/>
      <c r="AN69" s="806"/>
      <c r="AO69" s="806"/>
      <c r="AP69" s="806"/>
      <c r="AQ69" s="806"/>
      <c r="AR69" s="806"/>
      <c r="AS69" s="806"/>
      <c r="AT69" s="806"/>
      <c r="AU69" s="806"/>
      <c r="AV69" s="806"/>
      <c r="AW69" s="806"/>
      <c r="AX69" s="806"/>
      <c r="AY69" s="806"/>
      <c r="AZ69" s="806"/>
      <c r="BA69" s="806"/>
      <c r="BB69" s="806"/>
      <c r="BC69" s="806"/>
      <c r="BD69" s="806"/>
      <c r="BE69" s="806"/>
      <c r="BF69" s="806"/>
      <c r="BG69" s="806"/>
      <c r="BH69" s="806"/>
      <c r="BI69" s="806"/>
      <c r="BJ69" s="806"/>
      <c r="BK69" s="806"/>
      <c r="BL69" s="806"/>
      <c r="BM69" s="806"/>
      <c r="BN69" s="806"/>
      <c r="BO69" s="806"/>
      <c r="BP69" s="806"/>
      <c r="BQ69" s="806"/>
      <c r="BR69" s="806"/>
      <c r="BS69" s="806"/>
      <c r="BT69" s="806"/>
      <c r="BU69" s="806"/>
      <c r="BV69" s="806"/>
      <c r="BW69" s="806"/>
      <c r="BX69" s="806"/>
      <c r="BY69" s="806"/>
      <c r="BZ69" s="806"/>
      <c r="CA69" s="806"/>
      <c r="CB69" s="806"/>
      <c r="CC69" s="806"/>
      <c r="CD69" s="806"/>
      <c r="CE69" s="806"/>
      <c r="CF69" s="806"/>
      <c r="CG69" s="806"/>
      <c r="CH69" s="806"/>
      <c r="CI69" s="806"/>
      <c r="CJ69" s="806"/>
      <c r="CK69" s="806"/>
      <c r="CL69" s="806"/>
      <c r="CM69" s="806"/>
      <c r="CN69" s="806"/>
      <c r="CO69" s="806"/>
      <c r="CP69" s="806"/>
      <c r="CQ69" s="806"/>
      <c r="CR69" s="806"/>
      <c r="CS69" s="806"/>
      <c r="CT69" s="806"/>
      <c r="CU69" s="806"/>
      <c r="CV69" s="806"/>
      <c r="CW69" s="806"/>
      <c r="CX69" s="806"/>
      <c r="CY69" s="806"/>
      <c r="CZ69" s="806"/>
      <c r="DA69" s="806"/>
      <c r="DB69" s="806"/>
      <c r="DC69" s="806"/>
      <c r="DD69" s="806"/>
      <c r="DE69" s="806"/>
      <c r="DF69" s="806"/>
      <c r="DG69" s="806"/>
      <c r="DH69" s="806"/>
      <c r="DI69" s="806"/>
    </row>
    <row r="70" spans="1:113" ht="15" customHeight="1">
      <c r="A70" s="1740" t="s">
        <v>1249</v>
      </c>
      <c r="B70" s="814" t="s">
        <v>1250</v>
      </c>
      <c r="C70" s="815">
        <v>54270</v>
      </c>
      <c r="D70" s="919"/>
      <c r="E70" s="920"/>
      <c r="F70" s="817"/>
      <c r="G70" s="817"/>
      <c r="H70" s="817"/>
      <c r="I70" s="817"/>
      <c r="J70" s="921"/>
      <c r="K70" s="817"/>
      <c r="L70" s="817"/>
      <c r="M70" s="817"/>
      <c r="N70" s="817"/>
      <c r="O70" s="817"/>
      <c r="P70" s="817"/>
      <c r="Q70" s="921"/>
      <c r="R70" s="817"/>
      <c r="S70" s="817"/>
      <c r="T70" s="817"/>
      <c r="U70" s="817"/>
      <c r="V70" s="817"/>
      <c r="W70" s="817"/>
      <c r="X70" s="817"/>
      <c r="Y70" s="817"/>
      <c r="Z70" s="817"/>
      <c r="AA70" s="817"/>
      <c r="AB70" s="817"/>
      <c r="AC70" s="817"/>
      <c r="AD70" s="852"/>
      <c r="AE70" s="852"/>
      <c r="AF70" s="852"/>
      <c r="AG70" s="852"/>
      <c r="AH70" s="852"/>
      <c r="AI70" s="860"/>
      <c r="AJ70" s="806"/>
      <c r="AK70" s="806"/>
      <c r="AL70" s="806"/>
      <c r="AM70" s="806"/>
      <c r="AN70" s="806"/>
      <c r="AO70" s="806"/>
      <c r="AP70" s="806"/>
      <c r="AQ70" s="806"/>
      <c r="AR70" s="806"/>
      <c r="AS70" s="806"/>
      <c r="AT70" s="806"/>
      <c r="AU70" s="806"/>
      <c r="AV70" s="806"/>
      <c r="AW70" s="806"/>
      <c r="AX70" s="806"/>
      <c r="AY70" s="806"/>
      <c r="AZ70" s="806"/>
      <c r="BA70" s="806"/>
      <c r="BB70" s="806"/>
      <c r="BC70" s="806"/>
      <c r="BD70" s="806"/>
      <c r="BE70" s="806"/>
      <c r="BF70" s="806"/>
      <c r="BG70" s="806"/>
      <c r="BH70" s="806"/>
      <c r="BI70" s="806"/>
      <c r="BJ70" s="806"/>
      <c r="BK70" s="806"/>
      <c r="BL70" s="806"/>
      <c r="BM70" s="806"/>
      <c r="BN70" s="806"/>
      <c r="BO70" s="806"/>
      <c r="BP70" s="806"/>
      <c r="BQ70" s="806"/>
      <c r="BR70" s="806"/>
      <c r="BS70" s="806"/>
      <c r="BT70" s="806"/>
      <c r="BU70" s="806"/>
      <c r="BV70" s="806"/>
      <c r="BW70" s="806"/>
      <c r="BX70" s="806"/>
      <c r="BY70" s="806"/>
      <c r="BZ70" s="806"/>
      <c r="CA70" s="806"/>
      <c r="CB70" s="806"/>
      <c r="CC70" s="806"/>
      <c r="CD70" s="806"/>
      <c r="CE70" s="806"/>
      <c r="CF70" s="806"/>
      <c r="CG70" s="806"/>
      <c r="CH70" s="806"/>
      <c r="CI70" s="806"/>
      <c r="CJ70" s="806"/>
      <c r="CK70" s="806"/>
      <c r="CL70" s="806"/>
      <c r="CM70" s="806"/>
      <c r="CN70" s="806"/>
      <c r="CO70" s="806"/>
      <c r="CP70" s="806"/>
      <c r="CQ70" s="806"/>
      <c r="CR70" s="806"/>
      <c r="CS70" s="806"/>
      <c r="CT70" s="806"/>
      <c r="CU70" s="806"/>
      <c r="CV70" s="806"/>
      <c r="CW70" s="806"/>
      <c r="CX70" s="806"/>
      <c r="CY70" s="806"/>
      <c r="CZ70" s="806"/>
      <c r="DA70" s="806"/>
      <c r="DB70" s="806"/>
      <c r="DC70" s="806"/>
      <c r="DD70" s="806"/>
      <c r="DE70" s="806"/>
      <c r="DF70" s="806"/>
      <c r="DG70" s="806"/>
      <c r="DH70" s="806"/>
      <c r="DI70" s="806"/>
    </row>
    <row r="71" spans="1:113">
      <c r="A71" s="1740"/>
      <c r="B71" s="814" t="s">
        <v>1251</v>
      </c>
      <c r="C71" s="815">
        <v>66000</v>
      </c>
      <c r="D71" s="919"/>
      <c r="E71" s="920"/>
      <c r="F71" s="817"/>
      <c r="G71" s="817"/>
      <c r="H71" s="817"/>
      <c r="I71" s="817"/>
      <c r="J71" s="921"/>
      <c r="K71" s="817"/>
      <c r="L71" s="817"/>
      <c r="M71" s="817"/>
      <c r="N71" s="817"/>
      <c r="O71" s="817"/>
      <c r="P71" s="817"/>
      <c r="Q71" s="921"/>
      <c r="R71" s="817"/>
      <c r="S71" s="817"/>
      <c r="T71" s="817"/>
      <c r="U71" s="817"/>
      <c r="V71" s="817"/>
      <c r="W71" s="817"/>
      <c r="X71" s="817"/>
      <c r="Y71" s="817"/>
      <c r="Z71" s="817"/>
      <c r="AA71" s="817"/>
      <c r="AB71" s="817"/>
      <c r="AC71" s="817"/>
      <c r="AD71" s="862"/>
      <c r="AE71" s="862"/>
      <c r="AF71" s="862"/>
      <c r="AG71" s="862"/>
      <c r="AH71" s="862"/>
      <c r="AI71" s="863"/>
    </row>
    <row r="72" spans="1:113">
      <c r="A72" s="819" t="s">
        <v>1252</v>
      </c>
      <c r="B72" s="820"/>
      <c r="C72" s="815">
        <f>+(C71-C70)/2+C70</f>
        <v>60135</v>
      </c>
      <c r="D72" s="919"/>
      <c r="E72" s="920"/>
      <c r="F72" s="817"/>
      <c r="G72" s="817"/>
      <c r="H72" s="817"/>
      <c r="I72" s="817"/>
      <c r="J72" s="921"/>
      <c r="K72" s="817"/>
      <c r="L72" s="817"/>
      <c r="M72" s="817"/>
      <c r="N72" s="817"/>
      <c r="O72" s="817"/>
      <c r="P72" s="817"/>
      <c r="Q72" s="921"/>
      <c r="R72" s="817"/>
      <c r="S72" s="817"/>
      <c r="T72" s="817"/>
      <c r="U72" s="817"/>
      <c r="V72" s="817"/>
      <c r="W72" s="817"/>
      <c r="X72" s="817"/>
      <c r="Y72" s="817"/>
      <c r="Z72" s="817"/>
      <c r="AA72" s="817"/>
      <c r="AB72" s="817"/>
      <c r="AC72" s="817"/>
      <c r="AD72" s="862"/>
      <c r="AE72" s="862"/>
      <c r="AF72" s="862"/>
      <c r="AG72" s="862"/>
      <c r="AH72" s="862"/>
      <c r="AI72" s="863"/>
    </row>
    <row r="73" spans="1:113">
      <c r="A73" s="819" t="s">
        <v>1253</v>
      </c>
      <c r="B73" s="820"/>
      <c r="C73" s="821"/>
      <c r="D73" s="937">
        <f>IF(D75&gt;D74,(D75-D74)+D$2+D$3,(D74-D75)+D$2+D$4)/1000</f>
        <v>75.185000000000002</v>
      </c>
      <c r="E73" s="923">
        <f t="shared" ref="E73:AG73" si="13">IF(E75&gt;E74,(E75-E74)+E$2+E$3,(E74-E75)+E$2+E$4)/1000</f>
        <v>75.635000000000005</v>
      </c>
      <c r="F73" s="823">
        <f t="shared" si="13"/>
        <v>54.935000000000002</v>
      </c>
      <c r="G73" s="823">
        <f t="shared" si="13"/>
        <v>50.206000000000003</v>
      </c>
      <c r="H73" s="823">
        <f t="shared" si="13"/>
        <v>51.234999999999999</v>
      </c>
      <c r="I73" s="823">
        <f t="shared" si="13"/>
        <v>51.136000000000003</v>
      </c>
      <c r="J73" s="924">
        <f t="shared" si="13"/>
        <v>44.634999999999998</v>
      </c>
      <c r="K73" s="823">
        <f t="shared" si="13"/>
        <v>44.134999999999998</v>
      </c>
      <c r="L73" s="823">
        <f t="shared" si="13"/>
        <v>36.935000000000002</v>
      </c>
      <c r="M73" s="823">
        <f t="shared" si="13"/>
        <v>34.339500000000001</v>
      </c>
      <c r="N73" s="823">
        <f t="shared" si="13"/>
        <v>16.734999999999999</v>
      </c>
      <c r="O73" s="823">
        <f t="shared" si="13"/>
        <v>15.135</v>
      </c>
      <c r="P73" s="823">
        <f t="shared" si="13"/>
        <v>113.63549999999999</v>
      </c>
      <c r="Q73" s="924">
        <f t="shared" si="13"/>
        <v>110.13500000000001</v>
      </c>
      <c r="R73" s="823">
        <f t="shared" si="13"/>
        <v>121.13630000000001</v>
      </c>
      <c r="S73" s="823">
        <f t="shared" si="13"/>
        <v>11.337999999999999</v>
      </c>
      <c r="T73" s="823">
        <f t="shared" si="13"/>
        <v>6.4868000000000006</v>
      </c>
      <c r="U73" s="823">
        <f t="shared" si="13"/>
        <v>7.7863999999999995</v>
      </c>
      <c r="V73" s="823">
        <f t="shared" si="13"/>
        <v>6.4073000000000002</v>
      </c>
      <c r="W73" s="823">
        <f t="shared" si="13"/>
        <v>30.135000000000002</v>
      </c>
      <c r="X73" s="823">
        <f t="shared" si="13"/>
        <v>3.5649999999999999</v>
      </c>
      <c r="Y73" s="823">
        <f t="shared" si="13"/>
        <v>11.866</v>
      </c>
      <c r="Z73" s="823">
        <f t="shared" si="13"/>
        <v>14.868799999999998</v>
      </c>
      <c r="AA73" s="823">
        <f t="shared" si="13"/>
        <v>24.016200000000001</v>
      </c>
      <c r="AB73" s="823">
        <f t="shared" si="13"/>
        <v>29.785</v>
      </c>
      <c r="AC73" s="823">
        <f t="shared" si="13"/>
        <v>29.791499999999999</v>
      </c>
      <c r="AD73" s="824">
        <f t="shared" si="13"/>
        <v>71.185000000000002</v>
      </c>
      <c r="AE73" s="824">
        <f t="shared" si="13"/>
        <v>32.134999999999998</v>
      </c>
      <c r="AF73" s="824">
        <f t="shared" si="13"/>
        <v>22.135000000000002</v>
      </c>
      <c r="AG73" s="824">
        <f t="shared" si="13"/>
        <v>10.865</v>
      </c>
      <c r="AH73" s="824">
        <f>IF(AH75&gt;AH74,(AH75-AH74)+AH$2+AH$3,(AH74-AH75)+AH$2+AH$4)/1000</f>
        <v>16.670999999999999</v>
      </c>
      <c r="AI73" s="863"/>
    </row>
    <row r="74" spans="1:113" hidden="1">
      <c r="A74" s="825" t="s">
        <v>1254</v>
      </c>
      <c r="B74" s="826"/>
      <c r="C74" s="827"/>
      <c r="D74" s="873">
        <f>+IF($C69=4514,IF(D$6=4514,$C72,$C72),IF(D$6=4515,$C72+101000,101000+$C72))</f>
        <v>161135</v>
      </c>
      <c r="E74" s="873">
        <f t="shared" ref="E74:AH74" si="14">+IF($C69=4514,IF(E$6=4514,$C72,$C72),IF(E$6=4515,$C72+101000,101000+$C72))</f>
        <v>161135</v>
      </c>
      <c r="F74" s="746">
        <f t="shared" si="14"/>
        <v>161135</v>
      </c>
      <c r="G74" s="746">
        <f t="shared" si="14"/>
        <v>161135</v>
      </c>
      <c r="H74" s="746">
        <f t="shared" si="14"/>
        <v>161135</v>
      </c>
      <c r="I74" s="746">
        <f t="shared" si="14"/>
        <v>161135</v>
      </c>
      <c r="J74" s="925">
        <f t="shared" si="14"/>
        <v>161135</v>
      </c>
      <c r="K74" s="746">
        <f t="shared" si="14"/>
        <v>161135</v>
      </c>
      <c r="L74" s="746">
        <f t="shared" si="14"/>
        <v>161135</v>
      </c>
      <c r="M74" s="746">
        <f t="shared" si="14"/>
        <v>161135</v>
      </c>
      <c r="N74" s="746">
        <f t="shared" si="14"/>
        <v>161135</v>
      </c>
      <c r="O74" s="746">
        <f t="shared" si="14"/>
        <v>161135</v>
      </c>
      <c r="P74" s="746">
        <f t="shared" si="14"/>
        <v>161135</v>
      </c>
      <c r="Q74" s="925">
        <f t="shared" si="14"/>
        <v>161135</v>
      </c>
      <c r="R74" s="746">
        <f t="shared" si="14"/>
        <v>161135</v>
      </c>
      <c r="S74" s="746">
        <f t="shared" si="14"/>
        <v>161135</v>
      </c>
      <c r="T74" s="746">
        <f t="shared" si="14"/>
        <v>161135</v>
      </c>
      <c r="U74" s="746">
        <f t="shared" si="14"/>
        <v>161135</v>
      </c>
      <c r="V74" s="746">
        <f t="shared" si="14"/>
        <v>161135</v>
      </c>
      <c r="W74" s="746">
        <f t="shared" si="14"/>
        <v>161135</v>
      </c>
      <c r="X74" s="746">
        <f t="shared" si="14"/>
        <v>161135</v>
      </c>
      <c r="Y74" s="746">
        <f t="shared" si="14"/>
        <v>161135</v>
      </c>
      <c r="Z74" s="746">
        <f t="shared" si="14"/>
        <v>161135</v>
      </c>
      <c r="AA74" s="746">
        <f t="shared" si="14"/>
        <v>161135</v>
      </c>
      <c r="AB74" s="746">
        <f t="shared" si="14"/>
        <v>161135</v>
      </c>
      <c r="AC74" s="746">
        <f t="shared" si="14"/>
        <v>161135</v>
      </c>
      <c r="AD74" s="828">
        <f t="shared" si="14"/>
        <v>161135</v>
      </c>
      <c r="AE74" s="828">
        <f t="shared" si="14"/>
        <v>161135</v>
      </c>
      <c r="AF74" s="828">
        <f t="shared" si="14"/>
        <v>161135</v>
      </c>
      <c r="AG74" s="828">
        <f t="shared" si="14"/>
        <v>161135</v>
      </c>
      <c r="AH74" s="828">
        <f t="shared" si="14"/>
        <v>161135</v>
      </c>
      <c r="AI74" s="863"/>
    </row>
    <row r="75" spans="1:113" hidden="1">
      <c r="A75" s="825" t="s">
        <v>1255</v>
      </c>
      <c r="B75" s="826"/>
      <c r="C75" s="827"/>
      <c r="D75" s="873">
        <f>+IF($C69=4514,IF(D$6=4514,D$5,D$5+101000),IF(D$6=4515,D$5+101000,D$5))</f>
        <v>85950</v>
      </c>
      <c r="E75" s="873">
        <f t="shared" ref="E75:AH75" si="15">+IF($C69=4514,IF(E$6=4514,E$5,E$5+101000),IF(E$6=4515,E$5+101000,E$5))</f>
        <v>85500</v>
      </c>
      <c r="F75" s="746">
        <f t="shared" si="15"/>
        <v>106200</v>
      </c>
      <c r="G75" s="746">
        <f t="shared" si="15"/>
        <v>110930</v>
      </c>
      <c r="H75" s="746">
        <f t="shared" si="15"/>
        <v>109900</v>
      </c>
      <c r="I75" s="746">
        <f t="shared" si="15"/>
        <v>110000</v>
      </c>
      <c r="J75" s="925">
        <f t="shared" si="15"/>
        <v>116500</v>
      </c>
      <c r="K75" s="746">
        <f t="shared" si="15"/>
        <v>117000</v>
      </c>
      <c r="L75" s="746">
        <f t="shared" si="15"/>
        <v>124200</v>
      </c>
      <c r="M75" s="746">
        <f t="shared" si="15"/>
        <v>126800</v>
      </c>
      <c r="N75" s="746">
        <f t="shared" si="15"/>
        <v>144400</v>
      </c>
      <c r="O75" s="746">
        <f t="shared" si="15"/>
        <v>146000</v>
      </c>
      <c r="P75" s="746">
        <f t="shared" si="15"/>
        <v>47500</v>
      </c>
      <c r="Q75" s="925">
        <f t="shared" si="15"/>
        <v>51000</v>
      </c>
      <c r="R75" s="746">
        <f t="shared" si="15"/>
        <v>40000</v>
      </c>
      <c r="S75" s="746">
        <f t="shared" si="15"/>
        <v>149800</v>
      </c>
      <c r="T75" s="746">
        <f t="shared" si="15"/>
        <v>154650</v>
      </c>
      <c r="U75" s="746">
        <f t="shared" si="15"/>
        <v>153350</v>
      </c>
      <c r="V75" s="746">
        <f t="shared" si="15"/>
        <v>154730</v>
      </c>
      <c r="W75" s="746">
        <f t="shared" si="15"/>
        <v>131000</v>
      </c>
      <c r="X75" s="746">
        <f t="shared" si="15"/>
        <v>164700</v>
      </c>
      <c r="Y75" s="746">
        <f t="shared" si="15"/>
        <v>173000</v>
      </c>
      <c r="Z75" s="746">
        <f t="shared" si="15"/>
        <v>176000</v>
      </c>
      <c r="AA75" s="746">
        <f t="shared" si="15"/>
        <v>185150</v>
      </c>
      <c r="AB75" s="746">
        <f t="shared" si="15"/>
        <v>190920</v>
      </c>
      <c r="AC75" s="746">
        <f t="shared" si="15"/>
        <v>190920</v>
      </c>
      <c r="AD75" s="828">
        <f t="shared" si="15"/>
        <v>89950</v>
      </c>
      <c r="AE75" s="828">
        <f t="shared" si="15"/>
        <v>129000</v>
      </c>
      <c r="AF75" s="828">
        <f t="shared" si="15"/>
        <v>139000</v>
      </c>
      <c r="AG75" s="828">
        <f t="shared" si="15"/>
        <v>172000</v>
      </c>
      <c r="AH75" s="828">
        <f t="shared" si="15"/>
        <v>177800</v>
      </c>
      <c r="AI75" s="863"/>
    </row>
    <row r="76" spans="1:113" ht="15" customHeight="1">
      <c r="A76" s="1741" t="s">
        <v>1266</v>
      </c>
      <c r="B76" s="814" t="s">
        <v>1257</v>
      </c>
      <c r="C76" s="829">
        <f>+'CANTIDADES TOTALIZADAS'!CM25</f>
        <v>5158.9210499999999</v>
      </c>
      <c r="D76" s="782"/>
      <c r="E76" s="901"/>
      <c r="F76" s="783"/>
      <c r="G76" s="783"/>
      <c r="H76" s="783"/>
      <c r="I76" s="783"/>
      <c r="J76" s="933"/>
      <c r="K76" s="783"/>
      <c r="L76" s="783"/>
      <c r="M76" s="783"/>
      <c r="N76" s="783"/>
      <c r="O76" s="783"/>
      <c r="P76" s="783"/>
      <c r="Q76" s="933"/>
      <c r="R76" s="783"/>
      <c r="S76" s="783"/>
      <c r="T76" s="783"/>
      <c r="U76" s="783"/>
      <c r="V76" s="783">
        <f>$C76*FACTORES!$D$11*FACTORES!$D$25</f>
        <v>7881.6849375000002</v>
      </c>
      <c r="W76" s="783"/>
      <c r="X76" s="783"/>
      <c r="Y76" s="783"/>
      <c r="Z76" s="783"/>
      <c r="AA76" s="783"/>
      <c r="AB76" s="783"/>
      <c r="AC76" s="783"/>
      <c r="AD76" s="830"/>
      <c r="AE76" s="830"/>
      <c r="AF76" s="830"/>
      <c r="AG76" s="830"/>
      <c r="AH76" s="830"/>
      <c r="AI76" s="864">
        <f>+SUMPRODUCT(D76:AH76,D73:AH73)</f>
        <v>50500.319900043753</v>
      </c>
      <c r="AJ76" s="807">
        <f>$C76*FACTORES!$D$11*FACTORES!$D$25</f>
        <v>7881.6849375000002</v>
      </c>
    </row>
    <row r="77" spans="1:113">
      <c r="A77" s="1741"/>
      <c r="B77" s="814" t="s">
        <v>1258</v>
      </c>
      <c r="C77" s="829">
        <f>+'CANTIDADES TOTALIZADAS'!CM26</f>
        <v>1369.3019999999999</v>
      </c>
      <c r="D77" s="782"/>
      <c r="E77" s="901"/>
      <c r="F77" s="783"/>
      <c r="G77" s="783"/>
      <c r="H77" s="783"/>
      <c r="I77" s="783"/>
      <c r="J77" s="933"/>
      <c r="K77" s="783"/>
      <c r="L77" s="783"/>
      <c r="M77" s="783"/>
      <c r="N77" s="783"/>
      <c r="O77" s="783"/>
      <c r="P77" s="783"/>
      <c r="Q77" s="933"/>
      <c r="R77" s="783"/>
      <c r="S77" s="783"/>
      <c r="T77" s="783"/>
      <c r="U77" s="783"/>
      <c r="V77" s="783">
        <f>$C77*FACTORES!$D$11*FACTORES!$D$25</f>
        <v>2091.9891666666667</v>
      </c>
      <c r="W77" s="783"/>
      <c r="X77" s="783"/>
      <c r="Y77" s="783"/>
      <c r="Z77" s="783"/>
      <c r="AA77" s="783"/>
      <c r="AB77" s="783"/>
      <c r="AC77" s="783"/>
      <c r="AD77" s="830"/>
      <c r="AE77" s="830"/>
      <c r="AF77" s="830"/>
      <c r="AG77" s="830"/>
      <c r="AH77" s="830"/>
      <c r="AI77" s="864">
        <f>+SUMPRODUCT(D77:AH77,D73:AH73)</f>
        <v>13404.002187583334</v>
      </c>
      <c r="AJ77" s="807">
        <f>$C77*FACTORES!$D$11*FACTORES!$D$25</f>
        <v>2091.9891666666667</v>
      </c>
    </row>
    <row r="78" spans="1:113">
      <c r="A78" s="1741"/>
      <c r="B78" s="814" t="s">
        <v>1259</v>
      </c>
      <c r="C78" s="829">
        <f>+'CANTIDADES TOTALIZADAS'!CM72</f>
        <v>177.459</v>
      </c>
      <c r="D78" s="782"/>
      <c r="E78" s="901"/>
      <c r="F78" s="783"/>
      <c r="G78" s="783"/>
      <c r="H78" s="783"/>
      <c r="I78" s="783"/>
      <c r="J78" s="933"/>
      <c r="K78" s="783"/>
      <c r="L78" s="783"/>
      <c r="M78" s="783"/>
      <c r="N78" s="783"/>
      <c r="O78" s="783"/>
      <c r="P78" s="783"/>
      <c r="Q78" s="933"/>
      <c r="R78" s="783"/>
      <c r="S78" s="783"/>
      <c r="T78" s="783"/>
      <c r="U78" s="783"/>
      <c r="V78" s="783"/>
      <c r="W78" s="783"/>
      <c r="X78" s="783"/>
      <c r="Y78" s="783"/>
      <c r="Z78" s="783"/>
      <c r="AA78" s="783"/>
      <c r="AB78" s="783"/>
      <c r="AC78" s="783"/>
      <c r="AD78" s="830"/>
      <c r="AE78" s="830"/>
      <c r="AF78" s="830"/>
      <c r="AG78" s="830">
        <f>+$C78*FACTORES!$D$23*FACTORES!$D$28</f>
        <v>208.15940699999999</v>
      </c>
      <c r="AH78" s="830"/>
      <c r="AI78" s="864">
        <f>+SUMPRODUCT(D78:AH78,D73:AH73)</f>
        <v>2261.6519570549999</v>
      </c>
      <c r="AJ78" s="782">
        <f>+$C78*FACTORES!$D$23*FACTORES!$D$28</f>
        <v>208.15940699999999</v>
      </c>
    </row>
    <row r="79" spans="1:113">
      <c r="A79" s="1741"/>
      <c r="B79" s="814" t="s">
        <v>1260</v>
      </c>
      <c r="C79" s="829">
        <f>+'CANTIDADES TOTALIZADAS'!CM85</f>
        <v>2907.4</v>
      </c>
      <c r="D79" s="782"/>
      <c r="E79" s="901"/>
      <c r="F79" s="783"/>
      <c r="G79" s="783"/>
      <c r="H79" s="783"/>
      <c r="I79" s="783"/>
      <c r="J79" s="933"/>
      <c r="K79" s="783"/>
      <c r="L79" s="783"/>
      <c r="M79" s="783"/>
      <c r="N79" s="783"/>
      <c r="O79" s="783"/>
      <c r="P79" s="783"/>
      <c r="Q79" s="933"/>
      <c r="R79" s="783"/>
      <c r="S79" s="783"/>
      <c r="T79" s="783"/>
      <c r="U79" s="783"/>
      <c r="V79" s="783"/>
      <c r="W79" s="783"/>
      <c r="X79" s="783"/>
      <c r="Y79" s="783"/>
      <c r="Z79" s="783"/>
      <c r="AA79" s="783"/>
      <c r="AB79" s="783"/>
      <c r="AC79" s="783"/>
      <c r="AD79" s="830"/>
      <c r="AE79" s="830"/>
      <c r="AF79" s="830"/>
      <c r="AG79" s="830">
        <f>+$C79*FACTORES!$D$7*FACTORES!$D$26</f>
        <v>3549.7325581395353</v>
      </c>
      <c r="AH79" s="830"/>
      <c r="AI79" s="864">
        <f>+SUMPRODUCT(D79:AH79,D73:AH73)</f>
        <v>38567.844244186053</v>
      </c>
      <c r="AJ79" s="807">
        <f>+$C79*FACTORES!$D$7*FACTORES!$D$26</f>
        <v>3549.7325581395353</v>
      </c>
    </row>
    <row r="80" spans="1:113">
      <c r="A80" s="1742"/>
      <c r="B80" s="840" t="s">
        <v>1261</v>
      </c>
      <c r="C80" s="841">
        <f>+'CANTIDADES TOTALIZADAS'!CM93</f>
        <v>798.52</v>
      </c>
      <c r="D80" s="789"/>
      <c r="E80" s="906"/>
      <c r="F80" s="790"/>
      <c r="G80" s="790"/>
      <c r="H80" s="790"/>
      <c r="I80" s="790"/>
      <c r="J80" s="938"/>
      <c r="K80" s="790"/>
      <c r="L80" s="790"/>
      <c r="M80" s="790"/>
      <c r="N80" s="790"/>
      <c r="O80" s="790"/>
      <c r="P80" s="790"/>
      <c r="Q80" s="938"/>
      <c r="R80" s="790"/>
      <c r="S80" s="790"/>
      <c r="T80" s="790"/>
      <c r="U80" s="790"/>
      <c r="V80" s="790"/>
      <c r="W80" s="790"/>
      <c r="X80" s="790"/>
      <c r="Y80" s="790"/>
      <c r="Z80" s="790"/>
      <c r="AA80" s="790"/>
      <c r="AB80" s="790"/>
      <c r="AC80" s="790"/>
      <c r="AD80" s="842">
        <f>+$C80*FACTORES!$D$3*FACTORES!$D$27</f>
        <v>977.38847999999996</v>
      </c>
      <c r="AE80" s="842"/>
      <c r="AF80" s="842"/>
      <c r="AG80" s="842"/>
      <c r="AH80" s="842"/>
      <c r="AI80" s="865">
        <f>+SUMPRODUCT(D80:AH80,D73:AH73)</f>
        <v>69575.398948799993</v>
      </c>
      <c r="AJ80" s="807">
        <f>+$C80*FACTORES!$D$3*FACTORES!$D$27</f>
        <v>977.38847999999996</v>
      </c>
    </row>
    <row r="81" spans="1:113">
      <c r="A81" s="799" t="s">
        <v>1247</v>
      </c>
      <c r="B81" s="800"/>
      <c r="C81" s="801" t="s">
        <v>1310</v>
      </c>
      <c r="D81" s="913"/>
      <c r="E81" s="914"/>
      <c r="F81" s="803"/>
      <c r="G81" s="803"/>
      <c r="H81" s="803"/>
      <c r="I81" s="803"/>
      <c r="J81" s="915"/>
      <c r="K81" s="803"/>
      <c r="L81" s="803"/>
      <c r="M81" s="803"/>
      <c r="N81" s="803"/>
      <c r="O81" s="803"/>
      <c r="P81" s="803"/>
      <c r="Q81" s="915"/>
      <c r="R81" s="803"/>
      <c r="S81" s="803"/>
      <c r="T81" s="803"/>
      <c r="U81" s="803"/>
      <c r="V81" s="803"/>
      <c r="W81" s="803"/>
      <c r="X81" s="803"/>
      <c r="Y81" s="803"/>
      <c r="Z81" s="803"/>
      <c r="AA81" s="803"/>
      <c r="AB81" s="803"/>
      <c r="AC81" s="803"/>
      <c r="AD81" s="859"/>
      <c r="AE81" s="859"/>
      <c r="AF81" s="859"/>
      <c r="AG81" s="859"/>
      <c r="AH81" s="859"/>
      <c r="AI81" s="860"/>
      <c r="AJ81" s="806"/>
      <c r="AK81" s="806"/>
      <c r="AL81" s="806"/>
      <c r="AM81" s="806"/>
      <c r="AN81" s="806"/>
      <c r="AO81" s="806"/>
      <c r="AP81" s="806"/>
      <c r="AQ81" s="806"/>
      <c r="AR81" s="806"/>
      <c r="AS81" s="806"/>
      <c r="AT81" s="806"/>
      <c r="AU81" s="806"/>
      <c r="AV81" s="806"/>
      <c r="AW81" s="806"/>
      <c r="AX81" s="806"/>
      <c r="AY81" s="806"/>
      <c r="AZ81" s="806"/>
      <c r="BA81" s="806"/>
      <c r="BB81" s="806"/>
      <c r="BC81" s="806"/>
      <c r="BD81" s="806"/>
      <c r="BE81" s="806"/>
      <c r="BF81" s="806"/>
      <c r="BG81" s="806"/>
      <c r="BH81" s="806"/>
      <c r="BI81" s="806"/>
      <c r="BJ81" s="806"/>
      <c r="BK81" s="806"/>
      <c r="BL81" s="806"/>
      <c r="BM81" s="806"/>
      <c r="BN81" s="806"/>
      <c r="BO81" s="806"/>
      <c r="BP81" s="806"/>
      <c r="BQ81" s="806"/>
      <c r="BR81" s="806"/>
      <c r="BS81" s="806"/>
      <c r="BT81" s="806"/>
      <c r="BU81" s="806"/>
      <c r="BV81" s="806"/>
      <c r="BW81" s="806"/>
      <c r="BX81" s="806"/>
      <c r="BY81" s="806"/>
      <c r="BZ81" s="806"/>
      <c r="CA81" s="806"/>
      <c r="CB81" s="806"/>
      <c r="CC81" s="806"/>
      <c r="CD81" s="806"/>
      <c r="CE81" s="806"/>
      <c r="CF81" s="806"/>
      <c r="CG81" s="806"/>
      <c r="CH81" s="806"/>
      <c r="CI81" s="806"/>
      <c r="CJ81" s="806"/>
      <c r="CK81" s="806"/>
      <c r="CL81" s="806"/>
      <c r="CM81" s="806"/>
      <c r="CN81" s="806"/>
      <c r="CO81" s="806"/>
      <c r="CP81" s="806"/>
      <c r="CQ81" s="806"/>
      <c r="CR81" s="806"/>
      <c r="CS81" s="806"/>
      <c r="CT81" s="806"/>
      <c r="CU81" s="806"/>
      <c r="CV81" s="806"/>
      <c r="CW81" s="806"/>
      <c r="CX81" s="806"/>
      <c r="CY81" s="806"/>
      <c r="CZ81" s="806"/>
      <c r="DA81" s="806"/>
      <c r="DB81" s="806"/>
      <c r="DC81" s="806"/>
      <c r="DD81" s="806"/>
      <c r="DE81" s="806"/>
      <c r="DF81" s="806"/>
      <c r="DG81" s="806"/>
      <c r="DH81" s="806"/>
      <c r="DI81" s="806"/>
    </row>
    <row r="82" spans="1:113">
      <c r="A82" s="808" t="s">
        <v>1227</v>
      </c>
      <c r="B82" s="809"/>
      <c r="C82" s="810">
        <v>4515</v>
      </c>
      <c r="D82" s="916"/>
      <c r="E82" s="917"/>
      <c r="F82" s="812"/>
      <c r="G82" s="812"/>
      <c r="H82" s="812"/>
      <c r="I82" s="812"/>
      <c r="J82" s="918"/>
      <c r="K82" s="812"/>
      <c r="L82" s="812"/>
      <c r="M82" s="812"/>
      <c r="N82" s="812"/>
      <c r="O82" s="812"/>
      <c r="P82" s="812"/>
      <c r="Q82" s="918"/>
      <c r="R82" s="812"/>
      <c r="S82" s="812"/>
      <c r="T82" s="812"/>
      <c r="U82" s="812"/>
      <c r="V82" s="812"/>
      <c r="W82" s="812"/>
      <c r="X82" s="812"/>
      <c r="Y82" s="812"/>
      <c r="Z82" s="812"/>
      <c r="AA82" s="812"/>
      <c r="AB82" s="812"/>
      <c r="AC82" s="812"/>
      <c r="AD82" s="861"/>
      <c r="AE82" s="861"/>
      <c r="AF82" s="861"/>
      <c r="AG82" s="861"/>
      <c r="AH82" s="861"/>
      <c r="AI82" s="860"/>
      <c r="AJ82" s="806"/>
      <c r="AK82" s="806"/>
      <c r="AL82" s="806"/>
      <c r="AM82" s="806"/>
      <c r="AN82" s="806"/>
      <c r="AO82" s="806"/>
      <c r="AP82" s="806"/>
      <c r="AQ82" s="806"/>
      <c r="AR82" s="806"/>
      <c r="AS82" s="806"/>
      <c r="AT82" s="806"/>
      <c r="AU82" s="806"/>
      <c r="AV82" s="806"/>
      <c r="AW82" s="806"/>
      <c r="AX82" s="806"/>
      <c r="AY82" s="806"/>
      <c r="AZ82" s="806"/>
      <c r="BA82" s="806"/>
      <c r="BB82" s="806"/>
      <c r="BC82" s="806"/>
      <c r="BD82" s="806"/>
      <c r="BE82" s="806"/>
      <c r="BF82" s="806"/>
      <c r="BG82" s="806"/>
      <c r="BH82" s="806"/>
      <c r="BI82" s="806"/>
      <c r="BJ82" s="806"/>
      <c r="BK82" s="806"/>
      <c r="BL82" s="806"/>
      <c r="BM82" s="806"/>
      <c r="BN82" s="806"/>
      <c r="BO82" s="806"/>
      <c r="BP82" s="806"/>
      <c r="BQ82" s="806"/>
      <c r="BR82" s="806"/>
      <c r="BS82" s="806"/>
      <c r="BT82" s="806"/>
      <c r="BU82" s="806"/>
      <c r="BV82" s="806"/>
      <c r="BW82" s="806"/>
      <c r="BX82" s="806"/>
      <c r="BY82" s="806"/>
      <c r="BZ82" s="806"/>
      <c r="CA82" s="806"/>
      <c r="CB82" s="806"/>
      <c r="CC82" s="806"/>
      <c r="CD82" s="806"/>
      <c r="CE82" s="806"/>
      <c r="CF82" s="806"/>
      <c r="CG82" s="806"/>
      <c r="CH82" s="806"/>
      <c r="CI82" s="806"/>
      <c r="CJ82" s="806"/>
      <c r="CK82" s="806"/>
      <c r="CL82" s="806"/>
      <c r="CM82" s="806"/>
      <c r="CN82" s="806"/>
      <c r="CO82" s="806"/>
      <c r="CP82" s="806"/>
      <c r="CQ82" s="806"/>
      <c r="CR82" s="806"/>
      <c r="CS82" s="806"/>
      <c r="CT82" s="806"/>
      <c r="CU82" s="806"/>
      <c r="CV82" s="806"/>
      <c r="CW82" s="806"/>
      <c r="CX82" s="806"/>
      <c r="CY82" s="806"/>
      <c r="CZ82" s="806"/>
      <c r="DA82" s="806"/>
      <c r="DB82" s="806"/>
      <c r="DC82" s="806"/>
      <c r="DD82" s="806"/>
      <c r="DE82" s="806"/>
      <c r="DF82" s="806"/>
      <c r="DG82" s="806"/>
      <c r="DH82" s="806"/>
      <c r="DI82" s="806"/>
    </row>
    <row r="83" spans="1:113" ht="15" customHeight="1">
      <c r="A83" s="1740" t="s">
        <v>1249</v>
      </c>
      <c r="B83" s="814" t="s">
        <v>1250</v>
      </c>
      <c r="C83" s="815">
        <v>66000</v>
      </c>
      <c r="D83" s="919"/>
      <c r="E83" s="920"/>
      <c r="F83" s="817"/>
      <c r="G83" s="817"/>
      <c r="H83" s="817"/>
      <c r="I83" s="817"/>
      <c r="J83" s="921"/>
      <c r="K83" s="817"/>
      <c r="L83" s="817"/>
      <c r="M83" s="817"/>
      <c r="N83" s="817"/>
      <c r="O83" s="817"/>
      <c r="P83" s="817"/>
      <c r="Q83" s="921"/>
      <c r="R83" s="817"/>
      <c r="S83" s="817"/>
      <c r="T83" s="817"/>
      <c r="U83" s="817"/>
      <c r="V83" s="817"/>
      <c r="W83" s="817"/>
      <c r="X83" s="817"/>
      <c r="Y83" s="817"/>
      <c r="Z83" s="817"/>
      <c r="AA83" s="817"/>
      <c r="AB83" s="817"/>
      <c r="AC83" s="817"/>
      <c r="AD83" s="852"/>
      <c r="AE83" s="852"/>
      <c r="AF83" s="852"/>
      <c r="AG83" s="852"/>
      <c r="AH83" s="852"/>
      <c r="AI83" s="860"/>
      <c r="AJ83" s="806"/>
      <c r="AK83" s="806"/>
      <c r="AL83" s="806"/>
      <c r="AM83" s="806"/>
      <c r="AN83" s="806"/>
      <c r="AO83" s="806"/>
      <c r="AP83" s="806"/>
      <c r="AQ83" s="806"/>
      <c r="AR83" s="806"/>
      <c r="AS83" s="806"/>
      <c r="AT83" s="806"/>
      <c r="AU83" s="806"/>
      <c r="AV83" s="806"/>
      <c r="AW83" s="806"/>
      <c r="AX83" s="806"/>
      <c r="AY83" s="806"/>
      <c r="AZ83" s="806"/>
      <c r="BA83" s="806"/>
      <c r="BB83" s="806"/>
      <c r="BC83" s="806"/>
      <c r="BD83" s="806"/>
      <c r="BE83" s="806"/>
      <c r="BF83" s="806"/>
      <c r="BG83" s="806"/>
      <c r="BH83" s="806"/>
      <c r="BI83" s="806"/>
      <c r="BJ83" s="806"/>
      <c r="BK83" s="806"/>
      <c r="BL83" s="806"/>
      <c r="BM83" s="806"/>
      <c r="BN83" s="806"/>
      <c r="BO83" s="806"/>
      <c r="BP83" s="806"/>
      <c r="BQ83" s="806"/>
      <c r="BR83" s="806"/>
      <c r="BS83" s="806"/>
      <c r="BT83" s="806"/>
      <c r="BU83" s="806"/>
      <c r="BV83" s="806"/>
      <c r="BW83" s="806"/>
      <c r="BX83" s="806"/>
      <c r="BY83" s="806"/>
      <c r="BZ83" s="806"/>
      <c r="CA83" s="806"/>
      <c r="CB83" s="806"/>
      <c r="CC83" s="806"/>
      <c r="CD83" s="806"/>
      <c r="CE83" s="806"/>
      <c r="CF83" s="806"/>
      <c r="CG83" s="806"/>
      <c r="CH83" s="806"/>
      <c r="CI83" s="806"/>
      <c r="CJ83" s="806"/>
      <c r="CK83" s="806"/>
      <c r="CL83" s="806"/>
      <c r="CM83" s="806"/>
      <c r="CN83" s="806"/>
      <c r="CO83" s="806"/>
      <c r="CP83" s="806"/>
      <c r="CQ83" s="806"/>
      <c r="CR83" s="806"/>
      <c r="CS83" s="806"/>
      <c r="CT83" s="806"/>
      <c r="CU83" s="806"/>
      <c r="CV83" s="806"/>
      <c r="CW83" s="806"/>
      <c r="CX83" s="806"/>
      <c r="CY83" s="806"/>
      <c r="CZ83" s="806"/>
      <c r="DA83" s="806"/>
      <c r="DB83" s="806"/>
      <c r="DC83" s="806"/>
      <c r="DD83" s="806"/>
      <c r="DE83" s="806"/>
      <c r="DF83" s="806"/>
      <c r="DG83" s="806"/>
      <c r="DH83" s="806"/>
      <c r="DI83" s="806"/>
    </row>
    <row r="84" spans="1:113">
      <c r="A84" s="1740"/>
      <c r="B84" s="814" t="s">
        <v>1251</v>
      </c>
      <c r="C84" s="815">
        <v>66240</v>
      </c>
      <c r="D84" s="919"/>
      <c r="E84" s="920"/>
      <c r="F84" s="817"/>
      <c r="G84" s="817"/>
      <c r="H84" s="817"/>
      <c r="I84" s="817"/>
      <c r="J84" s="921"/>
      <c r="K84" s="817"/>
      <c r="L84" s="817"/>
      <c r="M84" s="817"/>
      <c r="N84" s="817"/>
      <c r="O84" s="817"/>
      <c r="P84" s="817"/>
      <c r="Q84" s="921"/>
      <c r="R84" s="817"/>
      <c r="S84" s="817"/>
      <c r="T84" s="817"/>
      <c r="U84" s="817"/>
      <c r="V84" s="817"/>
      <c r="W84" s="817"/>
      <c r="X84" s="817"/>
      <c r="Y84" s="817"/>
      <c r="Z84" s="817"/>
      <c r="AA84" s="817"/>
      <c r="AB84" s="817"/>
      <c r="AC84" s="817"/>
      <c r="AD84" s="862"/>
      <c r="AE84" s="862"/>
      <c r="AF84" s="862"/>
      <c r="AG84" s="862"/>
      <c r="AH84" s="862"/>
      <c r="AI84" s="863"/>
    </row>
    <row r="85" spans="1:113">
      <c r="A85" s="819" t="s">
        <v>1252</v>
      </c>
      <c r="B85" s="820"/>
      <c r="C85" s="815">
        <f>+(C84-C83)/2+C83</f>
        <v>66120</v>
      </c>
      <c r="D85" s="919"/>
      <c r="E85" s="920"/>
      <c r="F85" s="817"/>
      <c r="G85" s="817"/>
      <c r="H85" s="817"/>
      <c r="I85" s="817"/>
      <c r="J85" s="921"/>
      <c r="K85" s="817"/>
      <c r="L85" s="817"/>
      <c r="M85" s="817"/>
      <c r="N85" s="817"/>
      <c r="O85" s="817"/>
      <c r="P85" s="817"/>
      <c r="Q85" s="921"/>
      <c r="R85" s="817"/>
      <c r="S85" s="817"/>
      <c r="T85" s="817"/>
      <c r="U85" s="817"/>
      <c r="V85" s="817"/>
      <c r="W85" s="817"/>
      <c r="X85" s="817"/>
      <c r="Y85" s="817"/>
      <c r="Z85" s="817"/>
      <c r="AA85" s="817"/>
      <c r="AB85" s="817"/>
      <c r="AC85" s="817"/>
      <c r="AD85" s="862"/>
      <c r="AE85" s="862"/>
      <c r="AF85" s="862"/>
      <c r="AG85" s="862"/>
      <c r="AH85" s="862"/>
      <c r="AI85" s="863"/>
    </row>
    <row r="86" spans="1:113">
      <c r="A86" s="819" t="s">
        <v>1253</v>
      </c>
      <c r="B86" s="820"/>
      <c r="C86" s="821"/>
      <c r="D86" s="937">
        <f>IF(D88&gt;D87,(D88-D87)+D$2+D$3,(D87-D88)+D$2+D$4)/1000</f>
        <v>81.17</v>
      </c>
      <c r="E86" s="923">
        <f t="shared" ref="E86:AG86" si="16">IF(E88&gt;E87,(E88-E87)+E$2+E$3,(E87-E88)+E$2+E$4)/1000</f>
        <v>81.62</v>
      </c>
      <c r="F86" s="823">
        <f t="shared" si="16"/>
        <v>60.92</v>
      </c>
      <c r="G86" s="823">
        <f t="shared" si="16"/>
        <v>56.191000000000003</v>
      </c>
      <c r="H86" s="823">
        <f t="shared" si="16"/>
        <v>57.22</v>
      </c>
      <c r="I86" s="823">
        <f t="shared" si="16"/>
        <v>57.121000000000002</v>
      </c>
      <c r="J86" s="924">
        <f t="shared" si="16"/>
        <v>50.62</v>
      </c>
      <c r="K86" s="823">
        <f t="shared" si="16"/>
        <v>50.12</v>
      </c>
      <c r="L86" s="823">
        <f t="shared" si="16"/>
        <v>42.92</v>
      </c>
      <c r="M86" s="823">
        <f t="shared" si="16"/>
        <v>40.3245</v>
      </c>
      <c r="N86" s="823">
        <f t="shared" si="16"/>
        <v>22.72</v>
      </c>
      <c r="O86" s="823">
        <f t="shared" si="16"/>
        <v>21.12</v>
      </c>
      <c r="P86" s="823">
        <f t="shared" si="16"/>
        <v>119.62050000000001</v>
      </c>
      <c r="Q86" s="924">
        <f t="shared" si="16"/>
        <v>116.12</v>
      </c>
      <c r="R86" s="823">
        <f t="shared" si="16"/>
        <v>127.12130000000001</v>
      </c>
      <c r="S86" s="823">
        <f t="shared" si="16"/>
        <v>17.323</v>
      </c>
      <c r="T86" s="823">
        <f t="shared" si="16"/>
        <v>12.4718</v>
      </c>
      <c r="U86" s="823">
        <f t="shared" si="16"/>
        <v>13.7714</v>
      </c>
      <c r="V86" s="823">
        <f t="shared" si="16"/>
        <v>12.392299999999999</v>
      </c>
      <c r="W86" s="823">
        <f t="shared" si="16"/>
        <v>36.119999999999997</v>
      </c>
      <c r="X86" s="823">
        <f t="shared" si="16"/>
        <v>2.42</v>
      </c>
      <c r="Y86" s="823">
        <f t="shared" si="16"/>
        <v>5.8810000000000002</v>
      </c>
      <c r="Z86" s="823">
        <f t="shared" si="16"/>
        <v>8.883799999999999</v>
      </c>
      <c r="AA86" s="823">
        <f t="shared" si="16"/>
        <v>18.031200000000002</v>
      </c>
      <c r="AB86" s="823">
        <f t="shared" si="16"/>
        <v>23.8</v>
      </c>
      <c r="AC86" s="823">
        <f t="shared" si="16"/>
        <v>23.8065</v>
      </c>
      <c r="AD86" s="824">
        <f t="shared" si="16"/>
        <v>77.17</v>
      </c>
      <c r="AE86" s="824">
        <f t="shared" si="16"/>
        <v>38.119999999999997</v>
      </c>
      <c r="AF86" s="824">
        <f t="shared" si="16"/>
        <v>28.12</v>
      </c>
      <c r="AG86" s="824">
        <f t="shared" si="16"/>
        <v>4.88</v>
      </c>
      <c r="AH86" s="824">
        <f>IF(AH88&gt;AH87,(AH88-AH87)+AH$2+AH$3,(AH87-AH88)+AH$2+AH$4)/1000</f>
        <v>10.686</v>
      </c>
      <c r="AI86" s="863"/>
    </row>
    <row r="87" spans="1:113" hidden="1">
      <c r="A87" s="825" t="s">
        <v>1254</v>
      </c>
      <c r="B87" s="826"/>
      <c r="C87" s="827"/>
      <c r="D87" s="873">
        <f>+IF($C82=4514,IF(D$6=4514,$C85,$C85),IF(D$6=4515,$C85+101000,101000+$C85))</f>
        <v>167120</v>
      </c>
      <c r="E87" s="873">
        <f t="shared" ref="E87:AH87" si="17">+IF($C82=4514,IF(E$6=4514,$C85,$C85),IF(E$6=4515,$C85+101000,101000+$C85))</f>
        <v>167120</v>
      </c>
      <c r="F87" s="746">
        <f t="shared" si="17"/>
        <v>167120</v>
      </c>
      <c r="G87" s="746">
        <f t="shared" si="17"/>
        <v>167120</v>
      </c>
      <c r="H87" s="746">
        <f t="shared" si="17"/>
        <v>167120</v>
      </c>
      <c r="I87" s="746">
        <f t="shared" si="17"/>
        <v>167120</v>
      </c>
      <c r="J87" s="925">
        <f t="shared" si="17"/>
        <v>167120</v>
      </c>
      <c r="K87" s="746">
        <f t="shared" si="17"/>
        <v>167120</v>
      </c>
      <c r="L87" s="746">
        <f t="shared" si="17"/>
        <v>167120</v>
      </c>
      <c r="M87" s="746">
        <f t="shared" si="17"/>
        <v>167120</v>
      </c>
      <c r="N87" s="746">
        <f t="shared" si="17"/>
        <v>167120</v>
      </c>
      <c r="O87" s="746">
        <f t="shared" si="17"/>
        <v>167120</v>
      </c>
      <c r="P87" s="746">
        <f t="shared" si="17"/>
        <v>167120</v>
      </c>
      <c r="Q87" s="925">
        <f t="shared" si="17"/>
        <v>167120</v>
      </c>
      <c r="R87" s="746">
        <f t="shared" si="17"/>
        <v>167120</v>
      </c>
      <c r="S87" s="746">
        <f t="shared" si="17"/>
        <v>167120</v>
      </c>
      <c r="T87" s="746">
        <f t="shared" si="17"/>
        <v>167120</v>
      </c>
      <c r="U87" s="746">
        <f t="shared" si="17"/>
        <v>167120</v>
      </c>
      <c r="V87" s="746">
        <f t="shared" si="17"/>
        <v>167120</v>
      </c>
      <c r="W87" s="746">
        <f t="shared" si="17"/>
        <v>167120</v>
      </c>
      <c r="X87" s="746">
        <f t="shared" si="17"/>
        <v>167120</v>
      </c>
      <c r="Y87" s="746">
        <f t="shared" si="17"/>
        <v>167120</v>
      </c>
      <c r="Z87" s="746">
        <f t="shared" si="17"/>
        <v>167120</v>
      </c>
      <c r="AA87" s="746">
        <f t="shared" si="17"/>
        <v>167120</v>
      </c>
      <c r="AB87" s="746">
        <f t="shared" si="17"/>
        <v>167120</v>
      </c>
      <c r="AC87" s="746">
        <f t="shared" si="17"/>
        <v>167120</v>
      </c>
      <c r="AD87" s="828">
        <f t="shared" si="17"/>
        <v>167120</v>
      </c>
      <c r="AE87" s="828">
        <f t="shared" si="17"/>
        <v>167120</v>
      </c>
      <c r="AF87" s="828">
        <f t="shared" si="17"/>
        <v>167120</v>
      </c>
      <c r="AG87" s="828">
        <f t="shared" si="17"/>
        <v>167120</v>
      </c>
      <c r="AH87" s="828">
        <f t="shared" si="17"/>
        <v>167120</v>
      </c>
      <c r="AI87" s="863"/>
    </row>
    <row r="88" spans="1:113" hidden="1">
      <c r="A88" s="825" t="s">
        <v>1255</v>
      </c>
      <c r="B88" s="826"/>
      <c r="C88" s="827"/>
      <c r="D88" s="873">
        <f>+IF($C82=4514,IF(D$6=4514,D$5,D$5+101000),IF(D$6=4515,D$5+101000,D$5))</f>
        <v>85950</v>
      </c>
      <c r="E88" s="873">
        <f t="shared" ref="E88:AH88" si="18">+IF($C82=4514,IF(E$6=4514,E$5,E$5+101000),IF(E$6=4515,E$5+101000,E$5))</f>
        <v>85500</v>
      </c>
      <c r="F88" s="746">
        <f t="shared" si="18"/>
        <v>106200</v>
      </c>
      <c r="G88" s="746">
        <f t="shared" si="18"/>
        <v>110930</v>
      </c>
      <c r="H88" s="746">
        <f t="shared" si="18"/>
        <v>109900</v>
      </c>
      <c r="I88" s="746">
        <f t="shared" si="18"/>
        <v>110000</v>
      </c>
      <c r="J88" s="925">
        <f t="shared" si="18"/>
        <v>116500</v>
      </c>
      <c r="K88" s="746">
        <f t="shared" si="18"/>
        <v>117000</v>
      </c>
      <c r="L88" s="746">
        <f t="shared" si="18"/>
        <v>124200</v>
      </c>
      <c r="M88" s="746">
        <f t="shared" si="18"/>
        <v>126800</v>
      </c>
      <c r="N88" s="746">
        <f t="shared" si="18"/>
        <v>144400</v>
      </c>
      <c r="O88" s="746">
        <f t="shared" si="18"/>
        <v>146000</v>
      </c>
      <c r="P88" s="746">
        <f t="shared" si="18"/>
        <v>47500</v>
      </c>
      <c r="Q88" s="925">
        <f t="shared" si="18"/>
        <v>51000</v>
      </c>
      <c r="R88" s="746">
        <f t="shared" si="18"/>
        <v>40000</v>
      </c>
      <c r="S88" s="746">
        <f t="shared" si="18"/>
        <v>149800</v>
      </c>
      <c r="T88" s="746">
        <f t="shared" si="18"/>
        <v>154650</v>
      </c>
      <c r="U88" s="746">
        <f t="shared" si="18"/>
        <v>153350</v>
      </c>
      <c r="V88" s="746">
        <f t="shared" si="18"/>
        <v>154730</v>
      </c>
      <c r="W88" s="746">
        <f t="shared" si="18"/>
        <v>131000</v>
      </c>
      <c r="X88" s="746">
        <f t="shared" si="18"/>
        <v>164700</v>
      </c>
      <c r="Y88" s="746">
        <f t="shared" si="18"/>
        <v>173000</v>
      </c>
      <c r="Z88" s="746">
        <f t="shared" si="18"/>
        <v>176000</v>
      </c>
      <c r="AA88" s="746">
        <f t="shared" si="18"/>
        <v>185150</v>
      </c>
      <c r="AB88" s="746">
        <f t="shared" si="18"/>
        <v>190920</v>
      </c>
      <c r="AC88" s="746">
        <f t="shared" si="18"/>
        <v>190920</v>
      </c>
      <c r="AD88" s="828">
        <f t="shared" si="18"/>
        <v>89950</v>
      </c>
      <c r="AE88" s="828">
        <f t="shared" si="18"/>
        <v>129000</v>
      </c>
      <c r="AF88" s="828">
        <f t="shared" si="18"/>
        <v>139000</v>
      </c>
      <c r="AG88" s="828">
        <f t="shared" si="18"/>
        <v>172000</v>
      </c>
      <c r="AH88" s="828">
        <f t="shared" si="18"/>
        <v>177800</v>
      </c>
      <c r="AI88" s="863"/>
    </row>
    <row r="89" spans="1:113" ht="15" customHeight="1">
      <c r="A89" s="1741" t="s">
        <v>1266</v>
      </c>
      <c r="B89" s="814" t="s">
        <v>1257</v>
      </c>
      <c r="C89" s="829">
        <f>+'CANTIDADES TOTALIZADAS'!CO25</f>
        <v>0</v>
      </c>
      <c r="D89" s="782"/>
      <c r="E89" s="901"/>
      <c r="F89" s="783"/>
      <c r="G89" s="783"/>
      <c r="H89" s="783"/>
      <c r="I89" s="783"/>
      <c r="J89" s="933"/>
      <c r="K89" s="783"/>
      <c r="L89" s="783"/>
      <c r="M89" s="783"/>
      <c r="N89" s="783"/>
      <c r="O89" s="783"/>
      <c r="P89" s="783"/>
      <c r="Q89" s="933"/>
      <c r="R89" s="783"/>
      <c r="S89" s="783"/>
      <c r="T89" s="783"/>
      <c r="U89" s="783"/>
      <c r="V89" s="783">
        <f>$C89*FACTORES!$D$11*FACTORES!$D$25</f>
        <v>0</v>
      </c>
      <c r="W89" s="783"/>
      <c r="X89" s="783"/>
      <c r="Y89" s="783"/>
      <c r="Z89" s="783"/>
      <c r="AA89" s="783"/>
      <c r="AB89" s="783"/>
      <c r="AC89" s="783"/>
      <c r="AD89" s="830"/>
      <c r="AE89" s="830"/>
      <c r="AF89" s="830"/>
      <c r="AG89" s="830"/>
      <c r="AH89" s="830"/>
      <c r="AI89" s="864">
        <f>+SUMPRODUCT(D89:AH89,D86:AH86)</f>
        <v>0</v>
      </c>
      <c r="AJ89" s="807">
        <f>$C89*FACTORES!$D$11*FACTORES!$D$25</f>
        <v>0</v>
      </c>
    </row>
    <row r="90" spans="1:113">
      <c r="A90" s="1741"/>
      <c r="B90" s="814" t="s">
        <v>1258</v>
      </c>
      <c r="C90" s="829">
        <f>+'CANTIDADES TOTALIZADAS'!CO26</f>
        <v>0</v>
      </c>
      <c r="D90" s="782"/>
      <c r="E90" s="901"/>
      <c r="F90" s="783"/>
      <c r="G90" s="783"/>
      <c r="H90" s="783"/>
      <c r="I90" s="783"/>
      <c r="J90" s="933"/>
      <c r="K90" s="783"/>
      <c r="L90" s="783"/>
      <c r="M90" s="783"/>
      <c r="N90" s="783"/>
      <c r="O90" s="783"/>
      <c r="P90" s="783"/>
      <c r="Q90" s="933"/>
      <c r="R90" s="783"/>
      <c r="S90" s="783"/>
      <c r="T90" s="783"/>
      <c r="U90" s="783"/>
      <c r="V90" s="783">
        <f>$C90*FACTORES!$D$11*FACTORES!$D$25</f>
        <v>0</v>
      </c>
      <c r="W90" s="783"/>
      <c r="X90" s="783"/>
      <c r="Y90" s="783"/>
      <c r="Z90" s="783"/>
      <c r="AA90" s="783"/>
      <c r="AB90" s="783"/>
      <c r="AC90" s="783"/>
      <c r="AD90" s="830"/>
      <c r="AE90" s="830"/>
      <c r="AF90" s="830"/>
      <c r="AG90" s="830"/>
      <c r="AH90" s="830"/>
      <c r="AI90" s="864">
        <f>+SUMPRODUCT(D90:AH90,D86:AH86)</f>
        <v>0</v>
      </c>
      <c r="AJ90" s="807">
        <f>$C90*FACTORES!$D$11*FACTORES!$D$25</f>
        <v>0</v>
      </c>
    </row>
    <row r="91" spans="1:113">
      <c r="A91" s="1741"/>
      <c r="B91" s="814" t="s">
        <v>1259</v>
      </c>
      <c r="C91" s="829">
        <f>+'CANTIDADES TOTALIZADAS'!CO72</f>
        <v>10.728</v>
      </c>
      <c r="D91" s="782"/>
      <c r="E91" s="901"/>
      <c r="F91" s="783"/>
      <c r="G91" s="783"/>
      <c r="H91" s="783"/>
      <c r="I91" s="783"/>
      <c r="J91" s="933"/>
      <c r="K91" s="783"/>
      <c r="L91" s="783"/>
      <c r="M91" s="783"/>
      <c r="N91" s="783"/>
      <c r="O91" s="783"/>
      <c r="P91" s="783"/>
      <c r="Q91" s="933"/>
      <c r="R91" s="783"/>
      <c r="S91" s="783"/>
      <c r="T91" s="783"/>
      <c r="U91" s="783"/>
      <c r="V91" s="783"/>
      <c r="W91" s="783"/>
      <c r="X91" s="783"/>
      <c r="Y91" s="783"/>
      <c r="Z91" s="783"/>
      <c r="AA91" s="783"/>
      <c r="AB91" s="783"/>
      <c r="AC91" s="783"/>
      <c r="AD91" s="830"/>
      <c r="AE91" s="830"/>
      <c r="AF91" s="830"/>
      <c r="AG91" s="830">
        <f>+$C91*FACTORES!$D$23*FACTORES!$D$28</f>
        <v>12.583943999999999</v>
      </c>
      <c r="AH91" s="830"/>
      <c r="AI91" s="864">
        <f>+SUMPRODUCT(D91:AH91,D86:AH86)</f>
        <v>61.409646719999991</v>
      </c>
      <c r="AJ91" s="782">
        <f>+$C91*FACTORES!$D$23*FACTORES!$D$28</f>
        <v>12.583943999999999</v>
      </c>
    </row>
    <row r="92" spans="1:113">
      <c r="A92" s="1741"/>
      <c r="B92" s="814" t="s">
        <v>1260</v>
      </c>
      <c r="C92" s="829">
        <f>+'CANTIDADES TOTALIZADAS'!CO85</f>
        <v>850.94399999999996</v>
      </c>
      <c r="D92" s="782"/>
      <c r="E92" s="901"/>
      <c r="F92" s="783"/>
      <c r="G92" s="783"/>
      <c r="H92" s="783"/>
      <c r="I92" s="783"/>
      <c r="J92" s="933"/>
      <c r="K92" s="783"/>
      <c r="L92" s="783"/>
      <c r="M92" s="783"/>
      <c r="N92" s="783"/>
      <c r="O92" s="783"/>
      <c r="P92" s="783"/>
      <c r="Q92" s="933"/>
      <c r="R92" s="783"/>
      <c r="S92" s="783"/>
      <c r="T92" s="783"/>
      <c r="U92" s="783"/>
      <c r="V92" s="783"/>
      <c r="W92" s="783"/>
      <c r="X92" s="783"/>
      <c r="Y92" s="783"/>
      <c r="Z92" s="783"/>
      <c r="AA92" s="783"/>
      <c r="AB92" s="783"/>
      <c r="AC92" s="783"/>
      <c r="AD92" s="830"/>
      <c r="AE92" s="830"/>
      <c r="AF92" s="830"/>
      <c r="AG92" s="830">
        <f>+$C92*FACTORES!$D$7*FACTORES!$D$26</f>
        <v>1038.9432558139536</v>
      </c>
      <c r="AH92" s="830"/>
      <c r="AI92" s="864">
        <f>+SUMPRODUCT(D92:AH92,D86:AH86)</f>
        <v>5070.0430883720928</v>
      </c>
      <c r="AJ92" s="807">
        <f>+$C92*FACTORES!$D$7*FACTORES!$D$26</f>
        <v>1038.9432558139536</v>
      </c>
    </row>
    <row r="93" spans="1:113">
      <c r="A93" s="1742"/>
      <c r="B93" s="840" t="s">
        <v>1261</v>
      </c>
      <c r="C93" s="841">
        <f>+'CANTIDADES TOTALIZADAS'!CO93</f>
        <v>233.71200000000002</v>
      </c>
      <c r="D93" s="789"/>
      <c r="E93" s="906"/>
      <c r="F93" s="790"/>
      <c r="G93" s="790"/>
      <c r="H93" s="790"/>
      <c r="I93" s="790"/>
      <c r="J93" s="938"/>
      <c r="K93" s="790"/>
      <c r="L93" s="790"/>
      <c r="M93" s="790"/>
      <c r="N93" s="790"/>
      <c r="O93" s="790"/>
      <c r="P93" s="790"/>
      <c r="Q93" s="938"/>
      <c r="R93" s="790"/>
      <c r="S93" s="790"/>
      <c r="T93" s="790"/>
      <c r="U93" s="790"/>
      <c r="V93" s="790"/>
      <c r="W93" s="790"/>
      <c r="X93" s="790"/>
      <c r="Y93" s="790"/>
      <c r="Z93" s="790"/>
      <c r="AA93" s="790"/>
      <c r="AB93" s="790"/>
      <c r="AC93" s="790"/>
      <c r="AD93" s="842">
        <f>+$C93*FACTORES!$D$3*FACTORES!$D$27</f>
        <v>286.06348800000001</v>
      </c>
      <c r="AE93" s="842"/>
      <c r="AF93" s="842"/>
      <c r="AG93" s="842"/>
      <c r="AH93" s="842"/>
      <c r="AI93" s="865">
        <f>+SUMPRODUCT(D93:AH93,D86:AH86)</f>
        <v>22075.519368960002</v>
      </c>
      <c r="AJ93" s="807">
        <f>+$C93*FACTORES!$D$3*FACTORES!$D$27</f>
        <v>286.06348800000001</v>
      </c>
    </row>
    <row r="94" spans="1:113">
      <c r="A94" s="845"/>
    </row>
    <row r="95" spans="1:113">
      <c r="B95" s="814" t="s">
        <v>1257</v>
      </c>
      <c r="C95" s="844">
        <f>+SUMIFS($C$23:$C$93,$B$23:$B$93,B95)</f>
        <v>10876.414050000003</v>
      </c>
      <c r="D95" s="941"/>
      <c r="L95" s="806"/>
      <c r="S95" s="806"/>
      <c r="AI95" s="817"/>
    </row>
    <row r="96" spans="1:113">
      <c r="B96" s="814" t="s">
        <v>1258</v>
      </c>
      <c r="C96" s="844">
        <f t="shared" ref="C96:C100" si="19">+SUMIFS($C$23:$C$93,$B$23:$B$93,B96)</f>
        <v>8067.3134999999993</v>
      </c>
    </row>
    <row r="97" spans="2:3">
      <c r="B97" s="814" t="s">
        <v>1259</v>
      </c>
      <c r="C97" s="844">
        <f t="shared" si="19"/>
        <v>4230.2029607389723</v>
      </c>
    </row>
    <row r="98" spans="2:3">
      <c r="B98" s="814" t="s">
        <v>1260</v>
      </c>
      <c r="C98" s="844">
        <f t="shared" si="19"/>
        <v>10331.146000000001</v>
      </c>
    </row>
    <row r="99" spans="2:3">
      <c r="B99" s="814" t="s">
        <v>1261</v>
      </c>
      <c r="C99" s="844">
        <f t="shared" si="19"/>
        <v>6052.0536000000002</v>
      </c>
    </row>
    <row r="100" spans="2:3" ht="30">
      <c r="B100" s="832" t="s">
        <v>1262</v>
      </c>
      <c r="C100" s="844">
        <f t="shared" si="19"/>
        <v>283.50899999999996</v>
      </c>
    </row>
  </sheetData>
  <mergeCells count="26">
    <mergeCell ref="A70:A71"/>
    <mergeCell ref="A76:A80"/>
    <mergeCell ref="A83:A84"/>
    <mergeCell ref="A89:A93"/>
    <mergeCell ref="A31:A32"/>
    <mergeCell ref="A37:A41"/>
    <mergeCell ref="A44:A45"/>
    <mergeCell ref="A50:A54"/>
    <mergeCell ref="A57:A58"/>
    <mergeCell ref="A63:A67"/>
    <mergeCell ref="A23:A28"/>
    <mergeCell ref="A1:C1"/>
    <mergeCell ref="AI1:AI12"/>
    <mergeCell ref="A2:C2"/>
    <mergeCell ref="A3:B4"/>
    <mergeCell ref="A5:C5"/>
    <mergeCell ref="A6:C6"/>
    <mergeCell ref="A7:C7"/>
    <mergeCell ref="A8:C8"/>
    <mergeCell ref="A9:C9"/>
    <mergeCell ref="A10:C10"/>
    <mergeCell ref="A11:C11"/>
    <mergeCell ref="A12:C12"/>
    <mergeCell ref="A13:C13"/>
    <mergeCell ref="A14:C14"/>
    <mergeCell ref="A17:A18"/>
  </mergeCells>
  <conditionalFormatting sqref="D20:AC20">
    <cfRule type="colorScale" priority="6">
      <colorScale>
        <cfvo type="min"/>
        <cfvo type="percentile" val="50"/>
        <cfvo type="max"/>
        <color rgb="FF63BE7B"/>
        <color rgb="FFFFEB84"/>
        <color rgb="FFF8696B"/>
      </colorScale>
    </cfRule>
  </conditionalFormatting>
  <conditionalFormatting sqref="D34:AC34">
    <cfRule type="colorScale" priority="5">
      <colorScale>
        <cfvo type="min"/>
        <cfvo type="percentile" val="50"/>
        <cfvo type="max"/>
        <color rgb="FF63BE7B"/>
        <color rgb="FFFFEB84"/>
        <color rgb="FFF8696B"/>
      </colorScale>
    </cfRule>
  </conditionalFormatting>
  <conditionalFormatting sqref="D47:AC47">
    <cfRule type="colorScale" priority="4">
      <colorScale>
        <cfvo type="min"/>
        <cfvo type="percentile" val="50"/>
        <cfvo type="max"/>
        <color rgb="FF63BE7B"/>
        <color rgb="FFFFEB84"/>
        <color rgb="FFF8696B"/>
      </colorScale>
    </cfRule>
  </conditionalFormatting>
  <conditionalFormatting sqref="D60:AC60">
    <cfRule type="colorScale" priority="3">
      <colorScale>
        <cfvo type="min"/>
        <cfvo type="percentile" val="50"/>
        <cfvo type="max"/>
        <color rgb="FF63BE7B"/>
        <color rgb="FFFFEB84"/>
        <color rgb="FFF8696B"/>
      </colorScale>
    </cfRule>
  </conditionalFormatting>
  <conditionalFormatting sqref="D73:AC73">
    <cfRule type="colorScale" priority="2">
      <colorScale>
        <cfvo type="min"/>
        <cfvo type="percentile" val="50"/>
        <cfvo type="max"/>
        <color rgb="FF63BE7B"/>
        <color rgb="FFFFEB84"/>
        <color rgb="FFF8696B"/>
      </colorScale>
    </cfRule>
  </conditionalFormatting>
  <conditionalFormatting sqref="D86:AC86">
    <cfRule type="colorScale" priority="1">
      <colorScale>
        <cfvo type="min"/>
        <cfvo type="percentile" val="50"/>
        <cfvo type="max"/>
        <color rgb="FF63BE7B"/>
        <color rgb="FFFFEB84"/>
        <color rgb="FFF8696B"/>
      </colorScale>
    </cfRule>
  </conditionalFormatting>
  <pageMargins left="0.7" right="0.7" top="0.75" bottom="0.75" header="0.3" footer="0.3"/>
  <pageSetup scale="1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workbookViewId="0">
      <selection activeCell="A214" sqref="A1:XFD1048576"/>
    </sheetView>
  </sheetViews>
  <sheetFormatPr baseColWidth="10" defaultColWidth="11.42578125" defaultRowHeight="15"/>
  <cols>
    <col min="1" max="1" width="21.85546875" style="807" bestFit="1" customWidth="1"/>
    <col min="2" max="2" width="20.7109375" style="845" customWidth="1"/>
    <col min="3" max="3" width="9.28515625" style="845" customWidth="1"/>
    <col min="4" max="4" width="14.5703125" style="807" customWidth="1"/>
    <col min="5" max="16384" width="11.42578125" style="807"/>
  </cols>
  <sheetData>
    <row r="1" spans="1:6" s="942" customFormat="1">
      <c r="A1" s="1758" t="s">
        <v>1311</v>
      </c>
      <c r="B1" s="1759" t="s">
        <v>1312</v>
      </c>
      <c r="C1" s="1760" t="s">
        <v>1313</v>
      </c>
      <c r="D1" s="1760"/>
      <c r="E1" s="1760"/>
    </row>
    <row r="2" spans="1:6">
      <c r="A2" s="1758"/>
      <c r="B2" s="1759"/>
      <c r="C2" s="845" t="s">
        <v>1314</v>
      </c>
      <c r="D2" s="845" t="s">
        <v>1315</v>
      </c>
      <c r="E2" s="807" t="s">
        <v>1316</v>
      </c>
    </row>
    <row r="3" spans="1:6">
      <c r="A3" s="807" t="s">
        <v>1317</v>
      </c>
      <c r="B3" s="845" t="s">
        <v>1316</v>
      </c>
      <c r="C3" s="943">
        <v>1.05</v>
      </c>
      <c r="D3" s="845">
        <v>1.2</v>
      </c>
      <c r="E3" s="845">
        <v>1</v>
      </c>
      <c r="F3" s="845"/>
    </row>
    <row r="4" spans="1:6" ht="6" customHeight="1">
      <c r="D4" s="845"/>
      <c r="E4" s="845"/>
    </row>
    <row r="5" spans="1:6">
      <c r="A5" s="807" t="s">
        <v>289</v>
      </c>
      <c r="B5" s="845" t="s">
        <v>1314</v>
      </c>
      <c r="C5" s="944">
        <v>1</v>
      </c>
      <c r="D5" s="944">
        <v>1.1100000000000001</v>
      </c>
      <c r="E5" s="944">
        <v>0.95</v>
      </c>
    </row>
    <row r="6" spans="1:6">
      <c r="B6" s="845" t="s">
        <v>1315</v>
      </c>
      <c r="C6" s="945">
        <f>1/D5</f>
        <v>0.9009009009009008</v>
      </c>
      <c r="D6" s="944">
        <v>1</v>
      </c>
      <c r="E6" s="944">
        <v>0.86</v>
      </c>
    </row>
    <row r="7" spans="1:6">
      <c r="B7" s="845" t="s">
        <v>1316</v>
      </c>
      <c r="C7" s="945">
        <f>1/E5</f>
        <v>1.0526315789473684</v>
      </c>
      <c r="D7" s="945">
        <f>1/E6</f>
        <v>1.1627906976744187</v>
      </c>
      <c r="E7" s="944">
        <v>1</v>
      </c>
    </row>
    <row r="8" spans="1:6" ht="6" customHeight="1">
      <c r="C8" s="944"/>
      <c r="D8" s="944"/>
      <c r="E8" s="944"/>
    </row>
    <row r="9" spans="1:6">
      <c r="A9" s="807" t="s">
        <v>1318</v>
      </c>
      <c r="B9" s="845" t="s">
        <v>1314</v>
      </c>
      <c r="C9" s="944">
        <v>1</v>
      </c>
      <c r="D9" s="944">
        <v>1.25</v>
      </c>
      <c r="E9" s="944">
        <v>0.84745000000000004</v>
      </c>
    </row>
    <row r="10" spans="1:6">
      <c r="B10" s="845" t="s">
        <v>1315</v>
      </c>
      <c r="C10" s="944">
        <f>1/D9</f>
        <v>0.8</v>
      </c>
      <c r="D10" s="944">
        <v>1</v>
      </c>
      <c r="E10" s="944">
        <v>0.72</v>
      </c>
    </row>
    <row r="11" spans="1:6">
      <c r="B11" s="845" t="s">
        <v>1316</v>
      </c>
      <c r="C11" s="945">
        <f>1/E9</f>
        <v>1.1800106200955809</v>
      </c>
      <c r="D11" s="945">
        <f>1/E10</f>
        <v>1.3888888888888888</v>
      </c>
      <c r="E11" s="944">
        <v>1</v>
      </c>
    </row>
    <row r="12" spans="1:6" ht="6" customHeight="1">
      <c r="C12" s="944"/>
      <c r="D12" s="944"/>
      <c r="E12" s="944"/>
    </row>
    <row r="13" spans="1:6">
      <c r="A13" s="807" t="s">
        <v>1319</v>
      </c>
      <c r="B13" s="845" t="s">
        <v>1314</v>
      </c>
      <c r="C13" s="944">
        <v>1</v>
      </c>
      <c r="D13" s="944">
        <v>1.43</v>
      </c>
      <c r="E13" s="944">
        <v>0.9</v>
      </c>
    </row>
    <row r="14" spans="1:6">
      <c r="B14" s="845" t="s">
        <v>1315</v>
      </c>
      <c r="C14" s="945">
        <f>1/D13</f>
        <v>0.69930069930069938</v>
      </c>
      <c r="D14" s="944">
        <v>1</v>
      </c>
      <c r="E14" s="944">
        <v>0.63</v>
      </c>
    </row>
    <row r="15" spans="1:6">
      <c r="B15" s="845" t="s">
        <v>1316</v>
      </c>
      <c r="C15" s="945">
        <f>1/E13</f>
        <v>1.1111111111111112</v>
      </c>
      <c r="D15" s="945">
        <f>1/E14</f>
        <v>1.5873015873015872</v>
      </c>
      <c r="E15" s="944">
        <v>1</v>
      </c>
    </row>
    <row r="16" spans="1:6" ht="6" customHeight="1">
      <c r="C16" s="944"/>
      <c r="D16" s="944"/>
      <c r="E16" s="944"/>
    </row>
    <row r="17" spans="1:5">
      <c r="A17" s="807" t="s">
        <v>1320</v>
      </c>
      <c r="B17" s="845" t="s">
        <v>1314</v>
      </c>
      <c r="C17" s="944">
        <v>1</v>
      </c>
      <c r="D17" s="944">
        <v>1.5</v>
      </c>
      <c r="E17" s="944">
        <v>1.3</v>
      </c>
    </row>
    <row r="18" spans="1:5">
      <c r="B18" s="845" t="s">
        <v>1315</v>
      </c>
      <c r="C18" s="945">
        <f>1/D17</f>
        <v>0.66666666666666663</v>
      </c>
      <c r="D18" s="944">
        <v>1</v>
      </c>
      <c r="E18" s="944">
        <v>0.87</v>
      </c>
    </row>
    <row r="19" spans="1:5">
      <c r="B19" s="845" t="s">
        <v>1316</v>
      </c>
      <c r="C19" s="945">
        <f>1/E17</f>
        <v>0.76923076923076916</v>
      </c>
      <c r="D19" s="945">
        <f>1/E18</f>
        <v>1.1494252873563218</v>
      </c>
      <c r="E19" s="944">
        <v>1</v>
      </c>
    </row>
    <row r="20" spans="1:5">
      <c r="D20" s="845"/>
      <c r="E20" s="845"/>
    </row>
    <row r="21" spans="1:5">
      <c r="A21" s="807" t="s">
        <v>1321</v>
      </c>
      <c r="B21" s="845" t="s">
        <v>1316</v>
      </c>
      <c r="D21" s="845">
        <v>1.18</v>
      </c>
      <c r="E21" s="845">
        <v>1</v>
      </c>
    </row>
    <row r="22" spans="1:5">
      <c r="D22" s="845"/>
      <c r="E22" s="845"/>
    </row>
    <row r="23" spans="1:5">
      <c r="A23" s="807" t="s">
        <v>1322</v>
      </c>
      <c r="B23" s="845" t="s">
        <v>1323</v>
      </c>
      <c r="D23" s="845">
        <v>1.1499999999999999</v>
      </c>
      <c r="E23" s="845"/>
    </row>
    <row r="24" spans="1:5">
      <c r="D24" s="845"/>
      <c r="E24" s="845"/>
    </row>
    <row r="25" spans="1:5">
      <c r="A25" s="807" t="s">
        <v>1324</v>
      </c>
      <c r="D25" s="845">
        <v>1.1000000000000001</v>
      </c>
      <c r="E25" s="845"/>
    </row>
    <row r="26" spans="1:5">
      <c r="A26" s="807" t="s">
        <v>1325</v>
      </c>
      <c r="D26" s="845">
        <v>1.05</v>
      </c>
      <c r="E26" s="845"/>
    </row>
    <row r="27" spans="1:5">
      <c r="A27" s="807" t="s">
        <v>1326</v>
      </c>
      <c r="D27" s="845">
        <v>1.02</v>
      </c>
      <c r="E27" s="845"/>
    </row>
    <row r="28" spans="1:5">
      <c r="A28" s="807" t="s">
        <v>1327</v>
      </c>
      <c r="D28" s="845">
        <v>1.02</v>
      </c>
      <c r="E28" s="845"/>
    </row>
    <row r="29" spans="1:5">
      <c r="D29" s="845"/>
      <c r="E29" s="845"/>
    </row>
    <row r="30" spans="1:5">
      <c r="D30" s="845"/>
      <c r="E30" s="845"/>
    </row>
    <row r="31" spans="1:5">
      <c r="D31" s="845"/>
      <c r="E31" s="845"/>
    </row>
    <row r="32" spans="1:5">
      <c r="D32" s="845"/>
      <c r="E32" s="845"/>
    </row>
    <row r="33" spans="4:5">
      <c r="D33" s="845"/>
      <c r="E33" s="845"/>
    </row>
    <row r="34" spans="4:5">
      <c r="D34" s="845"/>
      <c r="E34" s="845"/>
    </row>
    <row r="35" spans="4:5">
      <c r="D35" s="845"/>
      <c r="E35" s="845"/>
    </row>
    <row r="36" spans="4:5">
      <c r="D36" s="845"/>
      <c r="E36" s="845"/>
    </row>
    <row r="37" spans="4:5">
      <c r="D37" s="845"/>
      <c r="E37" s="845"/>
    </row>
    <row r="38" spans="4:5">
      <c r="D38" s="845"/>
      <c r="E38" s="845"/>
    </row>
  </sheetData>
  <mergeCells count="3">
    <mergeCell ref="A1:A2"/>
    <mergeCell ref="B1:B2"/>
    <mergeCell ref="C1:E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2:D21"/>
  <sheetViews>
    <sheetView view="pageBreakPreview" zoomScaleNormal="100" zoomScaleSheetLayoutView="100" workbookViewId="0">
      <selection activeCell="A214" sqref="A1:XFD1048576"/>
    </sheetView>
  </sheetViews>
  <sheetFormatPr baseColWidth="10" defaultColWidth="11.42578125" defaultRowHeight="12.75"/>
  <cols>
    <col min="1" max="1" width="11.42578125" style="32"/>
    <col min="2" max="2" width="58.28515625" style="32" bestFit="1" customWidth="1"/>
    <col min="3" max="3" width="20.28515625" style="32" bestFit="1" customWidth="1"/>
    <col min="4" max="4" width="37.28515625" style="32" bestFit="1" customWidth="1"/>
    <col min="5" max="16384" width="11.42578125" style="32"/>
  </cols>
  <sheetData>
    <row r="2" spans="2:4" ht="82.5" customHeight="1" thickBot="1">
      <c r="B2" s="1761" t="e">
        <f>+#REF!</f>
        <v>#REF!</v>
      </c>
      <c r="C2" s="1762"/>
    </row>
    <row r="3" spans="2:4" ht="17.25" thickBot="1">
      <c r="B3" s="1" t="s">
        <v>135</v>
      </c>
      <c r="C3" s="2" t="s">
        <v>136</v>
      </c>
    </row>
    <row r="4" spans="2:4">
      <c r="B4" s="33" t="str">
        <f>+'PRESUPUESTO OFICIAL'!C14</f>
        <v>EXPLANACIONES</v>
      </c>
      <c r="C4" s="35">
        <f>+'PRESUPUESTO OFICIAL'!K22</f>
        <v>8822060941</v>
      </c>
      <c r="D4" s="34"/>
    </row>
    <row r="5" spans="2:4">
      <c r="B5" s="33" t="str">
        <f>+'PRESUPUESTO OFICIAL'!C23</f>
        <v>BASES, SUBBASES Y AFIRMADOS</v>
      </c>
      <c r="C5" s="35">
        <f>+'PRESUPUESTO OFICIAL'!K26</f>
        <v>9177790386</v>
      </c>
      <c r="D5" s="34"/>
    </row>
    <row r="6" spans="2:4">
      <c r="B6" s="33" t="str">
        <f>+'PRESUPUESTO OFICIAL'!C27</f>
        <v>PAVIMENTOS ASFALTICOS</v>
      </c>
      <c r="C6" s="35">
        <f>+'PRESUPUESTO OFICIAL'!K35</f>
        <v>54135243050</v>
      </c>
      <c r="D6" s="34"/>
    </row>
    <row r="7" spans="2:4">
      <c r="B7" s="33" t="e">
        <f>+'PRESUPUESTO OFICIAL'!#REF!</f>
        <v>#REF!</v>
      </c>
      <c r="C7" s="35" t="e">
        <f>+'PRESUPUESTO OFICIAL'!#REF!</f>
        <v>#REF!</v>
      </c>
      <c r="D7" s="34"/>
    </row>
    <row r="8" spans="2:4">
      <c r="B8" s="33" t="str">
        <f>+'PRESUPUESTO OFICIAL'!C36</f>
        <v>ESTRUCTURAS Y DRENAJES</v>
      </c>
      <c r="C8" s="35">
        <f>+'PRESUPUESTO OFICIAL'!K52</f>
        <v>13811389263</v>
      </c>
      <c r="D8" s="34"/>
    </row>
    <row r="9" spans="2:4">
      <c r="B9" s="33" t="str">
        <f>+'PRESUPUESTO OFICIAL'!C53</f>
        <v>SEÑALIZACIÓN Y SEGURIDAD</v>
      </c>
      <c r="C9" s="35">
        <f>+'PRESUPUESTO OFICIAL'!K64</f>
        <v>5360033955</v>
      </c>
      <c r="D9" s="34"/>
    </row>
    <row r="10" spans="2:4">
      <c r="B10" s="33" t="str">
        <f>+'PRESUPUESTO OFICIAL'!C65</f>
        <v>OBRAS VARIAS</v>
      </c>
      <c r="C10" s="35">
        <f>+'PRESUPUESTO OFICIAL'!K70</f>
        <v>3495364086</v>
      </c>
      <c r="D10" s="34"/>
    </row>
    <row r="11" spans="2:4">
      <c r="B11" s="33" t="str">
        <f>+'PRESUPUESTO OFICIAL'!C71</f>
        <v>TRANSPORTES</v>
      </c>
      <c r="C11" s="35">
        <f>+'PRESUPUESTO OFICIAL'!K74</f>
        <v>6819974315</v>
      </c>
      <c r="D11" s="34"/>
    </row>
    <row r="12" spans="2:4" ht="16.5">
      <c r="B12" s="33" t="s">
        <v>159</v>
      </c>
      <c r="C12" s="35">
        <f>+'PRESUPUESTO OFICIAL'!K80</f>
        <v>777486788</v>
      </c>
      <c r="D12" s="3"/>
    </row>
    <row r="13" spans="2:4" ht="16.5">
      <c r="B13" s="33" t="s">
        <v>305</v>
      </c>
      <c r="C13" s="35">
        <f>+'PRESUPUESTO OFICIAL'!K77</f>
        <v>5907887121.0000029</v>
      </c>
      <c r="D13" s="3"/>
    </row>
    <row r="14" spans="2:4" ht="16.5">
      <c r="B14" s="33" t="s">
        <v>290</v>
      </c>
      <c r="C14" s="35">
        <f>+'PRESUPUESTO OFICIAL'!K82</f>
        <v>589665000</v>
      </c>
      <c r="D14" s="3"/>
    </row>
    <row r="15" spans="2:4" ht="16.5">
      <c r="B15" s="33" t="s">
        <v>291</v>
      </c>
      <c r="C15" s="35">
        <f>+'PRESUPUESTO OFICIAL'!K83</f>
        <v>112036350</v>
      </c>
      <c r="D15" s="3"/>
    </row>
    <row r="16" spans="2:4" ht="16.5">
      <c r="B16" s="33" t="s">
        <v>178</v>
      </c>
      <c r="C16" s="35">
        <f>+'PRESUPUESTO OFICIAL'!K85</f>
        <v>3226068745</v>
      </c>
      <c r="D16" s="3"/>
    </row>
    <row r="17" spans="2:4" ht="17.25" thickBot="1">
      <c r="B17" s="33" t="s">
        <v>179</v>
      </c>
      <c r="C17" s="35" t="e">
        <f>+'PRESUPUESTO OFICIAL'!#REF!</f>
        <v>#REF!</v>
      </c>
      <c r="D17" s="3"/>
    </row>
    <row r="18" spans="2:4" ht="17.25" thickBot="1">
      <c r="B18" s="37" t="s">
        <v>137</v>
      </c>
      <c r="C18" s="38" t="e">
        <f>SUM(C4:C17)</f>
        <v>#REF!</v>
      </c>
      <c r="D18" s="4" t="e">
        <f>+C18='PRESUPUESTO OFICIAL'!K86</f>
        <v>#REF!</v>
      </c>
    </row>
    <row r="19" spans="2:4">
      <c r="B19" s="34"/>
      <c r="C19" s="36"/>
      <c r="D19" s="34"/>
    </row>
    <row r="20" spans="2:4">
      <c r="B20" s="34"/>
      <c r="C20" s="34"/>
      <c r="D20" s="34"/>
    </row>
    <row r="21" spans="2:4">
      <c r="B21" s="34"/>
      <c r="C21" s="34"/>
      <c r="D21" s="34"/>
    </row>
  </sheetData>
  <mergeCells count="1">
    <mergeCell ref="B2:C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dimension ref="B1:N102"/>
  <sheetViews>
    <sheetView showGridLines="0" zoomScale="70" zoomScaleNormal="70" workbookViewId="0">
      <selection sqref="A1:XFD1048576"/>
    </sheetView>
  </sheetViews>
  <sheetFormatPr baseColWidth="10" defaultColWidth="11.42578125" defaultRowHeight="12.75"/>
  <cols>
    <col min="1" max="1" width="3.140625" style="39" customWidth="1"/>
    <col min="2" max="2" width="12.5703125" style="39" customWidth="1"/>
    <col min="3" max="10" width="11.42578125" style="39"/>
    <col min="11" max="11" width="12.85546875" style="39" customWidth="1"/>
    <col min="12" max="13" width="11.42578125" style="39"/>
    <col min="14" max="14" width="13"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8" customHeight="1">
      <c r="B12" s="1869" t="s">
        <v>717</v>
      </c>
      <c r="C12" s="1870"/>
      <c r="D12" s="1870"/>
      <c r="E12" s="1870"/>
      <c r="F12" s="403"/>
      <c r="G12" s="403"/>
      <c r="H12" s="403" t="s">
        <v>718</v>
      </c>
      <c r="J12" s="403"/>
      <c r="K12" s="51"/>
      <c r="N12" s="405"/>
    </row>
    <row r="13" spans="2:14" ht="13.5">
      <c r="B13" s="49"/>
      <c r="C13" s="403"/>
      <c r="D13" s="403"/>
      <c r="E13" s="403"/>
      <c r="F13" s="403"/>
      <c r="G13" s="403"/>
      <c r="H13" s="403"/>
      <c r="I13" s="403"/>
      <c r="J13" s="403"/>
      <c r="K13" s="51"/>
      <c r="L13" s="404"/>
      <c r="M13" s="404"/>
      <c r="N13" s="405"/>
    </row>
    <row r="14" spans="2:14" ht="13.5">
      <c r="B14" s="54" t="s">
        <v>239</v>
      </c>
      <c r="C14" s="55"/>
      <c r="D14" s="1810" t="s">
        <v>293</v>
      </c>
      <c r="E14" s="1810"/>
      <c r="F14" s="1810"/>
      <c r="G14" s="1810"/>
      <c r="H14" s="55"/>
      <c r="I14" s="55" t="s">
        <v>240</v>
      </c>
      <c r="J14" s="1810" t="s">
        <v>293</v>
      </c>
      <c r="K14" s="1810"/>
      <c r="L14" s="1810"/>
      <c r="M14" s="1810"/>
      <c r="N14" s="56"/>
    </row>
    <row r="15" spans="2:14" ht="13.5">
      <c r="B15" s="54"/>
      <c r="C15" s="55"/>
      <c r="D15" s="57"/>
      <c r="E15" s="57"/>
      <c r="F15" s="57"/>
      <c r="G15" s="57"/>
      <c r="H15" s="55"/>
      <c r="I15" s="57"/>
      <c r="J15" s="55"/>
      <c r="K15" s="57"/>
      <c r="L15" s="1811"/>
      <c r="M15" s="1811"/>
      <c r="N15" s="1812"/>
    </row>
    <row r="16" spans="2:14" ht="13.5">
      <c r="B16" s="54"/>
      <c r="C16" s="55"/>
      <c r="D16" s="57"/>
      <c r="E16" s="57"/>
      <c r="F16" s="57"/>
      <c r="G16" s="57"/>
      <c r="H16" s="55"/>
      <c r="I16" s="57"/>
      <c r="J16" s="55"/>
      <c r="K16" s="57"/>
      <c r="L16" s="57"/>
      <c r="M16" s="57"/>
      <c r="N16" s="56"/>
    </row>
    <row r="17" spans="2:14" ht="13.5">
      <c r="B17" s="58"/>
      <c r="C17" s="59"/>
      <c r="D17" s="59"/>
      <c r="E17" s="59"/>
      <c r="F17" s="59"/>
      <c r="G17" s="59"/>
      <c r="H17" s="59"/>
      <c r="I17" s="59"/>
      <c r="J17" s="59"/>
      <c r="K17" s="59"/>
      <c r="L17" s="59"/>
      <c r="M17" s="59"/>
      <c r="N17" s="60"/>
    </row>
    <row r="18" spans="2:14" ht="13.5" thickBot="1">
      <c r="B18" s="61"/>
      <c r="C18" s="62"/>
      <c r="D18" s="62"/>
      <c r="E18" s="62"/>
      <c r="F18" s="62"/>
      <c r="G18" s="62"/>
      <c r="H18" s="62"/>
      <c r="I18" s="62"/>
      <c r="J18" s="62"/>
      <c r="K18" s="62"/>
      <c r="L18" s="62"/>
      <c r="M18" s="62"/>
      <c r="N18" s="63"/>
    </row>
    <row r="19" spans="2:14">
      <c r="B19" s="64"/>
      <c r="C19" s="65"/>
      <c r="D19" s="65"/>
      <c r="E19" s="65"/>
      <c r="F19" s="65"/>
      <c r="G19" s="65"/>
      <c r="H19" s="66"/>
      <c r="I19" s="66"/>
      <c r="J19" s="65"/>
      <c r="K19" s="65"/>
      <c r="L19" s="65"/>
      <c r="M19" s="65"/>
      <c r="N19" s="67"/>
    </row>
    <row r="20" spans="2:14" ht="13.5">
      <c r="B20" s="68" t="s">
        <v>241</v>
      </c>
      <c r="C20" s="69"/>
      <c r="D20" s="70" t="s">
        <v>293</v>
      </c>
      <c r="E20" s="71"/>
      <c r="F20" s="71"/>
      <c r="G20" s="72" t="s">
        <v>233</v>
      </c>
      <c r="H20" s="1818" t="s">
        <v>293</v>
      </c>
      <c r="I20" s="1818"/>
      <c r="J20" s="1818"/>
      <c r="K20" s="1818"/>
      <c r="L20" s="1818"/>
      <c r="M20" s="1818"/>
      <c r="N20" s="73"/>
    </row>
    <row r="21" spans="2:14">
      <c r="B21" s="74" t="s">
        <v>242</v>
      </c>
      <c r="C21" s="75"/>
      <c r="D21" s="1819" t="s">
        <v>1343</v>
      </c>
      <c r="E21" s="1819"/>
      <c r="F21" s="1819"/>
      <c r="G21" s="1819"/>
      <c r="H21" s="1819"/>
      <c r="I21" s="1819"/>
      <c r="J21" s="1819"/>
      <c r="K21" s="1819"/>
      <c r="L21" s="1819"/>
      <c r="M21" s="1819"/>
      <c r="N21" s="76"/>
    </row>
    <row r="22" spans="2:14">
      <c r="B22" s="74"/>
      <c r="C22" s="75"/>
      <c r="D22" s="1820"/>
      <c r="E22" s="1820"/>
      <c r="F22" s="1820"/>
      <c r="G22" s="1820"/>
      <c r="H22" s="1820"/>
      <c r="I22" s="1820"/>
      <c r="J22" s="1820"/>
      <c r="K22" s="1820"/>
      <c r="L22" s="1820"/>
      <c r="M22" s="1820"/>
      <c r="N22" s="76"/>
    </row>
    <row r="23" spans="2:14">
      <c r="B23" s="74"/>
      <c r="C23" s="75"/>
      <c r="D23" s="77"/>
      <c r="E23" s="77"/>
      <c r="F23" s="77"/>
      <c r="G23" s="77"/>
      <c r="H23" s="77"/>
      <c r="I23" s="77"/>
      <c r="J23" s="77"/>
      <c r="K23" s="77"/>
      <c r="L23" s="77"/>
      <c r="M23" s="78"/>
      <c r="N23" s="76"/>
    </row>
    <row r="24" spans="2:14">
      <c r="B24" s="74" t="s">
        <v>292</v>
      </c>
      <c r="C24" s="75"/>
      <c r="D24" s="1816" t="s">
        <v>293</v>
      </c>
      <c r="E24" s="1816"/>
      <c r="F24" s="1816"/>
      <c r="G24" s="1816"/>
      <c r="H24" s="1816"/>
      <c r="I24" s="1816"/>
      <c r="J24" s="1816"/>
      <c r="K24" s="1816"/>
      <c r="L24" s="1816"/>
      <c r="M24" s="1816"/>
      <c r="N24" s="79"/>
    </row>
    <row r="25" spans="2:14">
      <c r="B25" s="74"/>
      <c r="C25" s="75"/>
      <c r="D25" s="80"/>
      <c r="E25" s="80"/>
      <c r="F25" s="80"/>
      <c r="G25" s="80"/>
      <c r="H25" s="80"/>
      <c r="I25" s="80"/>
      <c r="J25" s="80"/>
      <c r="K25" s="80"/>
      <c r="L25" s="80"/>
      <c r="M25" s="81"/>
      <c r="N25" s="79"/>
    </row>
    <row r="26" spans="2:14">
      <c r="B26" s="74" t="s">
        <v>243</v>
      </c>
      <c r="C26" s="75"/>
      <c r="D26" s="1816" t="s">
        <v>293</v>
      </c>
      <c r="E26" s="1816"/>
      <c r="F26" s="1816"/>
      <c r="G26" s="1816"/>
      <c r="H26" s="1816"/>
      <c r="I26" s="1816"/>
      <c r="J26" s="1816"/>
      <c r="K26" s="1816"/>
      <c r="L26" s="1816"/>
      <c r="M26" s="1816"/>
      <c r="N26" s="79"/>
    </row>
    <row r="27" spans="2:14">
      <c r="B27" s="74"/>
      <c r="C27" s="75"/>
      <c r="D27" s="80"/>
      <c r="E27" s="80"/>
      <c r="F27" s="80"/>
      <c r="G27" s="80"/>
      <c r="H27" s="80"/>
      <c r="I27" s="80"/>
      <c r="J27" s="80"/>
      <c r="K27" s="80"/>
      <c r="L27" s="80"/>
      <c r="M27" s="81"/>
      <c r="N27" s="79"/>
    </row>
    <row r="28" spans="2:14">
      <c r="B28" s="74" t="s">
        <v>244</v>
      </c>
      <c r="C28" s="74"/>
      <c r="D28" s="80"/>
      <c r="E28" s="1816" t="s">
        <v>293</v>
      </c>
      <c r="F28" s="1816"/>
      <c r="G28" s="1816"/>
      <c r="H28" s="1816"/>
      <c r="I28" s="1816"/>
      <c r="J28" s="1816"/>
      <c r="K28" s="1816"/>
      <c r="L28" s="1816"/>
      <c r="M28" s="1816"/>
      <c r="N28" s="79"/>
    </row>
    <row r="29" spans="2:14">
      <c r="B29" s="68"/>
      <c r="C29" s="69"/>
      <c r="D29" s="80"/>
      <c r="E29" s="80"/>
      <c r="F29" s="80"/>
      <c r="G29" s="80"/>
      <c r="H29" s="80"/>
      <c r="I29" s="80"/>
      <c r="J29" s="80"/>
      <c r="K29" s="80"/>
      <c r="L29" s="80"/>
      <c r="M29" s="81"/>
      <c r="N29" s="79"/>
    </row>
    <row r="30" spans="2:14">
      <c r="B30" s="74" t="s">
        <v>245</v>
      </c>
      <c r="C30" s="75"/>
      <c r="D30" s="80"/>
      <c r="E30" s="80"/>
      <c r="F30" s="80"/>
      <c r="G30" s="1817" t="s">
        <v>293</v>
      </c>
      <c r="H30" s="1817"/>
      <c r="I30" s="1817"/>
      <c r="J30" s="1817"/>
      <c r="K30" s="1817"/>
      <c r="L30" s="1817"/>
      <c r="M30" s="1817"/>
      <c r="N30" s="79"/>
    </row>
    <row r="31" spans="2:14" ht="13.5" thickBot="1">
      <c r="B31" s="82"/>
      <c r="C31" s="83"/>
      <c r="D31" s="83"/>
      <c r="E31" s="83"/>
      <c r="F31" s="83"/>
      <c r="G31" s="83"/>
      <c r="H31" s="83"/>
      <c r="I31" s="83"/>
      <c r="J31" s="83"/>
      <c r="K31" s="83"/>
      <c r="L31" s="83"/>
      <c r="M31" s="83"/>
      <c r="N31" s="84"/>
    </row>
    <row r="32" spans="2:14" ht="13.5">
      <c r="B32" s="1813" t="s">
        <v>246</v>
      </c>
      <c r="C32" s="1814"/>
      <c r="D32" s="1814"/>
      <c r="E32" s="1814"/>
      <c r="F32" s="1814"/>
      <c r="G32" s="1814"/>
      <c r="H32" s="1814"/>
      <c r="I32" s="1814"/>
      <c r="J32" s="1814"/>
      <c r="K32" s="1814"/>
      <c r="L32" s="1814"/>
      <c r="M32" s="1814"/>
      <c r="N32" s="1815"/>
    </row>
    <row r="33" spans="2:14" ht="13.5" thickBot="1">
      <c r="B33" s="85"/>
      <c r="C33" s="66"/>
      <c r="D33" s="66"/>
      <c r="E33" s="66"/>
      <c r="F33" s="66"/>
      <c r="G33" s="66"/>
      <c r="H33" s="66"/>
      <c r="I33" s="66"/>
      <c r="J33" s="66"/>
      <c r="K33" s="66"/>
      <c r="L33" s="66"/>
      <c r="M33" s="66"/>
      <c r="N33" s="73"/>
    </row>
    <row r="34" spans="2:14">
      <c r="B34" s="189" t="s">
        <v>29</v>
      </c>
      <c r="C34" s="1821" t="s">
        <v>173</v>
      </c>
      <c r="D34" s="1822"/>
      <c r="E34" s="1822"/>
      <c r="F34" s="1822"/>
      <c r="G34" s="1822"/>
      <c r="H34" s="1822"/>
      <c r="I34" s="1822"/>
      <c r="J34" s="1822"/>
      <c r="K34" s="1823"/>
      <c r="L34" s="1808" t="s">
        <v>38</v>
      </c>
      <c r="M34" s="1809"/>
      <c r="N34" s="189" t="s">
        <v>115</v>
      </c>
    </row>
    <row r="35" spans="2:14" ht="13.5" thickBot="1">
      <c r="B35" s="190" t="s">
        <v>35</v>
      </c>
      <c r="C35" s="1824" t="s">
        <v>126</v>
      </c>
      <c r="D35" s="1833"/>
      <c r="E35" s="1833"/>
      <c r="F35" s="1833"/>
      <c r="G35" s="1833"/>
      <c r="H35" s="1833"/>
      <c r="I35" s="1833"/>
      <c r="J35" s="1833"/>
      <c r="K35" s="1825"/>
      <c r="L35" s="1824" t="s">
        <v>103</v>
      </c>
      <c r="M35" s="1825"/>
      <c r="N35" s="191">
        <v>11</v>
      </c>
    </row>
    <row r="36" spans="2:14">
      <c r="B36" s="1763" t="s">
        <v>49</v>
      </c>
      <c r="C36" s="1764"/>
      <c r="D36" s="1764"/>
      <c r="E36" s="1764"/>
      <c r="F36" s="1764"/>
      <c r="G36" s="1764"/>
      <c r="H36" s="1764"/>
      <c r="I36" s="1764"/>
      <c r="J36" s="1764"/>
      <c r="K36" s="1764"/>
      <c r="L36" s="1764"/>
      <c r="M36" s="1764"/>
      <c r="N36" s="1765"/>
    </row>
    <row r="37" spans="2:14">
      <c r="B37" s="1766"/>
      <c r="C37" s="1767"/>
      <c r="D37" s="1767"/>
      <c r="E37" s="1767"/>
      <c r="F37" s="1767"/>
      <c r="G37" s="1767"/>
      <c r="H37" s="1767"/>
      <c r="I37" s="1767"/>
      <c r="J37" s="1767"/>
      <c r="K37" s="1767"/>
      <c r="L37" s="1767"/>
      <c r="M37" s="1767"/>
      <c r="N37" s="1768"/>
    </row>
    <row r="38" spans="2:14" ht="13.5" thickBot="1">
      <c r="B38" s="1769"/>
      <c r="C38" s="1770"/>
      <c r="D38" s="1770"/>
      <c r="E38" s="1770"/>
      <c r="F38" s="1770"/>
      <c r="G38" s="1770"/>
      <c r="H38" s="1770"/>
      <c r="I38" s="1770"/>
      <c r="J38" s="1770"/>
      <c r="K38" s="1770"/>
      <c r="L38" s="1770"/>
      <c r="M38" s="1770"/>
      <c r="N38" s="1771"/>
    </row>
    <row r="39" spans="2:14" ht="13.5">
      <c r="B39" s="1826" t="s">
        <v>173</v>
      </c>
      <c r="C39" s="1827"/>
      <c r="D39" s="1827"/>
      <c r="E39" s="1827"/>
      <c r="F39" s="1828"/>
      <c r="G39" s="1829" t="s">
        <v>248</v>
      </c>
      <c r="H39" s="1827"/>
      <c r="I39" s="1830" t="s">
        <v>184</v>
      </c>
      <c r="J39" s="1831"/>
      <c r="K39" s="178" t="s">
        <v>185</v>
      </c>
      <c r="L39" s="1829" t="s">
        <v>186</v>
      </c>
      <c r="M39" s="1832"/>
      <c r="N39" s="179" t="s">
        <v>191</v>
      </c>
    </row>
    <row r="40" spans="2:14">
      <c r="B40" s="1839" t="s">
        <v>60</v>
      </c>
      <c r="C40" s="1840"/>
      <c r="D40" s="1840"/>
      <c r="E40" s="1840"/>
      <c r="F40" s="1841"/>
      <c r="G40" s="1842"/>
      <c r="H40" s="1841"/>
      <c r="I40" s="1842"/>
      <c r="J40" s="1841"/>
      <c r="K40" s="88">
        <v>7350</v>
      </c>
      <c r="L40" s="1843">
        <v>0.09</v>
      </c>
      <c r="M40" s="1844"/>
      <c r="N40" s="89">
        <v>81666.666666666672</v>
      </c>
    </row>
    <row r="41" spans="2:14">
      <c r="B41" s="116" t="s">
        <v>57</v>
      </c>
      <c r="C41" s="117"/>
      <c r="D41" s="117"/>
      <c r="E41" s="117"/>
      <c r="F41" s="156"/>
      <c r="G41" s="157"/>
      <c r="H41" s="156"/>
      <c r="I41" s="157"/>
      <c r="J41" s="156"/>
      <c r="K41" s="88">
        <v>9660</v>
      </c>
      <c r="L41" s="1843">
        <v>1</v>
      </c>
      <c r="M41" s="1844"/>
      <c r="N41" s="89">
        <v>9660</v>
      </c>
    </row>
    <row r="42" spans="2:14" ht="13.5" thickBot="1">
      <c r="B42" s="1834" t="s">
        <v>58</v>
      </c>
      <c r="C42" s="1835"/>
      <c r="D42" s="1835"/>
      <c r="E42" s="1835"/>
      <c r="F42" s="1836"/>
      <c r="G42" s="1845"/>
      <c r="H42" s="1836"/>
      <c r="I42" s="1845"/>
      <c r="J42" s="1836"/>
      <c r="K42" s="90"/>
      <c r="L42" s="1846"/>
      <c r="M42" s="1847"/>
      <c r="N42" s="89">
        <v>40552</v>
      </c>
    </row>
    <row r="43" spans="2:14" ht="14.25" thickBot="1">
      <c r="B43" s="1848"/>
      <c r="C43" s="1849"/>
      <c r="D43" s="1849"/>
      <c r="E43" s="1849"/>
      <c r="F43" s="1849"/>
      <c r="G43" s="1849"/>
      <c r="H43" s="1849"/>
      <c r="I43" s="1849"/>
      <c r="J43" s="1849"/>
      <c r="K43" s="1849"/>
      <c r="L43" s="1849"/>
      <c r="M43" s="1850"/>
      <c r="N43" s="91">
        <v>131878.66666666669</v>
      </c>
    </row>
    <row r="44" spans="2:14" ht="13.5" customHeight="1">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c r="C48" s="1840"/>
      <c r="D48" s="1840"/>
      <c r="E48" s="1840"/>
      <c r="F48" s="1840"/>
      <c r="G48" s="1840"/>
      <c r="H48" s="1840"/>
      <c r="I48" s="1841"/>
      <c r="J48" s="400"/>
      <c r="K48" s="96"/>
      <c r="L48" s="1852"/>
      <c r="M48" s="1853"/>
      <c r="N48" s="89"/>
    </row>
    <row r="49" spans="2:14" ht="13.5" thickBot="1">
      <c r="B49" s="1834"/>
      <c r="C49" s="1835"/>
      <c r="D49" s="1835"/>
      <c r="E49" s="1835"/>
      <c r="F49" s="1835"/>
      <c r="G49" s="1835"/>
      <c r="H49" s="1835"/>
      <c r="I49" s="1836"/>
      <c r="J49" s="86"/>
      <c r="K49" s="97"/>
      <c r="L49" s="1837"/>
      <c r="M49" s="1838"/>
      <c r="N49" s="98"/>
    </row>
    <row r="50" spans="2:14" ht="14.25" thickBot="1">
      <c r="B50" s="1848" t="s">
        <v>188</v>
      </c>
      <c r="C50" s="1849"/>
      <c r="D50" s="1849"/>
      <c r="E50" s="1849"/>
      <c r="F50" s="1849"/>
      <c r="G50" s="1849"/>
      <c r="H50" s="1849"/>
      <c r="I50" s="1849"/>
      <c r="J50" s="1849"/>
      <c r="K50" s="1849"/>
      <c r="L50" s="1849"/>
      <c r="M50" s="1850"/>
      <c r="N50" s="99">
        <v>0</v>
      </c>
    </row>
    <row r="51" spans="2:14">
      <c r="B51" s="1763" t="s">
        <v>51</v>
      </c>
      <c r="C51" s="1764"/>
      <c r="D51" s="1764"/>
      <c r="E51" s="1764"/>
      <c r="F51" s="1764"/>
      <c r="G51" s="1764"/>
      <c r="H51" s="1764"/>
      <c r="I51" s="1764"/>
      <c r="J51" s="1764"/>
      <c r="K51" s="1764"/>
      <c r="L51" s="1764"/>
      <c r="M51" s="1764"/>
      <c r="N51" s="1765"/>
    </row>
    <row r="52" spans="2:14">
      <c r="B52" s="1766"/>
      <c r="C52" s="1767"/>
      <c r="D52" s="1767"/>
      <c r="E52" s="1767"/>
      <c r="F52" s="1767"/>
      <c r="G52" s="1767"/>
      <c r="H52" s="1767"/>
      <c r="I52" s="1767"/>
      <c r="J52" s="1767"/>
      <c r="K52" s="1767"/>
      <c r="L52" s="1767"/>
      <c r="M52" s="1767"/>
      <c r="N52" s="1768"/>
    </row>
    <row r="53" spans="2:14" ht="13.5" thickBot="1">
      <c r="B53" s="1769"/>
      <c r="C53" s="1770"/>
      <c r="D53" s="1770"/>
      <c r="E53" s="1770"/>
      <c r="F53" s="1770"/>
      <c r="G53" s="1770"/>
      <c r="H53" s="1770"/>
      <c r="I53" s="1770"/>
      <c r="J53" s="1770"/>
      <c r="K53" s="1770"/>
      <c r="L53" s="1770"/>
      <c r="M53" s="1770"/>
      <c r="N53" s="1771"/>
    </row>
    <row r="54" spans="2:14" ht="13.5">
      <c r="B54" s="1826" t="s">
        <v>192</v>
      </c>
      <c r="C54" s="1851"/>
      <c r="D54" s="1851"/>
      <c r="E54" s="1851"/>
      <c r="F54" s="1851"/>
      <c r="G54" s="1851"/>
      <c r="H54" s="1851"/>
      <c r="I54" s="178" t="s">
        <v>193</v>
      </c>
      <c r="J54" s="181" t="s">
        <v>194</v>
      </c>
      <c r="K54" s="182" t="s">
        <v>310</v>
      </c>
      <c r="L54" s="1829" t="s">
        <v>39</v>
      </c>
      <c r="M54" s="1832"/>
      <c r="N54" s="179" t="s">
        <v>191</v>
      </c>
    </row>
    <row r="55" spans="2:14">
      <c r="B55" s="1839" t="s">
        <v>59</v>
      </c>
      <c r="C55" s="1840"/>
      <c r="D55" s="1840"/>
      <c r="E55" s="1840"/>
      <c r="F55" s="1840"/>
      <c r="G55" s="1840"/>
      <c r="H55" s="1840"/>
      <c r="I55" s="158">
        <v>30</v>
      </c>
      <c r="J55" s="173">
        <v>5</v>
      </c>
      <c r="K55" s="158">
        <v>150</v>
      </c>
      <c r="L55" s="1859">
        <v>852</v>
      </c>
      <c r="M55" s="1860"/>
      <c r="N55" s="89">
        <v>127800</v>
      </c>
    </row>
    <row r="56" spans="2:14" ht="13.5" thickBot="1">
      <c r="B56" s="1834"/>
      <c r="C56" s="1835"/>
      <c r="D56" s="1835"/>
      <c r="E56" s="1835"/>
      <c r="F56" s="1835"/>
      <c r="G56" s="1835"/>
      <c r="H56" s="1835"/>
      <c r="I56" s="102"/>
      <c r="J56" s="87"/>
      <c r="K56" s="102"/>
      <c r="L56" s="1837"/>
      <c r="M56" s="1838"/>
      <c r="N56" s="174"/>
    </row>
    <row r="57" spans="2:14" ht="14.25" thickBot="1">
      <c r="B57" s="1848" t="s">
        <v>188</v>
      </c>
      <c r="C57" s="1849"/>
      <c r="D57" s="1849"/>
      <c r="E57" s="1849"/>
      <c r="F57" s="1849"/>
      <c r="G57" s="1849"/>
      <c r="H57" s="1849"/>
      <c r="I57" s="1849"/>
      <c r="J57" s="1849"/>
      <c r="K57" s="1849"/>
      <c r="L57" s="1849"/>
      <c r="M57" s="1850"/>
      <c r="N57" s="91">
        <v>127800</v>
      </c>
    </row>
    <row r="58" spans="2:14">
      <c r="B58" s="1763" t="s">
        <v>52</v>
      </c>
      <c r="C58" s="1764"/>
      <c r="D58" s="1764"/>
      <c r="E58" s="1764"/>
      <c r="F58" s="1764"/>
      <c r="G58" s="1764"/>
      <c r="H58" s="1764"/>
      <c r="I58" s="1764"/>
      <c r="J58" s="1764"/>
      <c r="K58" s="1764"/>
      <c r="L58" s="1764"/>
      <c r="M58" s="1764"/>
      <c r="N58" s="1765"/>
    </row>
    <row r="59" spans="2:14">
      <c r="B59" s="1766"/>
      <c r="C59" s="1767"/>
      <c r="D59" s="1767"/>
      <c r="E59" s="1767"/>
      <c r="F59" s="1767"/>
      <c r="G59" s="1767"/>
      <c r="H59" s="1767"/>
      <c r="I59" s="1767"/>
      <c r="J59" s="1767"/>
      <c r="K59" s="1767"/>
      <c r="L59" s="1767"/>
      <c r="M59" s="1767"/>
      <c r="N59" s="1768"/>
    </row>
    <row r="60" spans="2:14" ht="13.5" thickBot="1">
      <c r="B60" s="1769"/>
      <c r="C60" s="1770"/>
      <c r="D60" s="1770"/>
      <c r="E60" s="1770"/>
      <c r="F60" s="1770"/>
      <c r="G60" s="1770"/>
      <c r="H60" s="1770"/>
      <c r="I60" s="1770"/>
      <c r="J60" s="1770"/>
      <c r="K60" s="1770"/>
      <c r="L60" s="1770"/>
      <c r="M60" s="1770"/>
      <c r="N60" s="1771"/>
    </row>
    <row r="61" spans="2:14" ht="13.5">
      <c r="B61" s="1826" t="s">
        <v>195</v>
      </c>
      <c r="C61" s="1851"/>
      <c r="D61" s="1851"/>
      <c r="E61" s="1851"/>
      <c r="F61" s="1851"/>
      <c r="G61" s="1851"/>
      <c r="H61" s="1851"/>
      <c r="I61" s="178" t="s">
        <v>196</v>
      </c>
      <c r="J61" s="183" t="s">
        <v>46</v>
      </c>
      <c r="K61" s="184" t="s">
        <v>197</v>
      </c>
      <c r="L61" s="1857" t="s">
        <v>186</v>
      </c>
      <c r="M61" s="1858"/>
      <c r="N61" s="185" t="s">
        <v>191</v>
      </c>
    </row>
    <row r="62" spans="2:14">
      <c r="B62" s="105" t="s">
        <v>207</v>
      </c>
      <c r="C62" s="106"/>
      <c r="D62" s="106"/>
      <c r="E62" s="106"/>
      <c r="F62" s="106"/>
      <c r="G62" s="106"/>
      <c r="H62" s="106"/>
      <c r="I62" s="107">
        <v>109600</v>
      </c>
      <c r="J62" s="108">
        <v>1.85</v>
      </c>
      <c r="K62" s="109">
        <v>202760</v>
      </c>
      <c r="L62" s="1861">
        <v>0.5</v>
      </c>
      <c r="M62" s="1862"/>
      <c r="N62" s="110">
        <v>405520</v>
      </c>
    </row>
    <row r="63" spans="2:14">
      <c r="B63" s="105"/>
      <c r="C63" s="106"/>
      <c r="D63" s="106"/>
      <c r="E63" s="106"/>
      <c r="F63" s="106"/>
      <c r="G63" s="106"/>
      <c r="H63" s="106"/>
      <c r="I63" s="107"/>
      <c r="J63" s="108"/>
      <c r="K63" s="109"/>
      <c r="L63" s="1861"/>
      <c r="M63" s="1862"/>
      <c r="N63" s="110"/>
    </row>
    <row r="64" spans="2:14">
      <c r="B64" s="105"/>
      <c r="C64" s="106"/>
      <c r="D64" s="106"/>
      <c r="E64" s="106"/>
      <c r="F64" s="106"/>
      <c r="G64" s="106"/>
      <c r="H64" s="106"/>
      <c r="I64" s="107"/>
      <c r="J64" s="108"/>
      <c r="K64" s="109"/>
      <c r="L64" s="1859"/>
      <c r="M64" s="1860"/>
      <c r="N64" s="110"/>
    </row>
    <row r="65" spans="2:14" ht="13.5" thickBot="1">
      <c r="B65" s="1834"/>
      <c r="C65" s="1835"/>
      <c r="D65" s="1835"/>
      <c r="E65" s="1835"/>
      <c r="F65" s="1835"/>
      <c r="G65" s="1835"/>
      <c r="H65" s="1835"/>
      <c r="I65" s="102"/>
      <c r="J65" s="87"/>
      <c r="K65" s="102"/>
      <c r="L65" s="1837"/>
      <c r="M65" s="1838"/>
      <c r="N65" s="111"/>
    </row>
    <row r="66" spans="2:14" ht="14.25" thickBot="1">
      <c r="B66" s="1848" t="s">
        <v>188</v>
      </c>
      <c r="C66" s="1849"/>
      <c r="D66" s="1849"/>
      <c r="E66" s="1849"/>
      <c r="F66" s="1849"/>
      <c r="G66" s="1849"/>
      <c r="H66" s="1849"/>
      <c r="I66" s="1849"/>
      <c r="J66" s="1849"/>
      <c r="K66" s="1849"/>
      <c r="L66" s="1849"/>
      <c r="M66" s="1850"/>
      <c r="N66" s="112">
        <v>405520</v>
      </c>
    </row>
    <row r="67" spans="2:14" ht="13.5" thickBot="1">
      <c r="B67" s="85"/>
      <c r="C67" s="66"/>
      <c r="D67" s="66"/>
      <c r="E67" s="66"/>
      <c r="F67" s="66"/>
      <c r="G67" s="66"/>
      <c r="H67" s="66"/>
      <c r="I67" s="66"/>
      <c r="J67" s="66"/>
      <c r="K67" s="66"/>
      <c r="L67" s="66"/>
      <c r="M67" s="66"/>
      <c r="N67" s="73"/>
    </row>
    <row r="68" spans="2:14" ht="13.5" thickBot="1">
      <c r="B68" s="1854" t="s">
        <v>198</v>
      </c>
      <c r="C68" s="1855"/>
      <c r="D68" s="1855"/>
      <c r="E68" s="1855"/>
      <c r="F68" s="1855"/>
      <c r="G68" s="1855"/>
      <c r="H68" s="1855"/>
      <c r="I68" s="1855"/>
      <c r="J68" s="1855"/>
      <c r="K68" s="1855"/>
      <c r="L68" s="1855"/>
      <c r="M68" s="1856"/>
      <c r="N68" s="186">
        <v>665198.66666666674</v>
      </c>
    </row>
    <row r="69" spans="2:14">
      <c r="B69" s="1763" t="s">
        <v>53</v>
      </c>
      <c r="C69" s="1764"/>
      <c r="D69" s="1764"/>
      <c r="E69" s="1764"/>
      <c r="F69" s="1764"/>
      <c r="G69" s="1764"/>
      <c r="H69" s="1764"/>
      <c r="I69" s="1764"/>
      <c r="J69" s="1764"/>
      <c r="K69" s="1764"/>
      <c r="L69" s="1764"/>
      <c r="M69" s="1764"/>
      <c r="N69" s="1765"/>
    </row>
    <row r="70" spans="2:14">
      <c r="B70" s="1766"/>
      <c r="C70" s="1767"/>
      <c r="D70" s="1767"/>
      <c r="E70" s="1767"/>
      <c r="F70" s="1767"/>
      <c r="G70" s="1767"/>
      <c r="H70" s="1767"/>
      <c r="I70" s="1767"/>
      <c r="J70" s="1767"/>
      <c r="K70" s="1767"/>
      <c r="L70" s="1767"/>
      <c r="M70" s="1767"/>
      <c r="N70" s="1768"/>
    </row>
    <row r="71" spans="2:14" ht="13.5" thickBot="1">
      <c r="B71" s="1769"/>
      <c r="C71" s="1770"/>
      <c r="D71" s="1770"/>
      <c r="E71" s="1770"/>
      <c r="F71" s="1770"/>
      <c r="G71" s="1770"/>
      <c r="H71" s="1770"/>
      <c r="I71" s="1770"/>
      <c r="J71" s="1770"/>
      <c r="K71" s="1770"/>
      <c r="L71" s="1770"/>
      <c r="M71" s="1770"/>
      <c r="N71" s="1771"/>
    </row>
    <row r="72" spans="2:14" ht="13.5">
      <c r="B72" s="1826" t="s">
        <v>50</v>
      </c>
      <c r="C72" s="1851"/>
      <c r="D72" s="1851"/>
      <c r="E72" s="1851"/>
      <c r="F72" s="1851"/>
      <c r="G72" s="1851"/>
      <c r="H72" s="1851"/>
      <c r="I72" s="181"/>
      <c r="J72" s="187"/>
      <c r="K72" s="184" t="s">
        <v>54</v>
      </c>
      <c r="L72" s="1857" t="s">
        <v>55</v>
      </c>
      <c r="M72" s="1858"/>
      <c r="N72" s="185"/>
    </row>
    <row r="73" spans="2:14">
      <c r="B73" s="1839" t="s">
        <v>44</v>
      </c>
      <c r="C73" s="1840"/>
      <c r="D73" s="1840"/>
      <c r="E73" s="1840"/>
      <c r="F73" s="1840"/>
      <c r="G73" s="1840"/>
      <c r="H73" s="1840"/>
      <c r="I73" s="113"/>
      <c r="J73" s="114"/>
      <c r="K73" s="192">
        <v>0.22</v>
      </c>
      <c r="L73" s="1877">
        <v>146343.70666666669</v>
      </c>
      <c r="M73" s="1878"/>
      <c r="N73" s="115"/>
    </row>
    <row r="74" spans="2:14">
      <c r="B74" s="116" t="s">
        <v>56</v>
      </c>
      <c r="C74" s="117"/>
      <c r="D74" s="117"/>
      <c r="E74" s="117"/>
      <c r="F74" s="117"/>
      <c r="G74" s="117"/>
      <c r="H74" s="117"/>
      <c r="I74" s="113"/>
      <c r="J74" s="114"/>
      <c r="K74" s="192">
        <v>0.05</v>
      </c>
      <c r="L74" s="1877">
        <v>33259.933333333342</v>
      </c>
      <c r="M74" s="1878"/>
      <c r="N74" s="115"/>
    </row>
    <row r="75" spans="2:14" ht="13.5" thickBot="1">
      <c r="B75" s="118" t="s">
        <v>45</v>
      </c>
      <c r="C75" s="119"/>
      <c r="D75" s="119"/>
      <c r="E75" s="119"/>
      <c r="F75" s="119"/>
      <c r="G75" s="119"/>
      <c r="H75" s="119"/>
      <c r="I75" s="120"/>
      <c r="J75" s="121"/>
      <c r="K75" s="192">
        <v>0.05</v>
      </c>
      <c r="L75" s="1879">
        <v>33259.933333333342</v>
      </c>
      <c r="M75" s="1880"/>
      <c r="N75" s="115"/>
    </row>
    <row r="76" spans="2:14" ht="14.25" thickBot="1">
      <c r="B76" s="1848" t="s">
        <v>188</v>
      </c>
      <c r="C76" s="1849"/>
      <c r="D76" s="1849"/>
      <c r="E76" s="1849"/>
      <c r="F76" s="1849"/>
      <c r="G76" s="1849"/>
      <c r="H76" s="1849"/>
      <c r="I76" s="1849"/>
      <c r="J76" s="1849"/>
      <c r="K76" s="1849"/>
      <c r="L76" s="1849"/>
      <c r="M76" s="1850"/>
      <c r="N76" s="122">
        <v>212863.57333333339</v>
      </c>
    </row>
    <row r="77" spans="2:14" ht="13.5" thickBot="1">
      <c r="B77" s="85"/>
      <c r="C77" s="66"/>
      <c r="D77" s="66"/>
      <c r="E77" s="66"/>
      <c r="F77" s="66"/>
      <c r="G77" s="66"/>
      <c r="H77" s="66"/>
      <c r="I77" s="66"/>
      <c r="J77" s="66"/>
      <c r="K77" s="66"/>
      <c r="L77" s="66"/>
      <c r="M77" s="66"/>
      <c r="N77" s="73"/>
    </row>
    <row r="78" spans="2:14" ht="13.5" thickBot="1">
      <c r="B78" s="1854" t="s">
        <v>199</v>
      </c>
      <c r="C78" s="1855"/>
      <c r="D78" s="1855"/>
      <c r="E78" s="1855"/>
      <c r="F78" s="1855"/>
      <c r="G78" s="1855"/>
      <c r="H78" s="1855"/>
      <c r="I78" s="1855"/>
      <c r="J78" s="1855"/>
      <c r="K78" s="1855"/>
      <c r="L78" s="1855"/>
      <c r="M78" s="1856"/>
      <c r="N78" s="188">
        <v>878062</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249</v>
      </c>
      <c r="H82" s="71"/>
      <c r="I82" s="71"/>
      <c r="J82" s="71"/>
      <c r="K82" s="66"/>
      <c r="L82" s="66"/>
      <c r="M82" s="66"/>
      <c r="N82" s="73"/>
    </row>
    <row r="83" spans="2:14" ht="13.5">
      <c r="B83" s="123"/>
      <c r="C83" s="124"/>
      <c r="D83" s="124"/>
      <c r="E83" s="124"/>
      <c r="F83" s="124"/>
      <c r="G83" s="71" t="s">
        <v>250</v>
      </c>
      <c r="H83" s="124"/>
      <c r="I83" s="124"/>
      <c r="J83" s="124"/>
      <c r="K83" s="124"/>
      <c r="L83" s="124"/>
      <c r="M83" s="124"/>
      <c r="N83" s="125"/>
    </row>
    <row r="84" spans="2:14" ht="13.5">
      <c r="B84" s="123"/>
      <c r="C84" s="124"/>
      <c r="D84" s="124"/>
      <c r="E84" s="124"/>
      <c r="F84" s="124"/>
      <c r="G84" s="71" t="s">
        <v>251</v>
      </c>
      <c r="J84" s="124"/>
      <c r="K84" s="124"/>
      <c r="L84" s="124"/>
      <c r="M84" s="124"/>
      <c r="N84" s="125"/>
    </row>
    <row r="85" spans="2:14">
      <c r="B85" s="49"/>
      <c r="C85" s="81"/>
      <c r="D85" s="81"/>
      <c r="E85" s="81"/>
      <c r="F85" s="81"/>
      <c r="G85" s="71" t="s">
        <v>252</v>
      </c>
      <c r="H85" s="81"/>
      <c r="I85" s="81"/>
      <c r="J85" s="81"/>
      <c r="K85" s="81"/>
      <c r="L85" s="81"/>
      <c r="M85" s="81"/>
      <c r="N85" s="79"/>
    </row>
    <row r="86" spans="2:14">
      <c r="B86" s="85"/>
      <c r="C86" s="66"/>
      <c r="D86" s="66"/>
      <c r="E86" s="66"/>
      <c r="F86" s="66"/>
      <c r="G86" s="66" t="s">
        <v>253</v>
      </c>
      <c r="H86" s="66"/>
      <c r="I86" s="66"/>
      <c r="J86" s="66"/>
      <c r="K86" s="66"/>
      <c r="L86" s="66"/>
      <c r="M86" s="66"/>
      <c r="N86" s="73"/>
    </row>
    <row r="87" spans="2:14" ht="13.5">
      <c r="B87" s="92" t="s">
        <v>254</v>
      </c>
      <c r="C87" s="93"/>
      <c r="D87" s="93"/>
      <c r="E87" s="93"/>
      <c r="F87" s="93"/>
      <c r="G87" s="93"/>
      <c r="H87" s="93"/>
      <c r="I87" s="93"/>
      <c r="J87" s="93"/>
      <c r="K87" s="93"/>
      <c r="L87" s="93"/>
      <c r="M87" s="93"/>
      <c r="N87" s="94"/>
    </row>
    <row r="88" spans="2:14">
      <c r="B88" s="1874"/>
      <c r="C88" s="1875"/>
      <c r="D88" s="1875"/>
      <c r="E88" s="1875"/>
      <c r="F88" s="1875"/>
      <c r="G88" s="1875"/>
      <c r="H88" s="1875"/>
      <c r="I88" s="1875"/>
      <c r="J88" s="1875"/>
      <c r="K88" s="1875"/>
      <c r="L88" s="1875"/>
      <c r="M88" s="1875"/>
      <c r="N88" s="1876"/>
    </row>
    <row r="89" spans="2:14">
      <c r="B89" s="1874"/>
      <c r="C89" s="1875"/>
      <c r="D89" s="1875"/>
      <c r="E89" s="1875"/>
      <c r="F89" s="1875"/>
      <c r="G89" s="1875"/>
      <c r="H89" s="1875"/>
      <c r="I89" s="1875"/>
      <c r="J89" s="1875"/>
      <c r="K89" s="1875"/>
      <c r="L89" s="1875"/>
      <c r="M89" s="1875"/>
      <c r="N89" s="1876"/>
    </row>
    <row r="90" spans="2:14">
      <c r="B90" s="49"/>
      <c r="C90" s="81"/>
      <c r="D90" s="81"/>
      <c r="E90" s="81"/>
      <c r="F90" s="81"/>
      <c r="G90" s="81"/>
      <c r="H90" s="81"/>
      <c r="I90" s="81"/>
      <c r="J90" s="81"/>
      <c r="K90" s="81"/>
      <c r="L90" s="81"/>
      <c r="M90" s="81"/>
      <c r="N90" s="79"/>
    </row>
    <row r="91" spans="2:14">
      <c r="B91" s="406" t="s">
        <v>719</v>
      </c>
      <c r="C91" s="81"/>
      <c r="D91" s="81"/>
      <c r="E91" s="81"/>
      <c r="F91" s="81"/>
      <c r="G91" s="81"/>
      <c r="H91" s="81"/>
      <c r="I91" s="81"/>
      <c r="J91" s="81"/>
      <c r="K91" s="81"/>
      <c r="L91" s="81"/>
      <c r="M91" s="81"/>
      <c r="N91" s="79"/>
    </row>
    <row r="92" spans="2:14" ht="12.75" customHeight="1">
      <c r="B92" s="1871" t="s">
        <v>720</v>
      </c>
      <c r="C92" s="1872"/>
      <c r="D92" s="1872"/>
      <c r="E92" s="1872"/>
      <c r="F92" s="1872"/>
      <c r="G92" s="1872"/>
      <c r="H92" s="1872"/>
      <c r="I92" s="1872"/>
      <c r="J92" s="1872"/>
      <c r="K92" s="1872"/>
      <c r="L92" s="1872"/>
      <c r="M92" s="1872"/>
      <c r="N92" s="1873"/>
    </row>
    <row r="93" spans="2:14">
      <c r="B93" s="1871"/>
      <c r="C93" s="1872"/>
      <c r="D93" s="1872"/>
      <c r="E93" s="1872"/>
      <c r="F93" s="1872"/>
      <c r="G93" s="1872"/>
      <c r="H93" s="1872"/>
      <c r="I93" s="1872"/>
      <c r="J93" s="1872"/>
      <c r="K93" s="1872"/>
      <c r="L93" s="1872"/>
      <c r="M93" s="1872"/>
      <c r="N93" s="1873"/>
    </row>
    <row r="94" spans="2:14">
      <c r="B94" s="1871" t="s">
        <v>721</v>
      </c>
      <c r="C94" s="1872"/>
      <c r="D94" s="1872"/>
      <c r="E94" s="1872"/>
      <c r="F94" s="1872"/>
      <c r="G94" s="1872"/>
      <c r="H94" s="1872"/>
      <c r="I94" s="1872"/>
      <c r="J94" s="1872"/>
      <c r="K94" s="1872"/>
      <c r="L94" s="1872"/>
      <c r="M94" s="1872"/>
      <c r="N94" s="1873"/>
    </row>
    <row r="95" spans="2:14">
      <c r="B95" s="1871"/>
      <c r="C95" s="1872"/>
      <c r="D95" s="1872"/>
      <c r="E95" s="1872"/>
      <c r="F95" s="1872"/>
      <c r="G95" s="1872"/>
      <c r="H95" s="1872"/>
      <c r="I95" s="1872"/>
      <c r="J95" s="1872"/>
      <c r="K95" s="1872"/>
      <c r="L95" s="1872"/>
      <c r="M95" s="1872"/>
      <c r="N95" s="1873"/>
    </row>
    <row r="96" spans="2:14">
      <c r="B96" s="49"/>
      <c r="C96" s="81"/>
      <c r="D96" s="81"/>
      <c r="E96" s="81"/>
      <c r="F96" s="81"/>
      <c r="G96" s="81"/>
      <c r="H96" s="81"/>
      <c r="I96" s="81"/>
      <c r="J96" s="81"/>
      <c r="K96" s="81"/>
      <c r="L96" s="81"/>
      <c r="M96" s="81"/>
      <c r="N96" s="79"/>
    </row>
    <row r="97" spans="2:14">
      <c r="B97" s="85"/>
      <c r="C97" s="66"/>
      <c r="D97" s="66"/>
      <c r="E97" s="66"/>
      <c r="F97" s="66"/>
      <c r="G97" s="71" t="s">
        <v>249</v>
      </c>
      <c r="H97" s="66"/>
      <c r="I97" s="66"/>
      <c r="J97" s="66"/>
      <c r="K97" s="66"/>
      <c r="L97" s="66"/>
      <c r="M97" s="66"/>
      <c r="N97" s="73"/>
    </row>
    <row r="98" spans="2:14">
      <c r="B98" s="85"/>
      <c r="C98" s="66"/>
      <c r="D98" s="66"/>
      <c r="E98" s="66"/>
      <c r="F98" s="66"/>
      <c r="G98" s="66" t="s">
        <v>250</v>
      </c>
      <c r="H98" s="86"/>
      <c r="I98" s="86"/>
      <c r="J98" s="86"/>
      <c r="K98" s="66"/>
      <c r="L98" s="66"/>
      <c r="M98" s="66"/>
      <c r="N98" s="73"/>
    </row>
    <row r="99" spans="2:14">
      <c r="B99" s="85"/>
      <c r="C99" s="66"/>
      <c r="D99" s="66"/>
      <c r="E99" s="66"/>
      <c r="F99" s="66"/>
      <c r="G99" s="66" t="s">
        <v>255</v>
      </c>
      <c r="H99" s="80"/>
      <c r="I99" s="80"/>
      <c r="J99" s="80"/>
      <c r="M99" s="66"/>
      <c r="N99" s="73"/>
    </row>
    <row r="100" spans="2:14">
      <c r="B100" s="127"/>
      <c r="C100" s="81"/>
      <c r="D100" s="81"/>
      <c r="E100" s="81"/>
      <c r="F100" s="81"/>
      <c r="G100" s="66" t="s">
        <v>252</v>
      </c>
      <c r="K100" s="81"/>
      <c r="L100" s="81"/>
      <c r="M100" s="81"/>
      <c r="N100" s="79"/>
    </row>
    <row r="101" spans="2:14" ht="17.25" customHeight="1">
      <c r="B101" s="138" t="s">
        <v>722</v>
      </c>
      <c r="C101" s="128"/>
      <c r="D101" s="128"/>
      <c r="E101" s="66"/>
      <c r="F101" s="66"/>
      <c r="G101" s="66"/>
      <c r="H101" s="66"/>
      <c r="I101" s="66"/>
      <c r="J101" s="1863"/>
      <c r="K101" s="1863"/>
      <c r="L101" s="1863"/>
      <c r="M101" s="1863"/>
      <c r="N101" s="1864"/>
    </row>
    <row r="102" spans="2:14" ht="18.75" customHeight="1" thickBot="1">
      <c r="B102" s="1867" t="s">
        <v>723</v>
      </c>
      <c r="C102" s="1868"/>
      <c r="D102" s="1868"/>
      <c r="E102" s="87"/>
      <c r="F102" s="87"/>
      <c r="G102" s="87"/>
      <c r="H102" s="87"/>
      <c r="I102" s="87"/>
      <c r="J102" s="1865"/>
      <c r="K102" s="1865"/>
      <c r="L102" s="1865"/>
      <c r="M102" s="1865"/>
      <c r="N102" s="1866"/>
    </row>
  </sheetData>
  <mergeCells count="86">
    <mergeCell ref="J101:N102"/>
    <mergeCell ref="B102:D102"/>
    <mergeCell ref="B12:E12"/>
    <mergeCell ref="B92:N93"/>
    <mergeCell ref="B88:N88"/>
    <mergeCell ref="B89:N89"/>
    <mergeCell ref="B73:H73"/>
    <mergeCell ref="L73:M73"/>
    <mergeCell ref="L74:M74"/>
    <mergeCell ref="L75:M75"/>
    <mergeCell ref="B76:M76"/>
    <mergeCell ref="B78:M78"/>
    <mergeCell ref="B94:N95"/>
    <mergeCell ref="B65:H65"/>
    <mergeCell ref="L65:M65"/>
    <mergeCell ref="B66:M66"/>
    <mergeCell ref="B68:M68"/>
    <mergeCell ref="B72:H72"/>
    <mergeCell ref="L72:M72"/>
    <mergeCell ref="L64:M64"/>
    <mergeCell ref="B50:M50"/>
    <mergeCell ref="B54:H54"/>
    <mergeCell ref="L54:M54"/>
    <mergeCell ref="B55:H55"/>
    <mergeCell ref="L55:M55"/>
    <mergeCell ref="B56:H56"/>
    <mergeCell ref="L56:M56"/>
    <mergeCell ref="B57:M57"/>
    <mergeCell ref="B61:H61"/>
    <mergeCell ref="L61:M61"/>
    <mergeCell ref="L62:M62"/>
    <mergeCell ref="L63:M63"/>
    <mergeCell ref="B49:I49"/>
    <mergeCell ref="L49:M49"/>
    <mergeCell ref="B40:F40"/>
    <mergeCell ref="G40:H40"/>
    <mergeCell ref="I40:J40"/>
    <mergeCell ref="L40:M40"/>
    <mergeCell ref="L41:M41"/>
    <mergeCell ref="B42:F42"/>
    <mergeCell ref="G42:H42"/>
    <mergeCell ref="I42:J42"/>
    <mergeCell ref="L42:M42"/>
    <mergeCell ref="B43:M43"/>
    <mergeCell ref="B47:I47"/>
    <mergeCell ref="L47:M47"/>
    <mergeCell ref="B48:I48"/>
    <mergeCell ref="L48:M48"/>
    <mergeCell ref="L35:M35"/>
    <mergeCell ref="B39:F39"/>
    <mergeCell ref="G39:H39"/>
    <mergeCell ref="I39:J39"/>
    <mergeCell ref="L39:M39"/>
    <mergeCell ref="C35:K35"/>
    <mergeCell ref="B36:N38"/>
    <mergeCell ref="N6:N8"/>
    <mergeCell ref="C8:J8"/>
    <mergeCell ref="C6:J7"/>
    <mergeCell ref="L34:M34"/>
    <mergeCell ref="D14:G14"/>
    <mergeCell ref="J14:M14"/>
    <mergeCell ref="L15:N15"/>
    <mergeCell ref="B32:N32"/>
    <mergeCell ref="E28:M28"/>
    <mergeCell ref="G30:M30"/>
    <mergeCell ref="H20:M20"/>
    <mergeCell ref="D21:M22"/>
    <mergeCell ref="D24:M24"/>
    <mergeCell ref="D26:M26"/>
    <mergeCell ref="C34:K34"/>
    <mergeCell ref="B44:N46"/>
    <mergeCell ref="B51:N53"/>
    <mergeCell ref="B58:N60"/>
    <mergeCell ref="B69:N71"/>
    <mergeCell ref="B2:B8"/>
    <mergeCell ref="C2:J2"/>
    <mergeCell ref="K2:K3"/>
    <mergeCell ref="L2:N3"/>
    <mergeCell ref="C3:J3"/>
    <mergeCell ref="C4:J4"/>
    <mergeCell ref="K4:K5"/>
    <mergeCell ref="L4:N5"/>
    <mergeCell ref="C5:J5"/>
    <mergeCell ref="K6:K8"/>
    <mergeCell ref="L6:L8"/>
    <mergeCell ref="M6:M8"/>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9505" r:id="rId3">
          <objectPr defaultSize="0" autoPict="0" r:id="rId4">
            <anchor moveWithCells="1" sizeWithCells="1">
              <from>
                <xdr:col>1</xdr:col>
                <xdr:colOff>76200</xdr:colOff>
                <xdr:row>1</xdr:row>
                <xdr:rowOff>85725</xdr:rowOff>
              </from>
              <to>
                <xdr:col>1</xdr:col>
                <xdr:colOff>742950</xdr:colOff>
                <xdr:row>6</xdr:row>
                <xdr:rowOff>142875</xdr:rowOff>
              </to>
            </anchor>
          </objectPr>
        </oleObject>
      </mc:Choice>
      <mc:Fallback>
        <oleObject progId="PBrush" shapeId="149505" r:id="rId3"/>
      </mc:Fallback>
    </mc:AlternateContent>
    <mc:AlternateContent xmlns:mc="http://schemas.openxmlformats.org/markup-compatibility/2006">
      <mc:Choice Requires="x14">
        <oleObject progId="PBrush" shapeId="149506" r:id="rId5">
          <objectPr defaultSize="0" autoPict="0" r:id="rId6">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49506" r:id="rId5"/>
      </mc:Fallback>
    </mc:AlternateContent>
  </oleObjects>
  <mc:AlternateContent xmlns:mc="http://schemas.openxmlformats.org/markup-compatibility/2006">
    <mc:Choice Requires="x14">
      <controls>
        <mc:AlternateContent xmlns:mc="http://schemas.openxmlformats.org/markup-compatibility/2006">
          <mc:Choice Requires="x14">
            <control shapeId="149509" r:id="rId7" name="Check Box 5">
              <controlPr defaultSize="0" autoFill="0" autoLine="0" autoPict="0">
                <anchor moveWithCells="1">
                  <from>
                    <xdr:col>5</xdr:col>
                    <xdr:colOff>152400</xdr:colOff>
                    <xdr:row>10</xdr:row>
                    <xdr:rowOff>142875</xdr:rowOff>
                  </from>
                  <to>
                    <xdr:col>5</xdr:col>
                    <xdr:colOff>447675</xdr:colOff>
                    <xdr:row>11</xdr:row>
                    <xdr:rowOff>209550</xdr:rowOff>
                  </to>
                </anchor>
              </controlPr>
            </control>
          </mc:Choice>
        </mc:AlternateContent>
        <mc:AlternateContent xmlns:mc="http://schemas.openxmlformats.org/markup-compatibility/2006">
          <mc:Choice Requires="x14">
            <control shapeId="149510" r:id="rId8" name="Check Box 6">
              <controlPr defaultSize="0" autoFill="0" autoLine="0" autoPict="0">
                <anchor moveWithCells="1">
                  <from>
                    <xdr:col>9</xdr:col>
                    <xdr:colOff>152400</xdr:colOff>
                    <xdr:row>10</xdr:row>
                    <xdr:rowOff>142875</xdr:rowOff>
                  </from>
                  <to>
                    <xdr:col>9</xdr:col>
                    <xdr:colOff>447675</xdr:colOff>
                    <xdr:row>11</xdr:row>
                    <xdr:rowOff>209550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dimension ref="B1:N105"/>
  <sheetViews>
    <sheetView showGridLines="0" topLeftCell="A35" zoomScale="55" zoomScaleNormal="55" workbookViewId="0">
      <selection sqref="A1:XFD1048576"/>
    </sheetView>
  </sheetViews>
  <sheetFormatPr baseColWidth="10" defaultColWidth="11.42578125" defaultRowHeight="12.75"/>
  <cols>
    <col min="1" max="1" width="3.140625" style="39" customWidth="1"/>
    <col min="2" max="8" width="11.42578125" style="39"/>
    <col min="9" max="12" width="11.5703125" style="39" bestFit="1" customWidth="1"/>
    <col min="13" max="13" width="11.42578125" style="39"/>
    <col min="14" max="14" width="11.85546875" style="39" bestFit="1"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ustomHeight="1">
      <c r="B15" s="54"/>
      <c r="C15" s="55"/>
      <c r="D15" s="57"/>
      <c r="E15" s="57"/>
      <c r="F15" s="57"/>
      <c r="G15" s="57"/>
      <c r="H15" s="55"/>
      <c r="I15" s="57"/>
      <c r="J15" s="55"/>
      <c r="K15" s="57"/>
      <c r="L15" s="57"/>
      <c r="M15" s="57"/>
      <c r="N15" s="56"/>
    </row>
    <row r="16" spans="2:14" ht="13.5" customHeight="1">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ht="12.75" customHeight="1">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c r="L33" s="1826" t="s">
        <v>38</v>
      </c>
      <c r="M33" s="1881"/>
      <c r="N33" s="175" t="s">
        <v>115</v>
      </c>
    </row>
    <row r="34" spans="2:14" ht="13.5" thickBot="1">
      <c r="B34" s="176" t="s">
        <v>86</v>
      </c>
      <c r="C34" s="1885" t="s">
        <v>224</v>
      </c>
      <c r="D34" s="1887"/>
      <c r="E34" s="1887"/>
      <c r="F34" s="1887"/>
      <c r="G34" s="1887"/>
      <c r="H34" s="1887"/>
      <c r="I34" s="1887"/>
      <c r="J34" s="1887"/>
      <c r="K34" s="1886"/>
      <c r="L34" s="1885" t="s">
        <v>111</v>
      </c>
      <c r="M34" s="1886"/>
      <c r="N34" s="203">
        <v>920</v>
      </c>
    </row>
    <row r="35" spans="2:14" ht="12.75" customHeight="1">
      <c r="B35" s="1763" t="s">
        <v>49</v>
      </c>
      <c r="C35" s="1764"/>
      <c r="D35" s="1764"/>
      <c r="E35" s="1764"/>
      <c r="F35" s="1764"/>
      <c r="G35" s="1764"/>
      <c r="H35" s="1764"/>
      <c r="I35" s="1764"/>
      <c r="J35" s="1764"/>
      <c r="K35" s="1764"/>
      <c r="L35" s="1764"/>
      <c r="M35" s="1764"/>
      <c r="N35" s="1765"/>
    </row>
    <row r="36" spans="2:14" ht="12.75" customHeight="1">
      <c r="B36" s="1766"/>
      <c r="C36" s="1767"/>
      <c r="D36" s="1767"/>
      <c r="E36" s="1767"/>
      <c r="F36" s="1767"/>
      <c r="G36" s="1767"/>
      <c r="H36" s="1767"/>
      <c r="I36" s="1767"/>
      <c r="J36" s="1767"/>
      <c r="K36" s="1767"/>
      <c r="L36" s="1767"/>
      <c r="M36" s="1767"/>
      <c r="N36" s="1768"/>
    </row>
    <row r="37" spans="2:14" ht="13.5" customHeight="1"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88" t="s">
        <v>489</v>
      </c>
      <c r="C39" s="1889"/>
      <c r="D39" s="1889"/>
      <c r="E39" s="106"/>
      <c r="F39" s="170"/>
      <c r="G39" s="1842"/>
      <c r="H39" s="1841"/>
      <c r="I39" s="1842"/>
      <c r="J39" s="1841"/>
      <c r="K39" s="88">
        <v>126000</v>
      </c>
      <c r="L39" s="1859">
        <v>70</v>
      </c>
      <c r="M39" s="1860"/>
      <c r="N39" s="89">
        <v>1800</v>
      </c>
    </row>
    <row r="40" spans="2:14">
      <c r="B40" s="1888" t="s">
        <v>547</v>
      </c>
      <c r="C40" s="1889"/>
      <c r="D40" s="1889"/>
      <c r="E40" s="277"/>
      <c r="F40" s="278"/>
      <c r="G40" s="1842"/>
      <c r="H40" s="1841"/>
      <c r="I40" s="1842"/>
      <c r="J40" s="1841"/>
      <c r="K40" s="88">
        <v>84000</v>
      </c>
      <c r="L40" s="1859">
        <v>70</v>
      </c>
      <c r="M40" s="1860"/>
      <c r="N40" s="89">
        <v>1200</v>
      </c>
    </row>
    <row r="41" spans="2:14">
      <c r="B41" s="1888" t="s">
        <v>71</v>
      </c>
      <c r="C41" s="1889"/>
      <c r="D41" s="1889"/>
      <c r="E41" s="171"/>
      <c r="F41" s="172"/>
      <c r="G41" s="157"/>
      <c r="H41" s="156"/>
      <c r="I41" s="157"/>
      <c r="J41" s="156"/>
      <c r="K41" s="88">
        <v>147000</v>
      </c>
      <c r="L41" s="1859">
        <v>70</v>
      </c>
      <c r="M41" s="1860"/>
      <c r="N41" s="89">
        <v>2100</v>
      </c>
    </row>
    <row r="42" spans="2:14" ht="13.5" thickBot="1">
      <c r="B42" s="1890" t="s">
        <v>77</v>
      </c>
      <c r="C42" s="1891"/>
      <c r="D42" s="1891"/>
      <c r="E42" s="1891"/>
      <c r="F42" s="1892"/>
      <c r="G42" s="1845"/>
      <c r="H42" s="1836"/>
      <c r="I42" s="1845"/>
      <c r="J42" s="1836"/>
      <c r="K42" s="90"/>
      <c r="L42" s="1846"/>
      <c r="M42" s="1847"/>
      <c r="N42" s="89">
        <v>15.732598214285714</v>
      </c>
    </row>
    <row r="43" spans="2:14" ht="14.25" thickBot="1">
      <c r="B43" s="1848"/>
      <c r="C43" s="1849"/>
      <c r="D43" s="1849"/>
      <c r="E43" s="1849"/>
      <c r="F43" s="1849"/>
      <c r="G43" s="1849"/>
      <c r="H43" s="1849"/>
      <c r="I43" s="1849"/>
      <c r="J43" s="1849"/>
      <c r="K43" s="1849"/>
      <c r="L43" s="1849"/>
      <c r="M43" s="1850"/>
      <c r="N43" s="91">
        <v>5115.7325982142856</v>
      </c>
    </row>
    <row r="44" spans="2:14">
      <c r="B44" s="1763" t="s">
        <v>189</v>
      </c>
      <c r="C44" s="1764"/>
      <c r="D44" s="1764"/>
      <c r="E44" s="1764"/>
      <c r="F44" s="1764"/>
      <c r="G44" s="1764"/>
      <c r="H44" s="1764"/>
      <c r="I44" s="1764"/>
      <c r="J44" s="1764"/>
      <c r="K44" s="1764"/>
      <c r="L44" s="1764"/>
      <c r="M44" s="1764"/>
      <c r="N44" s="1765"/>
    </row>
    <row r="45" spans="2:14">
      <c r="B45" s="1766" t="s">
        <v>189</v>
      </c>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64</v>
      </c>
      <c r="C48" s="1840"/>
      <c r="D48" s="1840"/>
      <c r="E48" s="1840"/>
      <c r="F48" s="1840"/>
      <c r="G48" s="1840"/>
      <c r="H48" s="1840"/>
      <c r="I48" s="1841"/>
      <c r="J48" s="131" t="s">
        <v>31</v>
      </c>
      <c r="K48" s="144">
        <v>2</v>
      </c>
      <c r="L48" s="1852">
        <v>1900</v>
      </c>
      <c r="M48" s="1853"/>
      <c r="N48" s="89">
        <v>3800</v>
      </c>
    </row>
    <row r="49" spans="2:14">
      <c r="B49" s="1839" t="s">
        <v>65</v>
      </c>
      <c r="C49" s="1840"/>
      <c r="D49" s="1840"/>
      <c r="E49" s="1840"/>
      <c r="F49" s="1840"/>
      <c r="G49" s="1840"/>
      <c r="H49" s="1840"/>
      <c r="I49" s="1841"/>
      <c r="J49" s="131" t="s">
        <v>43</v>
      </c>
      <c r="K49" s="144">
        <v>0.4</v>
      </c>
      <c r="L49" s="1852">
        <v>11100</v>
      </c>
      <c r="M49" s="1853"/>
      <c r="N49" s="89">
        <v>4440</v>
      </c>
    </row>
    <row r="50" spans="2:14">
      <c r="B50" s="1839" t="s">
        <v>66</v>
      </c>
      <c r="C50" s="1840"/>
      <c r="D50" s="1840"/>
      <c r="E50" s="1840"/>
      <c r="F50" s="1840"/>
      <c r="G50" s="1840"/>
      <c r="H50" s="1840"/>
      <c r="I50" s="1841"/>
      <c r="J50" s="131" t="s">
        <v>32</v>
      </c>
      <c r="K50" s="144">
        <v>0.5</v>
      </c>
      <c r="L50" s="1852">
        <v>450</v>
      </c>
      <c r="M50" s="1853"/>
      <c r="N50" s="89">
        <v>225</v>
      </c>
    </row>
    <row r="51" spans="2:14">
      <c r="B51" s="1839" t="s">
        <v>256</v>
      </c>
      <c r="C51" s="1840"/>
      <c r="D51" s="1840"/>
      <c r="E51" s="1840"/>
      <c r="F51" s="1840"/>
      <c r="G51" s="1840"/>
      <c r="H51" s="1840"/>
      <c r="I51" s="1841"/>
      <c r="J51" s="131" t="s">
        <v>31</v>
      </c>
      <c r="K51" s="144">
        <v>0.5</v>
      </c>
      <c r="L51" s="1852">
        <v>954</v>
      </c>
      <c r="M51" s="1853"/>
      <c r="N51" s="89">
        <v>477</v>
      </c>
    </row>
    <row r="52" spans="2:14" ht="13.5" thickBot="1">
      <c r="B52" s="1839" t="s">
        <v>150</v>
      </c>
      <c r="C52" s="1840"/>
      <c r="D52" s="1840"/>
      <c r="E52" s="1840"/>
      <c r="F52" s="1840"/>
      <c r="G52" s="1840"/>
      <c r="H52" s="1840"/>
      <c r="I52" s="1841"/>
      <c r="J52" s="95"/>
      <c r="K52" s="96"/>
      <c r="L52" s="1852">
        <v>9836.2000000000007</v>
      </c>
      <c r="M52" s="1853"/>
      <c r="N52" s="89">
        <v>9836.2000000000007</v>
      </c>
    </row>
    <row r="53" spans="2:14" ht="14.25" thickBot="1">
      <c r="B53" s="1848" t="s">
        <v>188</v>
      </c>
      <c r="C53" s="1849"/>
      <c r="D53" s="1849"/>
      <c r="E53" s="1849"/>
      <c r="F53" s="1849"/>
      <c r="G53" s="1849"/>
      <c r="H53" s="1849"/>
      <c r="I53" s="1849"/>
      <c r="J53" s="1849"/>
      <c r="K53" s="1849"/>
      <c r="L53" s="1849"/>
      <c r="M53" s="1850"/>
      <c r="N53" s="99">
        <v>18778.2</v>
      </c>
    </row>
    <row r="54" spans="2:14">
      <c r="B54" s="1763" t="s">
        <v>51</v>
      </c>
      <c r="C54" s="1764"/>
      <c r="D54" s="1764"/>
      <c r="E54" s="1764"/>
      <c r="F54" s="1764"/>
      <c r="G54" s="1764"/>
      <c r="H54" s="1764"/>
      <c r="I54" s="1764"/>
      <c r="J54" s="1764"/>
      <c r="K54" s="1764"/>
      <c r="L54" s="1764"/>
      <c r="M54" s="1764"/>
      <c r="N54" s="1765"/>
    </row>
    <row r="55" spans="2:14">
      <c r="B55" s="1766" t="s">
        <v>51</v>
      </c>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158"/>
      <c r="J58" s="173"/>
      <c r="K58" s="158"/>
      <c r="L58" s="1859"/>
      <c r="M58" s="1860"/>
      <c r="N58" s="89">
        <v>0</v>
      </c>
    </row>
    <row r="59" spans="2:14" ht="13.5" thickBot="1">
      <c r="B59" s="1834"/>
      <c r="C59" s="1835"/>
      <c r="D59" s="1835"/>
      <c r="E59" s="1835"/>
      <c r="F59" s="1835"/>
      <c r="G59" s="1835"/>
      <c r="H59" s="1835"/>
      <c r="I59" s="102"/>
      <c r="J59" s="87"/>
      <c r="K59" s="102"/>
      <c r="L59" s="1837"/>
      <c r="M59" s="1838"/>
      <c r="N59" s="174"/>
    </row>
    <row r="60" spans="2:14" ht="14.25" thickBot="1">
      <c r="B60" s="1848" t="s">
        <v>188</v>
      </c>
      <c r="C60" s="1849"/>
      <c r="D60" s="1849"/>
      <c r="E60" s="1849"/>
      <c r="F60" s="1849"/>
      <c r="G60" s="1849"/>
      <c r="H60" s="1849"/>
      <c r="I60" s="1849"/>
      <c r="J60" s="1849"/>
      <c r="K60" s="1849"/>
      <c r="L60" s="1849"/>
      <c r="M60" s="1850"/>
      <c r="N60" s="91">
        <v>0</v>
      </c>
    </row>
    <row r="61" spans="2:14">
      <c r="B61" s="1763" t="s">
        <v>52</v>
      </c>
      <c r="C61" s="1764"/>
      <c r="D61" s="1764"/>
      <c r="E61" s="1764"/>
      <c r="F61" s="1764"/>
      <c r="G61" s="1764"/>
      <c r="H61" s="1764"/>
      <c r="I61" s="1764"/>
      <c r="J61" s="1764"/>
      <c r="K61" s="1764"/>
      <c r="L61" s="1764"/>
      <c r="M61" s="1764"/>
      <c r="N61" s="1765"/>
    </row>
    <row r="62" spans="2:14">
      <c r="B62" s="1766" t="s">
        <v>52</v>
      </c>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4">
      <c r="B65" s="105" t="s">
        <v>138</v>
      </c>
      <c r="C65" s="106"/>
      <c r="D65" s="106"/>
      <c r="E65" s="106"/>
      <c r="F65" s="106"/>
      <c r="G65" s="106"/>
      <c r="H65" s="106"/>
      <c r="I65" s="107">
        <v>54800</v>
      </c>
      <c r="J65" s="108">
        <v>1.85</v>
      </c>
      <c r="K65" s="109">
        <v>101380</v>
      </c>
      <c r="L65" s="1861">
        <v>560</v>
      </c>
      <c r="M65" s="1862"/>
      <c r="N65" s="110">
        <v>181.03571428571428</v>
      </c>
    </row>
    <row r="66" spans="2:14">
      <c r="B66" s="105" t="s">
        <v>17</v>
      </c>
      <c r="C66" s="106"/>
      <c r="D66" s="106"/>
      <c r="E66" s="106"/>
      <c r="F66" s="106"/>
      <c r="G66" s="106"/>
      <c r="H66" s="106"/>
      <c r="I66" s="107">
        <v>40446</v>
      </c>
      <c r="J66" s="108">
        <v>1.85</v>
      </c>
      <c r="K66" s="109">
        <v>74825.100000000006</v>
      </c>
      <c r="L66" s="1861">
        <v>560</v>
      </c>
      <c r="M66" s="1862"/>
      <c r="N66" s="110">
        <v>133.61625000000001</v>
      </c>
    </row>
    <row r="67" spans="2:14">
      <c r="B67" s="105"/>
      <c r="C67" s="106"/>
      <c r="D67" s="106"/>
      <c r="E67" s="106"/>
      <c r="F67" s="106"/>
      <c r="G67" s="106"/>
      <c r="H67" s="106"/>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314.65196428571426</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24208.5845625</v>
      </c>
    </row>
    <row r="72" spans="2:14">
      <c r="B72" s="1763" t="s">
        <v>53</v>
      </c>
      <c r="C72" s="1764"/>
      <c r="D72" s="1764"/>
      <c r="E72" s="1764"/>
      <c r="F72" s="1764"/>
      <c r="G72" s="1764"/>
      <c r="H72" s="1764"/>
      <c r="I72" s="1764"/>
      <c r="J72" s="1764"/>
      <c r="K72" s="1764"/>
      <c r="L72" s="1764"/>
      <c r="M72" s="1764"/>
      <c r="N72" s="1765"/>
    </row>
    <row r="73" spans="2:14">
      <c r="B73" s="1766" t="s">
        <v>53</v>
      </c>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81"/>
      <c r="J75" s="187"/>
      <c r="K75" s="184" t="s">
        <v>54</v>
      </c>
      <c r="L75" s="1857" t="s">
        <v>55</v>
      </c>
      <c r="M75" s="1858"/>
      <c r="N75" s="185"/>
    </row>
    <row r="76" spans="2:14">
      <c r="B76" s="1839" t="s">
        <v>44</v>
      </c>
      <c r="C76" s="1840"/>
      <c r="D76" s="1840"/>
      <c r="E76" s="1840"/>
      <c r="F76" s="1840"/>
      <c r="G76" s="1840"/>
      <c r="H76" s="1840"/>
      <c r="I76" s="113"/>
      <c r="J76" s="114"/>
      <c r="K76" s="192">
        <v>0.22</v>
      </c>
      <c r="L76" s="1877">
        <v>5325.8886037499997</v>
      </c>
      <c r="M76" s="1878"/>
      <c r="N76" s="115"/>
    </row>
    <row r="77" spans="2:14">
      <c r="B77" s="116" t="s">
        <v>56</v>
      </c>
      <c r="C77" s="117"/>
      <c r="D77" s="117"/>
      <c r="E77" s="117"/>
      <c r="F77" s="117"/>
      <c r="G77" s="117"/>
      <c r="H77" s="117"/>
      <c r="I77" s="113"/>
      <c r="J77" s="114"/>
      <c r="K77" s="192">
        <v>0.05</v>
      </c>
      <c r="L77" s="1877">
        <v>1210.429228125</v>
      </c>
      <c r="M77" s="1878"/>
      <c r="N77" s="115"/>
    </row>
    <row r="78" spans="2:14" ht="13.5" thickBot="1">
      <c r="B78" s="118" t="s">
        <v>45</v>
      </c>
      <c r="C78" s="119"/>
      <c r="D78" s="119"/>
      <c r="E78" s="119"/>
      <c r="F78" s="119"/>
      <c r="G78" s="119"/>
      <c r="H78" s="119"/>
      <c r="I78" s="120"/>
      <c r="J78" s="121"/>
      <c r="K78" s="192">
        <v>0.05</v>
      </c>
      <c r="L78" s="1879">
        <v>1210.429228125</v>
      </c>
      <c r="M78" s="1880"/>
      <c r="N78" s="115"/>
    </row>
    <row r="79" spans="2:14" ht="14.25" thickBot="1">
      <c r="B79" s="1848" t="s">
        <v>188</v>
      </c>
      <c r="C79" s="1849"/>
      <c r="D79" s="1849"/>
      <c r="E79" s="1849"/>
      <c r="F79" s="1849"/>
      <c r="G79" s="1849"/>
      <c r="H79" s="1849"/>
      <c r="I79" s="1849"/>
      <c r="J79" s="1849"/>
      <c r="K79" s="1849"/>
      <c r="L79" s="1849"/>
      <c r="M79" s="1850"/>
      <c r="N79" s="122">
        <v>7746.7470599999997</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31955</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7">
    <mergeCell ref="J104:N105"/>
    <mergeCell ref="B105:D105"/>
    <mergeCell ref="B12:E12"/>
    <mergeCell ref="B95:N96"/>
    <mergeCell ref="B97:N98"/>
    <mergeCell ref="B68:H68"/>
    <mergeCell ref="L68:M68"/>
    <mergeCell ref="B69:M69"/>
    <mergeCell ref="B71:M71"/>
    <mergeCell ref="B91:N91"/>
    <mergeCell ref="B75:H75"/>
    <mergeCell ref="L75:M75"/>
    <mergeCell ref="B72:N74"/>
    <mergeCell ref="B92:N92"/>
    <mergeCell ref="B76:H76"/>
    <mergeCell ref="L76:M76"/>
    <mergeCell ref="L77:M77"/>
    <mergeCell ref="L78:M78"/>
    <mergeCell ref="B79:M79"/>
    <mergeCell ref="B81:M81"/>
    <mergeCell ref="B49:I49"/>
    <mergeCell ref="L49:M49"/>
    <mergeCell ref="B50:I50"/>
    <mergeCell ref="L50:M50"/>
    <mergeCell ref="B51:I51"/>
    <mergeCell ref="L67:M67"/>
    <mergeCell ref="B53:M53"/>
    <mergeCell ref="B57:H57"/>
    <mergeCell ref="L57:M57"/>
    <mergeCell ref="B58:H58"/>
    <mergeCell ref="L58:M58"/>
    <mergeCell ref="B59:H59"/>
    <mergeCell ref="L66:M66"/>
    <mergeCell ref="B54:N56"/>
    <mergeCell ref="B61:N63"/>
    <mergeCell ref="B52:I52"/>
    <mergeCell ref="L52:M52"/>
    <mergeCell ref="L59:M59"/>
    <mergeCell ref="B60:M60"/>
    <mergeCell ref="B64:H64"/>
    <mergeCell ref="L64:M64"/>
    <mergeCell ref="L65:M65"/>
    <mergeCell ref="L51:M51"/>
    <mergeCell ref="B41:D41"/>
    <mergeCell ref="L41:M41"/>
    <mergeCell ref="B42:F42"/>
    <mergeCell ref="G42:H42"/>
    <mergeCell ref="I42:J42"/>
    <mergeCell ref="L42:M42"/>
    <mergeCell ref="B43:M43"/>
    <mergeCell ref="B47:I47"/>
    <mergeCell ref="L47:M47"/>
    <mergeCell ref="B48:I48"/>
    <mergeCell ref="L48:M48"/>
    <mergeCell ref="B44:N46"/>
    <mergeCell ref="B39:D39"/>
    <mergeCell ref="G39:H39"/>
    <mergeCell ref="I39:J39"/>
    <mergeCell ref="L39:M39"/>
    <mergeCell ref="B40:D40"/>
    <mergeCell ref="L40:M40"/>
    <mergeCell ref="G40:H40"/>
    <mergeCell ref="I40:J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576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57697" r:id="rId3"/>
      </mc:Fallback>
    </mc:AlternateContent>
  </oleObjects>
  <mc:AlternateContent xmlns:mc="http://schemas.openxmlformats.org/markup-compatibility/2006">
    <mc:Choice Requires="x14">
      <controls>
        <mc:AlternateContent xmlns:mc="http://schemas.openxmlformats.org/markup-compatibility/2006">
          <mc:Choice Requires="x14">
            <control shapeId="1577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577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B1:N105"/>
  <sheetViews>
    <sheetView showGridLines="0" topLeftCell="A43" zoomScale="70" zoomScaleNormal="70"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87</v>
      </c>
      <c r="C34" s="1885" t="s">
        <v>172</v>
      </c>
      <c r="D34" s="1887"/>
      <c r="E34" s="1887"/>
      <c r="F34" s="1887"/>
      <c r="G34" s="1887"/>
      <c r="H34" s="1887"/>
      <c r="I34" s="1887"/>
      <c r="J34" s="1887"/>
      <c r="K34" s="1886"/>
      <c r="L34" s="1885" t="s">
        <v>111</v>
      </c>
      <c r="M34" s="1886"/>
      <c r="N34" s="203">
        <v>18402</v>
      </c>
    </row>
    <row r="35" spans="2:14">
      <c r="B35" s="1763" t="s">
        <v>49</v>
      </c>
      <c r="C35" s="1764"/>
      <c r="D35" s="1764"/>
      <c r="E35" s="1764"/>
      <c r="F35" s="1764"/>
      <c r="G35" s="1764"/>
      <c r="H35" s="1764"/>
      <c r="I35" s="1764"/>
      <c r="J35" s="1764"/>
      <c r="K35" s="1764"/>
      <c r="L35" s="1764"/>
      <c r="M35" s="1764"/>
      <c r="N35" s="1765"/>
    </row>
    <row r="36" spans="2:14">
      <c r="B36" s="1766" t="s">
        <v>49</v>
      </c>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88" t="s">
        <v>489</v>
      </c>
      <c r="C39" s="1889"/>
      <c r="D39" s="1889"/>
      <c r="E39" s="150"/>
      <c r="F39" s="170"/>
      <c r="G39" s="1842"/>
      <c r="H39" s="1841"/>
      <c r="I39" s="1842"/>
      <c r="J39" s="1841"/>
      <c r="K39" s="88">
        <v>126000</v>
      </c>
      <c r="L39" s="1859">
        <v>25</v>
      </c>
      <c r="M39" s="1860"/>
      <c r="N39" s="89">
        <v>5040</v>
      </c>
    </row>
    <row r="40" spans="2:14">
      <c r="B40" s="1888" t="s">
        <v>77</v>
      </c>
      <c r="C40" s="1889"/>
      <c r="D40" s="1889"/>
      <c r="E40" s="171"/>
      <c r="F40" s="172"/>
      <c r="G40" s="157"/>
      <c r="H40" s="156"/>
      <c r="I40" s="157"/>
      <c r="J40" s="156"/>
      <c r="K40" s="88"/>
      <c r="L40" s="1859"/>
      <c r="M40" s="1860"/>
      <c r="N40" s="89">
        <v>25.344999999999999</v>
      </c>
    </row>
    <row r="41" spans="2:14">
      <c r="B41" s="1888"/>
      <c r="C41" s="1889"/>
      <c r="D41" s="1889"/>
      <c r="E41" s="171"/>
      <c r="F41" s="172"/>
      <c r="G41" s="157"/>
      <c r="H41" s="156"/>
      <c r="I41" s="157"/>
      <c r="J41" s="156"/>
      <c r="K41" s="88"/>
      <c r="L41" s="1859"/>
      <c r="M41" s="1860"/>
      <c r="N41" s="89"/>
    </row>
    <row r="42" spans="2:14" ht="13.5" thickBot="1">
      <c r="B42" s="1890"/>
      <c r="C42" s="1891"/>
      <c r="D42" s="1891"/>
      <c r="E42" s="1891"/>
      <c r="F42" s="1892"/>
      <c r="G42" s="1845"/>
      <c r="H42" s="1836"/>
      <c r="I42" s="1845"/>
      <c r="J42" s="1836"/>
      <c r="K42" s="90"/>
      <c r="L42" s="1846"/>
      <c r="M42" s="1847"/>
      <c r="N42" s="89"/>
    </row>
    <row r="43" spans="2:14" ht="14.25" thickBot="1">
      <c r="B43" s="1848"/>
      <c r="C43" s="1849"/>
      <c r="D43" s="1849"/>
      <c r="E43" s="1849"/>
      <c r="F43" s="1849"/>
      <c r="G43" s="1849"/>
      <c r="H43" s="1849"/>
      <c r="I43" s="1849"/>
      <c r="J43" s="1849"/>
      <c r="K43" s="1849"/>
      <c r="L43" s="1849"/>
      <c r="M43" s="1850"/>
      <c r="N43" s="91">
        <v>5065.3450000000003</v>
      </c>
    </row>
    <row r="44" spans="2:14">
      <c r="B44" s="1763" t="s">
        <v>189</v>
      </c>
      <c r="C44" s="1764"/>
      <c r="D44" s="1764"/>
      <c r="E44" s="1764"/>
      <c r="F44" s="1764"/>
      <c r="G44" s="1764"/>
      <c r="H44" s="1764"/>
      <c r="I44" s="1764"/>
      <c r="J44" s="1764"/>
      <c r="K44" s="1764"/>
      <c r="L44" s="1764"/>
      <c r="M44" s="1764"/>
      <c r="N44" s="1765"/>
    </row>
    <row r="45" spans="2:14">
      <c r="B45" s="1766" t="s">
        <v>189</v>
      </c>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c r="C48" s="1840"/>
      <c r="D48" s="1840"/>
      <c r="E48" s="1840"/>
      <c r="F48" s="1840"/>
      <c r="G48" s="1840"/>
      <c r="H48" s="1840"/>
      <c r="I48" s="1841"/>
      <c r="J48" s="1441"/>
      <c r="K48" s="96"/>
      <c r="L48" s="1852"/>
      <c r="M48" s="1853"/>
      <c r="N48" s="89"/>
    </row>
    <row r="49" spans="2:14">
      <c r="B49" s="1839"/>
      <c r="C49" s="1840"/>
      <c r="D49" s="1840"/>
      <c r="E49" s="1840"/>
      <c r="F49" s="1840"/>
      <c r="G49" s="1840"/>
      <c r="H49" s="1840"/>
      <c r="I49" s="1841"/>
      <c r="J49" s="131"/>
      <c r="K49" s="144"/>
      <c r="L49" s="1852"/>
      <c r="M49" s="1853"/>
      <c r="N49" s="89"/>
    </row>
    <row r="50" spans="2:14">
      <c r="B50" s="1839"/>
      <c r="C50" s="1840"/>
      <c r="D50" s="1840"/>
      <c r="E50" s="1840"/>
      <c r="F50" s="1840"/>
      <c r="G50" s="1840"/>
      <c r="H50" s="1840"/>
      <c r="I50" s="1841"/>
      <c r="J50" s="131"/>
      <c r="K50" s="144"/>
      <c r="L50" s="1852"/>
      <c r="M50" s="1853"/>
      <c r="N50" s="89"/>
    </row>
    <row r="51" spans="2:14">
      <c r="B51" s="1839"/>
      <c r="C51" s="1840"/>
      <c r="D51" s="1840"/>
      <c r="E51" s="1840"/>
      <c r="F51" s="1840"/>
      <c r="G51" s="1840"/>
      <c r="H51" s="1840"/>
      <c r="I51" s="1841"/>
      <c r="J51" s="131"/>
      <c r="K51" s="144"/>
      <c r="L51" s="1852"/>
      <c r="M51" s="1853"/>
      <c r="N51" s="89"/>
    </row>
    <row r="52" spans="2:14" ht="13.5" thickBot="1">
      <c r="B52" s="1839"/>
      <c r="C52" s="1840"/>
      <c r="D52" s="1840"/>
      <c r="E52" s="1840"/>
      <c r="F52" s="1840"/>
      <c r="G52" s="1840"/>
      <c r="H52" s="1840"/>
      <c r="I52" s="1841"/>
      <c r="J52" s="126"/>
      <c r="K52" s="96"/>
      <c r="L52" s="1852"/>
      <c r="M52" s="1853"/>
      <c r="N52" s="89"/>
    </row>
    <row r="53" spans="2:14" ht="14.25" thickBot="1">
      <c r="B53" s="1848" t="s">
        <v>188</v>
      </c>
      <c r="C53" s="1849"/>
      <c r="D53" s="1849"/>
      <c r="E53" s="1849"/>
      <c r="F53" s="1849"/>
      <c r="G53" s="1849"/>
      <c r="H53" s="1849"/>
      <c r="I53" s="1849"/>
      <c r="J53" s="1849"/>
      <c r="K53" s="1849"/>
      <c r="L53" s="1849"/>
      <c r="M53" s="1850"/>
      <c r="N53" s="99">
        <v>0</v>
      </c>
    </row>
    <row r="54" spans="2:14">
      <c r="B54" s="1763" t="s">
        <v>51</v>
      </c>
      <c r="C54" s="1764"/>
      <c r="D54" s="1764"/>
      <c r="E54" s="1764"/>
      <c r="F54" s="1764"/>
      <c r="G54" s="1764"/>
      <c r="H54" s="1764"/>
      <c r="I54" s="1764"/>
      <c r="J54" s="1764"/>
      <c r="K54" s="1764"/>
      <c r="L54" s="1764"/>
      <c r="M54" s="1764"/>
      <c r="N54" s="1765"/>
    </row>
    <row r="55" spans="2:14">
      <c r="B55" s="1766" t="s">
        <v>51</v>
      </c>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158"/>
      <c r="J58" s="173"/>
      <c r="K58" s="158"/>
      <c r="L58" s="1859"/>
      <c r="M58" s="1860"/>
      <c r="N58" s="89">
        <v>0</v>
      </c>
    </row>
    <row r="59" spans="2:14" ht="13.5" thickBot="1">
      <c r="B59" s="1834"/>
      <c r="C59" s="1835"/>
      <c r="D59" s="1835"/>
      <c r="E59" s="1835"/>
      <c r="F59" s="1835"/>
      <c r="G59" s="1835"/>
      <c r="H59" s="1835"/>
      <c r="I59" s="102"/>
      <c r="J59" s="87"/>
      <c r="K59" s="102"/>
      <c r="L59" s="1837"/>
      <c r="M59" s="1838"/>
      <c r="N59" s="174"/>
    </row>
    <row r="60" spans="2:14" ht="14.25" thickBot="1">
      <c r="B60" s="1848" t="s">
        <v>188</v>
      </c>
      <c r="C60" s="1849"/>
      <c r="D60" s="1849"/>
      <c r="E60" s="1849"/>
      <c r="F60" s="1849"/>
      <c r="G60" s="1849"/>
      <c r="H60" s="1849"/>
      <c r="I60" s="1849"/>
      <c r="J60" s="1849"/>
      <c r="K60" s="1849"/>
      <c r="L60" s="1849"/>
      <c r="M60" s="1850"/>
      <c r="N60" s="91">
        <v>0</v>
      </c>
    </row>
    <row r="61" spans="2:14">
      <c r="B61" s="1763" t="s">
        <v>52</v>
      </c>
      <c r="C61" s="1764"/>
      <c r="D61" s="1764"/>
      <c r="E61" s="1764"/>
      <c r="F61" s="1764"/>
      <c r="G61" s="1764"/>
      <c r="H61" s="1764"/>
      <c r="I61" s="1764"/>
      <c r="J61" s="1764"/>
      <c r="K61" s="1764"/>
      <c r="L61" s="1764"/>
      <c r="M61" s="1764"/>
      <c r="N61" s="1765"/>
    </row>
    <row r="62" spans="2:14">
      <c r="B62" s="1766" t="s">
        <v>52</v>
      </c>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4">
      <c r="B65" s="149" t="s">
        <v>138</v>
      </c>
      <c r="C65" s="150"/>
      <c r="D65" s="150"/>
      <c r="E65" s="150"/>
      <c r="F65" s="150"/>
      <c r="G65" s="150"/>
      <c r="H65" s="150"/>
      <c r="I65" s="107">
        <v>54800</v>
      </c>
      <c r="J65" s="108">
        <v>1.85</v>
      </c>
      <c r="K65" s="109">
        <v>101380</v>
      </c>
      <c r="L65" s="1861">
        <v>200</v>
      </c>
      <c r="M65" s="1862"/>
      <c r="N65" s="110">
        <v>506.9</v>
      </c>
    </row>
    <row r="66" spans="2:14">
      <c r="B66" s="149"/>
      <c r="C66" s="150"/>
      <c r="D66" s="150"/>
      <c r="E66" s="150"/>
      <c r="F66" s="150"/>
      <c r="G66" s="150"/>
      <c r="H66" s="150"/>
      <c r="I66" s="107"/>
      <c r="J66" s="108"/>
      <c r="K66" s="109"/>
      <c r="L66" s="1861"/>
      <c r="M66" s="1862"/>
      <c r="N66" s="110"/>
    </row>
    <row r="67" spans="2:14">
      <c r="B67" s="149"/>
      <c r="C67" s="150"/>
      <c r="D67" s="150"/>
      <c r="E67" s="150"/>
      <c r="F67" s="150"/>
      <c r="G67" s="150"/>
      <c r="H67" s="150"/>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506.9</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5572.2449999999999</v>
      </c>
    </row>
    <row r="72" spans="2:14">
      <c r="B72" s="1763" t="s">
        <v>53</v>
      </c>
      <c r="C72" s="1764"/>
      <c r="D72" s="1764"/>
      <c r="E72" s="1764"/>
      <c r="F72" s="1764"/>
      <c r="G72" s="1764"/>
      <c r="H72" s="1764"/>
      <c r="I72" s="1764"/>
      <c r="J72" s="1764"/>
      <c r="K72" s="1764"/>
      <c r="L72" s="1764"/>
      <c r="M72" s="1764"/>
      <c r="N72" s="1765"/>
    </row>
    <row r="73" spans="2:14">
      <c r="B73" s="1766" t="s">
        <v>53</v>
      </c>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81"/>
      <c r="J75" s="187"/>
      <c r="K75" s="184" t="s">
        <v>54</v>
      </c>
      <c r="L75" s="1857" t="s">
        <v>55</v>
      </c>
      <c r="M75" s="1858"/>
      <c r="N75" s="185"/>
    </row>
    <row r="76" spans="2:14">
      <c r="B76" s="1839" t="s">
        <v>44</v>
      </c>
      <c r="C76" s="1840"/>
      <c r="D76" s="1840"/>
      <c r="E76" s="1840"/>
      <c r="F76" s="1840"/>
      <c r="G76" s="1840"/>
      <c r="H76" s="1840"/>
      <c r="I76" s="113"/>
      <c r="J76" s="114"/>
      <c r="K76" s="192">
        <v>0.22</v>
      </c>
      <c r="L76" s="1877">
        <v>1225.8939</v>
      </c>
      <c r="M76" s="1878"/>
      <c r="N76" s="115"/>
    </row>
    <row r="77" spans="2:14">
      <c r="B77" s="116" t="s">
        <v>56</v>
      </c>
      <c r="C77" s="117"/>
      <c r="D77" s="117"/>
      <c r="E77" s="117"/>
      <c r="F77" s="117"/>
      <c r="G77" s="117"/>
      <c r="H77" s="117"/>
      <c r="I77" s="113"/>
      <c r="J77" s="114"/>
      <c r="K77" s="192">
        <v>0.05</v>
      </c>
      <c r="L77" s="1877">
        <v>278.61225000000002</v>
      </c>
      <c r="M77" s="1878"/>
      <c r="N77" s="115"/>
    </row>
    <row r="78" spans="2:14" ht="13.5" thickBot="1">
      <c r="B78" s="118" t="s">
        <v>45</v>
      </c>
      <c r="C78" s="119"/>
      <c r="D78" s="119"/>
      <c r="E78" s="119"/>
      <c r="F78" s="119"/>
      <c r="G78" s="119"/>
      <c r="H78" s="119"/>
      <c r="I78" s="120"/>
      <c r="J78" s="121"/>
      <c r="K78" s="192">
        <v>0.05</v>
      </c>
      <c r="L78" s="1879">
        <v>278.61225000000002</v>
      </c>
      <c r="M78" s="1880"/>
      <c r="N78" s="115"/>
    </row>
    <row r="79" spans="2:14" ht="14.25" thickBot="1">
      <c r="B79" s="1848" t="s">
        <v>188</v>
      </c>
      <c r="C79" s="1849"/>
      <c r="D79" s="1849"/>
      <c r="E79" s="1849"/>
      <c r="F79" s="1849"/>
      <c r="G79" s="1849"/>
      <c r="H79" s="1849"/>
      <c r="I79" s="1849"/>
      <c r="J79" s="1849"/>
      <c r="K79" s="1849"/>
      <c r="L79" s="1849"/>
      <c r="M79" s="1850"/>
      <c r="N79" s="122">
        <v>1783.1184000000003</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7355</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5">
    <mergeCell ref="B12:E12"/>
    <mergeCell ref="B95:N96"/>
    <mergeCell ref="B97:N98"/>
    <mergeCell ref="L67:M67"/>
    <mergeCell ref="B53:M53"/>
    <mergeCell ref="B57:H57"/>
    <mergeCell ref="L57:M57"/>
    <mergeCell ref="B64:H64"/>
    <mergeCell ref="L64:M64"/>
    <mergeCell ref="L65:M65"/>
    <mergeCell ref="L66:M66"/>
    <mergeCell ref="B58:H58"/>
    <mergeCell ref="L58:M58"/>
    <mergeCell ref="B59:H59"/>
    <mergeCell ref="B54:N56"/>
    <mergeCell ref="B68:H68"/>
    <mergeCell ref="J104:N105"/>
    <mergeCell ref="B105:D105"/>
    <mergeCell ref="B75:H75"/>
    <mergeCell ref="L75:M75"/>
    <mergeCell ref="B72:N74"/>
    <mergeCell ref="B92:N92"/>
    <mergeCell ref="L59:M59"/>
    <mergeCell ref="B60:M60"/>
    <mergeCell ref="B61:N63"/>
    <mergeCell ref="B81:M81"/>
    <mergeCell ref="B91:N91"/>
    <mergeCell ref="B76:H76"/>
    <mergeCell ref="L76:M76"/>
    <mergeCell ref="L77:M77"/>
    <mergeCell ref="L78:M78"/>
    <mergeCell ref="B79:M79"/>
    <mergeCell ref="B69:M69"/>
    <mergeCell ref="B71:M71"/>
    <mergeCell ref="L68:M68"/>
    <mergeCell ref="B50:I50"/>
    <mergeCell ref="L50:M50"/>
    <mergeCell ref="B51:I51"/>
    <mergeCell ref="L51:M51"/>
    <mergeCell ref="B52:I52"/>
    <mergeCell ref="L52:M52"/>
    <mergeCell ref="B49:I49"/>
    <mergeCell ref="L49:M49"/>
    <mergeCell ref="B41:D41"/>
    <mergeCell ref="L41:M41"/>
    <mergeCell ref="B42:F42"/>
    <mergeCell ref="G42:H42"/>
    <mergeCell ref="I42:J42"/>
    <mergeCell ref="L42:M42"/>
    <mergeCell ref="B43:M43"/>
    <mergeCell ref="B47:I47"/>
    <mergeCell ref="L47:M47"/>
    <mergeCell ref="B48:I48"/>
    <mergeCell ref="L48:M48"/>
    <mergeCell ref="B44:N46"/>
    <mergeCell ref="B39:D39"/>
    <mergeCell ref="G39:H39"/>
    <mergeCell ref="I39:J39"/>
    <mergeCell ref="L39:M39"/>
    <mergeCell ref="B40:D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58721" r:id="rId3">
          <objectPr defaultSize="0" autoPict="0" r:id="rId4">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158721" r:id="rId3"/>
      </mc:Fallback>
    </mc:AlternateContent>
  </oleObjects>
  <mc:AlternateContent xmlns:mc="http://schemas.openxmlformats.org/markup-compatibility/2006">
    <mc:Choice Requires="x14">
      <controls>
        <mc:AlternateContent xmlns:mc="http://schemas.openxmlformats.org/markup-compatibility/2006">
          <mc:Choice Requires="x14">
            <control shapeId="15872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5872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dimension ref="B1:N105"/>
  <sheetViews>
    <sheetView showGridLines="0" topLeftCell="A44" zoomScale="70" zoomScaleNormal="70"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89</v>
      </c>
      <c r="C34" s="1885" t="s">
        <v>129</v>
      </c>
      <c r="D34" s="1887"/>
      <c r="E34" s="1887"/>
      <c r="F34" s="1887"/>
      <c r="G34" s="1887"/>
      <c r="H34" s="1887"/>
      <c r="I34" s="1887"/>
      <c r="J34" s="1887"/>
      <c r="K34" s="1886"/>
      <c r="L34" s="1885" t="s">
        <v>111</v>
      </c>
      <c r="M34" s="1886"/>
      <c r="N34" s="203">
        <v>362276</v>
      </c>
    </row>
    <row r="35" spans="2:14">
      <c r="B35" s="1763" t="s">
        <v>49</v>
      </c>
      <c r="C35" s="1764"/>
      <c r="D35" s="1764"/>
      <c r="E35" s="1764"/>
      <c r="F35" s="1764"/>
      <c r="G35" s="1764"/>
      <c r="H35" s="1764"/>
      <c r="I35" s="1764"/>
      <c r="J35" s="1764"/>
      <c r="K35" s="1764"/>
      <c r="L35" s="1764"/>
      <c r="M35" s="1764"/>
      <c r="N35" s="1765"/>
    </row>
    <row r="36" spans="2:14">
      <c r="B36" s="1766" t="s">
        <v>49</v>
      </c>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88" t="s">
        <v>258</v>
      </c>
      <c r="C39" s="1889"/>
      <c r="D39" s="1889"/>
      <c r="E39" s="150"/>
      <c r="F39" s="170"/>
      <c r="G39" s="1842"/>
      <c r="H39" s="1841"/>
      <c r="I39" s="1842"/>
      <c r="J39" s="1841"/>
      <c r="K39" s="88">
        <v>57750</v>
      </c>
      <c r="L39" s="1859">
        <v>50</v>
      </c>
      <c r="M39" s="1860"/>
      <c r="N39" s="89">
        <v>1155</v>
      </c>
    </row>
    <row r="40" spans="2:14">
      <c r="B40" s="1888" t="s">
        <v>490</v>
      </c>
      <c r="C40" s="1889"/>
      <c r="D40" s="1889"/>
      <c r="E40" s="171"/>
      <c r="F40" s="172"/>
      <c r="G40" s="157"/>
      <c r="H40" s="156"/>
      <c r="I40" s="157"/>
      <c r="J40" s="156"/>
      <c r="K40" s="88">
        <v>131250</v>
      </c>
      <c r="L40" s="1859">
        <v>50</v>
      </c>
      <c r="M40" s="1860"/>
      <c r="N40" s="89">
        <v>2625</v>
      </c>
    </row>
    <row r="41" spans="2:14">
      <c r="B41" s="1888" t="s">
        <v>542</v>
      </c>
      <c r="C41" s="1889"/>
      <c r="D41" s="1889"/>
      <c r="E41" s="171"/>
      <c r="F41" s="172"/>
      <c r="G41" s="157"/>
      <c r="H41" s="156"/>
      <c r="I41" s="157"/>
      <c r="J41" s="156"/>
      <c r="K41" s="88">
        <v>94500</v>
      </c>
      <c r="L41" s="1859">
        <v>50</v>
      </c>
      <c r="M41" s="1860"/>
      <c r="N41" s="89">
        <v>1890</v>
      </c>
    </row>
    <row r="42" spans="2:14" ht="13.5" thickBot="1">
      <c r="B42" s="1890"/>
      <c r="C42" s="1891"/>
      <c r="D42" s="1891"/>
      <c r="E42" s="1891"/>
      <c r="F42" s="1892"/>
      <c r="G42" s="1845"/>
      <c r="H42" s="1836"/>
      <c r="I42" s="1845"/>
      <c r="J42" s="1836"/>
      <c r="K42" s="90"/>
      <c r="L42" s="1846"/>
      <c r="M42" s="1847"/>
      <c r="N42" s="89"/>
    </row>
    <row r="43" spans="2:14" ht="14.25" thickBot="1">
      <c r="B43" s="1848"/>
      <c r="C43" s="1849"/>
      <c r="D43" s="1849"/>
      <c r="E43" s="1849"/>
      <c r="F43" s="1849"/>
      <c r="G43" s="1849"/>
      <c r="H43" s="1849"/>
      <c r="I43" s="1849"/>
      <c r="J43" s="1849"/>
      <c r="K43" s="1849"/>
      <c r="L43" s="1849"/>
      <c r="M43" s="1850"/>
      <c r="N43" s="91">
        <v>5670</v>
      </c>
    </row>
    <row r="44" spans="2:14">
      <c r="B44" s="1763" t="s">
        <v>189</v>
      </c>
      <c r="C44" s="1764"/>
      <c r="D44" s="1764"/>
      <c r="E44" s="1764"/>
      <c r="F44" s="1764"/>
      <c r="G44" s="1764"/>
      <c r="H44" s="1764"/>
      <c r="I44" s="1764"/>
      <c r="J44" s="1764"/>
      <c r="K44" s="1764"/>
      <c r="L44" s="1764"/>
      <c r="M44" s="1764"/>
      <c r="N44" s="1765"/>
    </row>
    <row r="45" spans="2:14">
      <c r="B45" s="1766" t="s">
        <v>189</v>
      </c>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c r="C48" s="1840"/>
      <c r="D48" s="1840"/>
      <c r="E48" s="1840"/>
      <c r="F48" s="1840"/>
      <c r="G48" s="1840"/>
      <c r="H48" s="1840"/>
      <c r="I48" s="1841"/>
      <c r="J48" s="131"/>
      <c r="K48" s="144"/>
      <c r="L48" s="1852"/>
      <c r="M48" s="1853"/>
      <c r="N48" s="89"/>
    </row>
    <row r="49" spans="2:14">
      <c r="B49" s="1839"/>
      <c r="C49" s="1840"/>
      <c r="D49" s="1840"/>
      <c r="E49" s="1840"/>
      <c r="F49" s="1840"/>
      <c r="G49" s="1840"/>
      <c r="H49" s="1840"/>
      <c r="I49" s="1841"/>
      <c r="J49" s="131"/>
      <c r="K49" s="144"/>
      <c r="L49" s="1852"/>
      <c r="M49" s="1853"/>
      <c r="N49" s="89"/>
    </row>
    <row r="50" spans="2:14">
      <c r="B50" s="1839"/>
      <c r="C50" s="1840"/>
      <c r="D50" s="1840"/>
      <c r="E50" s="1840"/>
      <c r="F50" s="1840"/>
      <c r="G50" s="1840"/>
      <c r="H50" s="1840"/>
      <c r="I50" s="1841"/>
      <c r="J50" s="131"/>
      <c r="K50" s="144"/>
      <c r="L50" s="1852"/>
      <c r="M50" s="1853"/>
      <c r="N50" s="89"/>
    </row>
    <row r="51" spans="2:14">
      <c r="B51" s="1839"/>
      <c r="C51" s="1840"/>
      <c r="D51" s="1840"/>
      <c r="E51" s="1840"/>
      <c r="F51" s="1840"/>
      <c r="G51" s="1840"/>
      <c r="H51" s="1840"/>
      <c r="I51" s="1841"/>
      <c r="J51" s="131"/>
      <c r="K51" s="144"/>
      <c r="L51" s="1852"/>
      <c r="M51" s="1853"/>
      <c r="N51" s="89"/>
    </row>
    <row r="52" spans="2:14" ht="13.5" thickBot="1">
      <c r="B52" s="1839"/>
      <c r="C52" s="1840"/>
      <c r="D52" s="1840"/>
      <c r="E52" s="1840"/>
      <c r="F52" s="1840"/>
      <c r="G52" s="1840"/>
      <c r="H52" s="1840"/>
      <c r="I52" s="1841"/>
      <c r="J52" s="126"/>
      <c r="K52" s="96"/>
      <c r="L52" s="1852"/>
      <c r="M52" s="1853"/>
      <c r="N52" s="89"/>
    </row>
    <row r="53" spans="2:14" ht="14.25" thickBot="1">
      <c r="B53" s="1848" t="s">
        <v>188</v>
      </c>
      <c r="C53" s="1849"/>
      <c r="D53" s="1849"/>
      <c r="E53" s="1849"/>
      <c r="F53" s="1849"/>
      <c r="G53" s="1849"/>
      <c r="H53" s="1849"/>
      <c r="I53" s="1849"/>
      <c r="J53" s="1849"/>
      <c r="K53" s="1849"/>
      <c r="L53" s="1849"/>
      <c r="M53" s="1850"/>
      <c r="N53" s="99">
        <v>0</v>
      </c>
    </row>
    <row r="54" spans="2:14">
      <c r="B54" s="1763" t="s">
        <v>51</v>
      </c>
      <c r="C54" s="1764"/>
      <c r="D54" s="1764"/>
      <c r="E54" s="1764"/>
      <c r="F54" s="1764"/>
      <c r="G54" s="1764"/>
      <c r="H54" s="1764"/>
      <c r="I54" s="1764"/>
      <c r="J54" s="1764"/>
      <c r="K54" s="1764"/>
      <c r="L54" s="1764"/>
      <c r="M54" s="1764"/>
      <c r="N54" s="1765"/>
    </row>
    <row r="55" spans="2:14">
      <c r="B55" s="1766" t="s">
        <v>51</v>
      </c>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158"/>
      <c r="J58" s="173"/>
      <c r="K58" s="158"/>
      <c r="L58" s="1859"/>
      <c r="M58" s="1860"/>
      <c r="N58" s="89">
        <v>0</v>
      </c>
    </row>
    <row r="59" spans="2:14" ht="13.5" thickBot="1">
      <c r="B59" s="1834"/>
      <c r="C59" s="1835"/>
      <c r="D59" s="1835"/>
      <c r="E59" s="1835"/>
      <c r="F59" s="1835"/>
      <c r="G59" s="1835"/>
      <c r="H59" s="1835"/>
      <c r="I59" s="102"/>
      <c r="J59" s="87"/>
      <c r="K59" s="102"/>
      <c r="L59" s="1837"/>
      <c r="M59" s="1838"/>
      <c r="N59" s="174"/>
    </row>
    <row r="60" spans="2:14" ht="14.25" thickBot="1">
      <c r="B60" s="1848" t="s">
        <v>188</v>
      </c>
      <c r="C60" s="1849"/>
      <c r="D60" s="1849"/>
      <c r="E60" s="1849"/>
      <c r="F60" s="1849"/>
      <c r="G60" s="1849"/>
      <c r="H60" s="1849"/>
      <c r="I60" s="1849"/>
      <c r="J60" s="1849"/>
      <c r="K60" s="1849"/>
      <c r="L60" s="1849"/>
      <c r="M60" s="1850"/>
      <c r="N60" s="91">
        <v>0</v>
      </c>
    </row>
    <row r="61" spans="2:14">
      <c r="B61" s="1763" t="s">
        <v>52</v>
      </c>
      <c r="C61" s="1764"/>
      <c r="D61" s="1764"/>
      <c r="E61" s="1764"/>
      <c r="F61" s="1764"/>
      <c r="G61" s="1764"/>
      <c r="H61" s="1764"/>
      <c r="I61" s="1764"/>
      <c r="J61" s="1764"/>
      <c r="K61" s="1764"/>
      <c r="L61" s="1764"/>
      <c r="M61" s="1764"/>
      <c r="N61" s="1765"/>
    </row>
    <row r="62" spans="2:14">
      <c r="B62" s="1766" t="s">
        <v>52</v>
      </c>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4">
      <c r="B65" s="149" t="s">
        <v>138</v>
      </c>
      <c r="C65" s="150"/>
      <c r="D65" s="150"/>
      <c r="E65" s="150"/>
      <c r="F65" s="150"/>
      <c r="G65" s="150"/>
      <c r="H65" s="150"/>
      <c r="I65" s="107">
        <v>54800</v>
      </c>
      <c r="J65" s="108">
        <v>1.85</v>
      </c>
      <c r="K65" s="109">
        <v>101380</v>
      </c>
      <c r="L65" s="1861">
        <v>400</v>
      </c>
      <c r="M65" s="1862"/>
      <c r="N65" s="110">
        <v>253.45</v>
      </c>
    </row>
    <row r="66" spans="2:14">
      <c r="B66" s="149"/>
      <c r="C66" s="150"/>
      <c r="D66" s="150"/>
      <c r="E66" s="150"/>
      <c r="F66" s="150"/>
      <c r="G66" s="150"/>
      <c r="H66" s="150"/>
      <c r="I66" s="107"/>
      <c r="J66" s="108"/>
      <c r="K66" s="109"/>
      <c r="L66" s="1861"/>
      <c r="M66" s="1862"/>
      <c r="N66" s="110"/>
    </row>
    <row r="67" spans="2:14">
      <c r="B67" s="149"/>
      <c r="C67" s="150"/>
      <c r="D67" s="150"/>
      <c r="E67" s="150"/>
      <c r="F67" s="150"/>
      <c r="G67" s="150"/>
      <c r="H67" s="150"/>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253.45</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5923.45</v>
      </c>
    </row>
    <row r="72" spans="2:14">
      <c r="B72" s="1763" t="s">
        <v>53</v>
      </c>
      <c r="C72" s="1764"/>
      <c r="D72" s="1764"/>
      <c r="E72" s="1764"/>
      <c r="F72" s="1764"/>
      <c r="G72" s="1764"/>
      <c r="H72" s="1764"/>
      <c r="I72" s="1764"/>
      <c r="J72" s="1764"/>
      <c r="K72" s="1764"/>
      <c r="L72" s="1764"/>
      <c r="M72" s="1764"/>
      <c r="N72" s="1765"/>
    </row>
    <row r="73" spans="2:14">
      <c r="B73" s="1766" t="s">
        <v>53</v>
      </c>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81"/>
      <c r="J75" s="187"/>
      <c r="K75" s="184" t="s">
        <v>54</v>
      </c>
      <c r="L75" s="1857" t="s">
        <v>55</v>
      </c>
      <c r="M75" s="1858"/>
      <c r="N75" s="185"/>
    </row>
    <row r="76" spans="2:14">
      <c r="B76" s="1839" t="s">
        <v>44</v>
      </c>
      <c r="C76" s="1840"/>
      <c r="D76" s="1840"/>
      <c r="E76" s="1840"/>
      <c r="F76" s="1840"/>
      <c r="G76" s="1840"/>
      <c r="H76" s="1840"/>
      <c r="I76" s="113"/>
      <c r="J76" s="114"/>
      <c r="K76" s="192">
        <v>0.22</v>
      </c>
      <c r="L76" s="1877">
        <v>1303.1589999999999</v>
      </c>
      <c r="M76" s="1878"/>
      <c r="N76" s="115"/>
    </row>
    <row r="77" spans="2:14">
      <c r="B77" s="116" t="s">
        <v>56</v>
      </c>
      <c r="C77" s="117"/>
      <c r="D77" s="117"/>
      <c r="E77" s="117"/>
      <c r="F77" s="117"/>
      <c r="G77" s="117"/>
      <c r="H77" s="117"/>
      <c r="I77" s="113"/>
      <c r="J77" s="114"/>
      <c r="K77" s="192">
        <v>0.05</v>
      </c>
      <c r="L77" s="1877">
        <v>296.17250000000001</v>
      </c>
      <c r="M77" s="1878"/>
      <c r="N77" s="115"/>
    </row>
    <row r="78" spans="2:14" ht="13.5" thickBot="1">
      <c r="B78" s="118" t="s">
        <v>45</v>
      </c>
      <c r="C78" s="119"/>
      <c r="D78" s="119"/>
      <c r="E78" s="119"/>
      <c r="F78" s="119"/>
      <c r="G78" s="119"/>
      <c r="H78" s="119"/>
      <c r="I78" s="120"/>
      <c r="J78" s="121"/>
      <c r="K78" s="192">
        <v>0.05</v>
      </c>
      <c r="L78" s="1879">
        <v>296.17250000000001</v>
      </c>
      <c r="M78" s="1880"/>
      <c r="N78" s="115"/>
    </row>
    <row r="79" spans="2:14" ht="14.25" thickBot="1">
      <c r="B79" s="1848" t="s">
        <v>188</v>
      </c>
      <c r="C79" s="1849"/>
      <c r="D79" s="1849"/>
      <c r="E79" s="1849"/>
      <c r="F79" s="1849"/>
      <c r="G79" s="1849"/>
      <c r="H79" s="1849"/>
      <c r="I79" s="1849"/>
      <c r="J79" s="1849"/>
      <c r="K79" s="1849"/>
      <c r="L79" s="1849"/>
      <c r="M79" s="1850"/>
      <c r="N79" s="122">
        <v>1895.5039999999999</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7819</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5">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 ref="B75:H75"/>
    <mergeCell ref="L75:M75"/>
    <mergeCell ref="B72:N74"/>
    <mergeCell ref="L67:M67"/>
    <mergeCell ref="J104:N105"/>
    <mergeCell ref="B105:D105"/>
    <mergeCell ref="B57:H57"/>
    <mergeCell ref="L57:M57"/>
    <mergeCell ref="B58:H58"/>
    <mergeCell ref="L58:M58"/>
    <mergeCell ref="B71:M71"/>
    <mergeCell ref="L65:M65"/>
    <mergeCell ref="L66:M66"/>
    <mergeCell ref="B64:H64"/>
    <mergeCell ref="L64:M64"/>
    <mergeCell ref="B54:N56"/>
    <mergeCell ref="B61:N63"/>
    <mergeCell ref="B50:I50"/>
    <mergeCell ref="L50:M50"/>
    <mergeCell ref="B51:I51"/>
    <mergeCell ref="L51:M51"/>
    <mergeCell ref="B52:I52"/>
    <mergeCell ref="L52:M52"/>
    <mergeCell ref="B59:H59"/>
    <mergeCell ref="L59:M59"/>
    <mergeCell ref="B60:M60"/>
    <mergeCell ref="B53:M53"/>
    <mergeCell ref="L40:M40"/>
    <mergeCell ref="L34:M34"/>
    <mergeCell ref="B49:I49"/>
    <mergeCell ref="L49:M49"/>
    <mergeCell ref="L41:M41"/>
    <mergeCell ref="B42:F42"/>
    <mergeCell ref="G42:H42"/>
    <mergeCell ref="I42:J42"/>
    <mergeCell ref="L42:M42"/>
    <mergeCell ref="B43:M43"/>
    <mergeCell ref="B47:I47"/>
    <mergeCell ref="L47:M47"/>
    <mergeCell ref="B48:I48"/>
    <mergeCell ref="L48:M48"/>
    <mergeCell ref="B41:D41"/>
    <mergeCell ref="B44:N46"/>
    <mergeCell ref="L38:M38"/>
    <mergeCell ref="C34:K34"/>
    <mergeCell ref="B35:N37"/>
    <mergeCell ref="G39:H39"/>
    <mergeCell ref="I39:J39"/>
    <mergeCell ref="L39:M39"/>
    <mergeCell ref="B39:D39"/>
    <mergeCell ref="B40:D40"/>
    <mergeCell ref="L33:M33"/>
    <mergeCell ref="D13:G13"/>
    <mergeCell ref="J13:M13"/>
    <mergeCell ref="L14:N14"/>
    <mergeCell ref="B31:N31"/>
    <mergeCell ref="E27:M27"/>
    <mergeCell ref="G29:M29"/>
    <mergeCell ref="H19:M19"/>
    <mergeCell ref="D20:M21"/>
    <mergeCell ref="D23:M23"/>
    <mergeCell ref="D25:M25"/>
    <mergeCell ref="C33:K33"/>
    <mergeCell ref="B38:F38"/>
    <mergeCell ref="G38:H38"/>
    <mergeCell ref="I38:J38"/>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076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0769" r:id="rId3"/>
      </mc:Fallback>
    </mc:AlternateContent>
  </oleObjects>
  <mc:AlternateContent xmlns:mc="http://schemas.openxmlformats.org/markup-compatibility/2006">
    <mc:Choice Requires="x14">
      <controls>
        <mc:AlternateContent xmlns:mc="http://schemas.openxmlformats.org/markup-compatibility/2006">
          <mc:Choice Requires="x14">
            <control shapeId="16077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6077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showGridLines="0" topLeftCell="A34" zoomScale="55" zoomScaleNormal="55"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86"/>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477"/>
      <c r="D11" s="477"/>
      <c r="E11" s="477"/>
      <c r="F11" s="477"/>
      <c r="G11" s="477"/>
      <c r="H11" s="477"/>
      <c r="I11" s="477"/>
      <c r="J11" s="477"/>
      <c r="K11" s="51"/>
      <c r="L11" s="52" t="s">
        <v>294</v>
      </c>
      <c r="M11" s="52" t="s">
        <v>294</v>
      </c>
      <c r="N11" s="53" t="s">
        <v>294</v>
      </c>
    </row>
    <row r="12" spans="2:14" ht="13.5">
      <c r="B12" s="1869" t="s">
        <v>717</v>
      </c>
      <c r="C12" s="1870"/>
      <c r="D12" s="1870"/>
      <c r="E12" s="1870"/>
      <c r="F12" s="477"/>
      <c r="G12" s="477"/>
      <c r="H12" s="477" t="s">
        <v>718</v>
      </c>
      <c r="J12" s="477"/>
      <c r="K12" s="51"/>
      <c r="N12" s="405"/>
    </row>
    <row r="13" spans="2:14" ht="13.5">
      <c r="B13" s="54" t="s">
        <v>239</v>
      </c>
      <c r="C13" s="55"/>
      <c r="D13" s="1810" t="s">
        <v>293</v>
      </c>
      <c r="E13" s="1810"/>
      <c r="F13" s="1810"/>
      <c r="G13" s="1810"/>
      <c r="H13" s="55"/>
      <c r="I13" s="55" t="s">
        <v>240</v>
      </c>
      <c r="J13" s="1810" t="s">
        <v>293</v>
      </c>
      <c r="K13" s="1810"/>
      <c r="L13" s="1810"/>
      <c r="M13" s="1810"/>
      <c r="N13" s="480"/>
    </row>
    <row r="14" spans="2:14" ht="13.5">
      <c r="B14" s="54"/>
      <c r="C14" s="55"/>
      <c r="D14" s="479"/>
      <c r="E14" s="479"/>
      <c r="F14" s="479"/>
      <c r="G14" s="479"/>
      <c r="H14" s="55"/>
      <c r="I14" s="479"/>
      <c r="J14" s="55"/>
      <c r="K14" s="479"/>
      <c r="L14" s="1811"/>
      <c r="M14" s="1811"/>
      <c r="N14" s="1812"/>
    </row>
    <row r="15" spans="2:14" ht="13.5">
      <c r="B15" s="54"/>
      <c r="C15" s="55"/>
      <c r="D15" s="479"/>
      <c r="E15" s="479"/>
      <c r="F15" s="479"/>
      <c r="G15" s="479"/>
      <c r="H15" s="55"/>
      <c r="I15" s="479"/>
      <c r="J15" s="55"/>
      <c r="K15" s="479"/>
      <c r="L15" s="479"/>
      <c r="M15" s="479"/>
      <c r="N15" s="480"/>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487"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476"/>
      <c r="E22" s="476"/>
      <c r="F22" s="476"/>
      <c r="G22" s="476"/>
      <c r="H22" s="476"/>
      <c r="I22" s="476"/>
      <c r="J22" s="476"/>
      <c r="K22" s="476"/>
      <c r="L22" s="476"/>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839</v>
      </c>
      <c r="C34" s="1885" t="s">
        <v>1492</v>
      </c>
      <c r="D34" s="1887"/>
      <c r="E34" s="1887"/>
      <c r="F34" s="1887"/>
      <c r="G34" s="1887"/>
      <c r="H34" s="1887"/>
      <c r="I34" s="1887"/>
      <c r="J34" s="1887"/>
      <c r="K34" s="1886"/>
      <c r="L34" s="1885" t="s">
        <v>111</v>
      </c>
      <c r="M34" s="1886"/>
      <c r="N34" s="177">
        <v>470959</v>
      </c>
    </row>
    <row r="35" spans="2:14">
      <c r="B35" s="1763" t="s">
        <v>49</v>
      </c>
      <c r="C35" s="1764"/>
      <c r="D35" s="1764"/>
      <c r="E35" s="1764"/>
      <c r="F35" s="1764"/>
      <c r="G35" s="1764"/>
      <c r="H35" s="1764"/>
      <c r="I35" s="1764"/>
      <c r="J35" s="1764"/>
      <c r="K35" s="1764"/>
      <c r="L35" s="1764"/>
      <c r="M35" s="1764"/>
      <c r="N35" s="1765"/>
    </row>
    <row r="36" spans="2:14">
      <c r="B36" s="1766" t="s">
        <v>49</v>
      </c>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88"/>
      <c r="C39" s="1889"/>
      <c r="D39" s="1889"/>
      <c r="E39" s="484"/>
      <c r="F39" s="485"/>
      <c r="G39" s="1842"/>
      <c r="H39" s="1841"/>
      <c r="I39" s="1842"/>
      <c r="J39" s="1841"/>
      <c r="K39" s="88"/>
      <c r="L39" s="1859"/>
      <c r="M39" s="1860"/>
      <c r="N39" s="89"/>
    </row>
    <row r="40" spans="2:14">
      <c r="B40" s="1888"/>
      <c r="C40" s="1889"/>
      <c r="D40" s="1889"/>
      <c r="E40" s="171"/>
      <c r="F40" s="172"/>
      <c r="G40" s="157"/>
      <c r="H40" s="156"/>
      <c r="I40" s="157"/>
      <c r="J40" s="156"/>
      <c r="K40" s="88"/>
      <c r="L40" s="1859"/>
      <c r="M40" s="1860"/>
      <c r="N40" s="89"/>
    </row>
    <row r="41" spans="2:14">
      <c r="B41" s="1888"/>
      <c r="C41" s="1889"/>
      <c r="D41" s="1889"/>
      <c r="E41" s="171"/>
      <c r="F41" s="172"/>
      <c r="G41" s="157"/>
      <c r="H41" s="156"/>
      <c r="I41" s="157"/>
      <c r="J41" s="156"/>
      <c r="K41" s="88"/>
      <c r="L41" s="1859"/>
      <c r="M41" s="1860"/>
      <c r="N41" s="89"/>
    </row>
    <row r="42" spans="2:14" ht="13.5" thickBot="1">
      <c r="B42" s="1890"/>
      <c r="C42" s="1891"/>
      <c r="D42" s="1891"/>
      <c r="E42" s="1891"/>
      <c r="F42" s="1892"/>
      <c r="G42" s="1845"/>
      <c r="H42" s="1836"/>
      <c r="I42" s="1845"/>
      <c r="J42" s="1836"/>
      <c r="K42" s="90"/>
      <c r="L42" s="1846"/>
      <c r="M42" s="1847"/>
      <c r="N42" s="89"/>
    </row>
    <row r="43" spans="2:14" ht="14.25" thickBot="1">
      <c r="B43" s="1848"/>
      <c r="C43" s="1849"/>
      <c r="D43" s="1849"/>
      <c r="E43" s="1849"/>
      <c r="F43" s="1849"/>
      <c r="G43" s="1849"/>
      <c r="H43" s="1849"/>
      <c r="I43" s="1849"/>
      <c r="J43" s="1849"/>
      <c r="K43" s="1849"/>
      <c r="L43" s="1849"/>
      <c r="M43" s="1850"/>
      <c r="N43" s="91">
        <v>0</v>
      </c>
    </row>
    <row r="44" spans="2:14">
      <c r="B44" s="1763" t="s">
        <v>189</v>
      </c>
      <c r="C44" s="1764"/>
      <c r="D44" s="1764"/>
      <c r="E44" s="1764"/>
      <c r="F44" s="1764"/>
      <c r="G44" s="1764"/>
      <c r="H44" s="1764"/>
      <c r="I44" s="1764"/>
      <c r="J44" s="1764"/>
      <c r="K44" s="1764"/>
      <c r="L44" s="1764"/>
      <c r="M44" s="1764"/>
      <c r="N44" s="1765"/>
    </row>
    <row r="45" spans="2:14">
      <c r="B45" s="1766" t="s">
        <v>189</v>
      </c>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478" t="s">
        <v>38</v>
      </c>
      <c r="K47" s="178" t="s">
        <v>115</v>
      </c>
      <c r="L47" s="1829" t="s">
        <v>190</v>
      </c>
      <c r="M47" s="1832"/>
      <c r="N47" s="179" t="s">
        <v>191</v>
      </c>
    </row>
    <row r="48" spans="2:14" ht="33" customHeight="1">
      <c r="B48" s="1893" t="s">
        <v>1485</v>
      </c>
      <c r="C48" s="1894"/>
      <c r="D48" s="1894"/>
      <c r="E48" s="1894"/>
      <c r="F48" s="1894"/>
      <c r="G48" s="1894"/>
      <c r="H48" s="1894"/>
      <c r="I48" s="1895"/>
      <c r="J48" s="950" t="s">
        <v>40</v>
      </c>
      <c r="K48" s="96">
        <v>1</v>
      </c>
      <c r="L48" s="1852">
        <v>7000</v>
      </c>
      <c r="M48" s="1853"/>
      <c r="N48" s="89">
        <v>7000</v>
      </c>
    </row>
    <row r="49" spans="2:14">
      <c r="B49" s="1839"/>
      <c r="C49" s="1840"/>
      <c r="D49" s="1840"/>
      <c r="E49" s="1840"/>
      <c r="F49" s="1840"/>
      <c r="G49" s="1840"/>
      <c r="H49" s="1840"/>
      <c r="I49" s="1841"/>
      <c r="J49" s="131"/>
      <c r="K49" s="144"/>
      <c r="L49" s="1852"/>
      <c r="M49" s="1853"/>
      <c r="N49" s="89"/>
    </row>
    <row r="50" spans="2:14">
      <c r="B50" s="1839"/>
      <c r="C50" s="1840"/>
      <c r="D50" s="1840"/>
      <c r="E50" s="1840"/>
      <c r="F50" s="1840"/>
      <c r="G50" s="1840"/>
      <c r="H50" s="1840"/>
      <c r="I50" s="1841"/>
      <c r="J50" s="131"/>
      <c r="K50" s="144"/>
      <c r="L50" s="1852"/>
      <c r="M50" s="1853"/>
      <c r="N50" s="89"/>
    </row>
    <row r="51" spans="2:14">
      <c r="B51" s="1839"/>
      <c r="C51" s="1840"/>
      <c r="D51" s="1840"/>
      <c r="E51" s="1840"/>
      <c r="F51" s="1840"/>
      <c r="G51" s="1840"/>
      <c r="H51" s="1840"/>
      <c r="I51" s="1841"/>
      <c r="J51" s="131"/>
      <c r="K51" s="144"/>
      <c r="L51" s="1852"/>
      <c r="M51" s="1853"/>
      <c r="N51" s="89"/>
    </row>
    <row r="52" spans="2:14" ht="13.5" thickBot="1">
      <c r="B52" s="1839"/>
      <c r="C52" s="1840"/>
      <c r="D52" s="1840"/>
      <c r="E52" s="1840"/>
      <c r="F52" s="1840"/>
      <c r="G52" s="1840"/>
      <c r="H52" s="1840"/>
      <c r="I52" s="1841"/>
      <c r="J52" s="481"/>
      <c r="K52" s="96"/>
      <c r="L52" s="1852"/>
      <c r="M52" s="1853"/>
      <c r="N52" s="89"/>
    </row>
    <row r="53" spans="2:14" ht="14.25" thickBot="1">
      <c r="B53" s="1848" t="s">
        <v>188</v>
      </c>
      <c r="C53" s="1849"/>
      <c r="D53" s="1849"/>
      <c r="E53" s="1849"/>
      <c r="F53" s="1849"/>
      <c r="G53" s="1849"/>
      <c r="H53" s="1849"/>
      <c r="I53" s="1849"/>
      <c r="J53" s="1849"/>
      <c r="K53" s="1849"/>
      <c r="L53" s="1849"/>
      <c r="M53" s="1850"/>
      <c r="N53" s="99">
        <v>7000</v>
      </c>
    </row>
    <row r="54" spans="2:14">
      <c r="B54" s="1763" t="s">
        <v>51</v>
      </c>
      <c r="C54" s="1764"/>
      <c r="D54" s="1764"/>
      <c r="E54" s="1764"/>
      <c r="F54" s="1764"/>
      <c r="G54" s="1764"/>
      <c r="H54" s="1764"/>
      <c r="I54" s="1764"/>
      <c r="J54" s="1764"/>
      <c r="K54" s="1764"/>
      <c r="L54" s="1764"/>
      <c r="M54" s="1764"/>
      <c r="N54" s="1765"/>
    </row>
    <row r="55" spans="2:14">
      <c r="B55" s="1766" t="s">
        <v>51</v>
      </c>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475" t="s">
        <v>194</v>
      </c>
      <c r="K57" s="182" t="s">
        <v>310</v>
      </c>
      <c r="L57" s="1829" t="s">
        <v>39</v>
      </c>
      <c r="M57" s="1832"/>
      <c r="N57" s="179" t="s">
        <v>191</v>
      </c>
    </row>
    <row r="58" spans="2:14">
      <c r="B58" s="1839"/>
      <c r="C58" s="1840"/>
      <c r="D58" s="1840"/>
      <c r="E58" s="1840"/>
      <c r="F58" s="1840"/>
      <c r="G58" s="1840"/>
      <c r="H58" s="1840"/>
      <c r="I58" s="96"/>
      <c r="J58" s="93"/>
      <c r="K58" s="100"/>
      <c r="L58" s="1843"/>
      <c r="M58" s="1844"/>
      <c r="N58" s="101"/>
    </row>
    <row r="59" spans="2:14" ht="13.5" thickBot="1">
      <c r="B59" s="1834"/>
      <c r="C59" s="1835"/>
      <c r="D59" s="1835"/>
      <c r="E59" s="1835"/>
      <c r="F59" s="1835"/>
      <c r="G59" s="1835"/>
      <c r="H59" s="1835"/>
      <c r="I59" s="102"/>
      <c r="J59" s="87"/>
      <c r="K59" s="102"/>
      <c r="L59" s="1837"/>
      <c r="M59" s="1838"/>
      <c r="N59" s="174"/>
    </row>
    <row r="60" spans="2:14" ht="14.25" thickBot="1">
      <c r="B60" s="1848" t="s">
        <v>188</v>
      </c>
      <c r="C60" s="1849"/>
      <c r="D60" s="1849"/>
      <c r="E60" s="1849"/>
      <c r="F60" s="1849"/>
      <c r="G60" s="1849"/>
      <c r="H60" s="1849"/>
      <c r="I60" s="1849"/>
      <c r="J60" s="1849"/>
      <c r="K60" s="1849"/>
      <c r="L60" s="1849"/>
      <c r="M60" s="1850"/>
      <c r="N60" s="91">
        <v>0</v>
      </c>
    </row>
    <row r="61" spans="2:14">
      <c r="B61" s="1763" t="s">
        <v>52</v>
      </c>
      <c r="C61" s="1764"/>
      <c r="D61" s="1764"/>
      <c r="E61" s="1764"/>
      <c r="F61" s="1764"/>
      <c r="G61" s="1764"/>
      <c r="H61" s="1764"/>
      <c r="I61" s="1764"/>
      <c r="J61" s="1764"/>
      <c r="K61" s="1764"/>
      <c r="L61" s="1764"/>
      <c r="M61" s="1764"/>
      <c r="N61" s="1765"/>
    </row>
    <row r="62" spans="2:14">
      <c r="B62" s="1766" t="s">
        <v>52</v>
      </c>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475" t="s">
        <v>46</v>
      </c>
      <c r="K64" s="182" t="s">
        <v>197</v>
      </c>
      <c r="L64" s="1829" t="s">
        <v>186</v>
      </c>
      <c r="M64" s="1832"/>
      <c r="N64" s="179" t="s">
        <v>191</v>
      </c>
    </row>
    <row r="65" spans="2:14">
      <c r="B65" s="483"/>
      <c r="C65" s="484"/>
      <c r="D65" s="484"/>
      <c r="E65" s="484"/>
      <c r="F65" s="484"/>
      <c r="G65" s="484"/>
      <c r="H65" s="484"/>
      <c r="I65" s="107"/>
      <c r="J65" s="108"/>
      <c r="K65" s="109"/>
      <c r="L65" s="1861"/>
      <c r="M65" s="1862"/>
      <c r="N65" s="110"/>
    </row>
    <row r="66" spans="2:14">
      <c r="B66" s="483"/>
      <c r="C66" s="484"/>
      <c r="D66" s="484"/>
      <c r="E66" s="484"/>
      <c r="F66" s="484"/>
      <c r="G66" s="484"/>
      <c r="H66" s="484"/>
      <c r="I66" s="107"/>
      <c r="J66" s="108"/>
      <c r="K66" s="109"/>
      <c r="L66" s="1861"/>
      <c r="M66" s="1862"/>
      <c r="N66" s="110"/>
    </row>
    <row r="67" spans="2:14">
      <c r="B67" s="483"/>
      <c r="C67" s="484"/>
      <c r="D67" s="484"/>
      <c r="E67" s="484"/>
      <c r="F67" s="484"/>
      <c r="G67" s="484"/>
      <c r="H67" s="484"/>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0</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7000</v>
      </c>
    </row>
    <row r="72" spans="2:14">
      <c r="B72" s="1763" t="s">
        <v>53</v>
      </c>
      <c r="C72" s="1764"/>
      <c r="D72" s="1764"/>
      <c r="E72" s="1764"/>
      <c r="F72" s="1764"/>
      <c r="G72" s="1764"/>
      <c r="H72" s="1764"/>
      <c r="I72" s="1764"/>
      <c r="J72" s="1764"/>
      <c r="K72" s="1764"/>
      <c r="L72" s="1764"/>
      <c r="M72" s="1764"/>
      <c r="N72" s="1765"/>
    </row>
    <row r="73" spans="2:14">
      <c r="B73" s="1766" t="s">
        <v>53</v>
      </c>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475"/>
      <c r="J75" s="482"/>
      <c r="K75" s="184" t="s">
        <v>54</v>
      </c>
      <c r="L75" s="1857" t="s">
        <v>55</v>
      </c>
      <c r="M75" s="1858"/>
      <c r="N75" s="185"/>
    </row>
    <row r="76" spans="2:14">
      <c r="B76" s="1839" t="s">
        <v>44</v>
      </c>
      <c r="C76" s="1840"/>
      <c r="D76" s="1840"/>
      <c r="E76" s="1840"/>
      <c r="F76" s="1840"/>
      <c r="G76" s="1840"/>
      <c r="H76" s="1840"/>
      <c r="I76" s="113"/>
      <c r="J76" s="114"/>
      <c r="K76" s="192">
        <v>0.22</v>
      </c>
      <c r="L76" s="1877">
        <v>1540</v>
      </c>
      <c r="M76" s="1878"/>
      <c r="N76" s="115"/>
    </row>
    <row r="77" spans="2:14">
      <c r="B77" s="116" t="s">
        <v>56</v>
      </c>
      <c r="C77" s="117"/>
      <c r="D77" s="117"/>
      <c r="E77" s="117"/>
      <c r="F77" s="117"/>
      <c r="G77" s="117"/>
      <c r="H77" s="117"/>
      <c r="I77" s="113"/>
      <c r="J77" s="114"/>
      <c r="K77" s="192">
        <v>0.05</v>
      </c>
      <c r="L77" s="1877">
        <v>350</v>
      </c>
      <c r="M77" s="1878"/>
      <c r="N77" s="115"/>
    </row>
    <row r="78" spans="2:14" ht="13.5" thickBot="1">
      <c r="B78" s="473" t="s">
        <v>45</v>
      </c>
      <c r="C78" s="474"/>
      <c r="D78" s="474"/>
      <c r="E78" s="474"/>
      <c r="F78" s="474"/>
      <c r="G78" s="474"/>
      <c r="H78" s="474"/>
      <c r="I78" s="120"/>
      <c r="J78" s="121"/>
      <c r="K78" s="192">
        <v>0.05</v>
      </c>
      <c r="L78" s="1879">
        <v>350</v>
      </c>
      <c r="M78" s="1880"/>
      <c r="N78" s="115"/>
    </row>
    <row r="79" spans="2:14" ht="14.25" thickBot="1">
      <c r="B79" s="1848" t="s">
        <v>188</v>
      </c>
      <c r="C79" s="1849"/>
      <c r="D79" s="1849"/>
      <c r="E79" s="1849"/>
      <c r="F79" s="1849"/>
      <c r="G79" s="1849"/>
      <c r="H79" s="1849"/>
      <c r="I79" s="1849"/>
      <c r="J79" s="1849"/>
      <c r="K79" s="1849"/>
      <c r="L79" s="1849"/>
      <c r="M79" s="1850"/>
      <c r="N79" s="122">
        <v>2240</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9240</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92364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923649" r:id="rId3"/>
      </mc:Fallback>
    </mc:AlternateContent>
  </oleObjects>
  <mc:AlternateContent xmlns:mc="http://schemas.openxmlformats.org/markup-compatibility/2006">
    <mc:Choice Requires="x14">
      <controls>
        <mc:AlternateContent xmlns:mc="http://schemas.openxmlformats.org/markup-compatibility/2006">
          <mc:Choice Requires="x14">
            <control shapeId="923650" r:id="rId5"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923651" r:id="rId6"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34" workbookViewId="0">
      <selection activeCell="B48" sqref="B48:I48"/>
    </sheetView>
  </sheetViews>
  <sheetFormatPr baseColWidth="10" defaultColWidth="11.42578125" defaultRowHeight="12.75"/>
  <cols>
    <col min="1" max="1" width="3.140625" style="39" customWidth="1"/>
    <col min="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e">
        <f>+#REF!</f>
        <v>#REF!</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1445"/>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1432"/>
      <c r="D11" s="1432"/>
      <c r="E11" s="1432"/>
      <c r="F11" s="1432"/>
      <c r="G11" s="1432"/>
      <c r="H11" s="1432"/>
      <c r="I11" s="1432"/>
      <c r="J11" s="1432"/>
      <c r="K11" s="51"/>
      <c r="L11" s="52" t="e">
        <f>+#REF!</f>
        <v>#REF!</v>
      </c>
      <c r="M11" s="52" t="e">
        <f>+#REF!</f>
        <v>#REF!</v>
      </c>
      <c r="N11" s="53" t="e">
        <f>+#REF!</f>
        <v>#REF!</v>
      </c>
    </row>
    <row r="12" spans="2:14" ht="13.5">
      <c r="B12" s="1869" t="s">
        <v>717</v>
      </c>
      <c r="C12" s="1870"/>
      <c r="D12" s="1870"/>
      <c r="E12" s="1870"/>
      <c r="F12" s="1432"/>
      <c r="G12" s="1432"/>
      <c r="H12" s="1432" t="s">
        <v>718</v>
      </c>
      <c r="J12" s="1432"/>
      <c r="K12" s="51"/>
      <c r="N12" s="405"/>
    </row>
    <row r="13" spans="2:14" ht="13.5">
      <c r="B13" s="54" t="s">
        <v>239</v>
      </c>
      <c r="C13" s="55"/>
      <c r="D13" s="1810" t="e">
        <f>+#REF!</f>
        <v>#REF!</v>
      </c>
      <c r="E13" s="1810"/>
      <c r="F13" s="1810"/>
      <c r="G13" s="1810"/>
      <c r="H13" s="55"/>
      <c r="I13" s="55" t="s">
        <v>240</v>
      </c>
      <c r="J13" s="1810" t="e">
        <f>+#REF!</f>
        <v>#REF!</v>
      </c>
      <c r="K13" s="1810"/>
      <c r="L13" s="1810"/>
      <c r="M13" s="1810"/>
      <c r="N13" s="1434"/>
    </row>
    <row r="14" spans="2:14" ht="13.5">
      <c r="B14" s="54"/>
      <c r="C14" s="55"/>
      <c r="D14" s="1433"/>
      <c r="E14" s="1433"/>
      <c r="F14" s="1433"/>
      <c r="G14" s="1433"/>
      <c r="H14" s="55"/>
      <c r="I14" s="1433"/>
      <c r="J14" s="55"/>
      <c r="K14" s="1433"/>
      <c r="L14" s="1811"/>
      <c r="M14" s="1811"/>
      <c r="N14" s="1812"/>
    </row>
    <row r="15" spans="2:14" ht="13.5">
      <c r="B15" s="54"/>
      <c r="C15" s="55"/>
      <c r="D15" s="1433"/>
      <c r="E15" s="1433"/>
      <c r="F15" s="1433"/>
      <c r="G15" s="1433"/>
      <c r="H15" s="55"/>
      <c r="I15" s="1433"/>
      <c r="J15" s="55"/>
      <c r="K15" s="1433"/>
      <c r="L15" s="1433"/>
      <c r="M15" s="1433"/>
      <c r="N15" s="1434"/>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e">
        <f>+#REF!</f>
        <v>#REF!</v>
      </c>
      <c r="E19" s="71"/>
      <c r="F19" s="71"/>
      <c r="G19" s="1446" t="s">
        <v>233</v>
      </c>
      <c r="H19" s="1818" t="e">
        <f>+#REF!</f>
        <v>#REF!</v>
      </c>
      <c r="I19" s="1818"/>
      <c r="J19" s="1818"/>
      <c r="K19" s="1818"/>
      <c r="L19" s="1818"/>
      <c r="M19" s="1818"/>
      <c r="N19" s="73"/>
    </row>
    <row r="20" spans="2:14">
      <c r="B20" s="74" t="s">
        <v>242</v>
      </c>
      <c r="C20" s="75"/>
      <c r="D20" s="1819" t="e">
        <f>+#REF!</f>
        <v>#REF!</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1435"/>
      <c r="E22" s="1435"/>
      <c r="F22" s="1435"/>
      <c r="G22" s="1435"/>
      <c r="H22" s="1435"/>
      <c r="I22" s="1435"/>
      <c r="J22" s="1435"/>
      <c r="K22" s="1435"/>
      <c r="L22" s="1435"/>
      <c r="M22" s="78"/>
      <c r="N22" s="76"/>
    </row>
    <row r="23" spans="2:14">
      <c r="B23" s="74" t="s">
        <v>292</v>
      </c>
      <c r="C23" s="75"/>
      <c r="D23" s="1816" t="e">
        <f>+#REF!</f>
        <v>#REF!</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e">
        <f>+#REF!</f>
        <v>#REF!</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e">
        <f>+#REF!</f>
        <v>#REF!</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e">
        <f>+#REF!</f>
        <v>#REF!</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e">
        <f>'PRESUPUESTO OFICIAL'!#REF!</f>
        <v>#REF!</v>
      </c>
      <c r="C34" s="1885" t="e">
        <f>VLOOKUP(B34,'PRESUPUESTO OFICIAL'!D15:D73: 'PRESUPUESTO OFICIAL'!G15:G73,4,FALSE)</f>
        <v>#REF!</v>
      </c>
      <c r="D34" s="1887"/>
      <c r="E34" s="1887"/>
      <c r="F34" s="1887"/>
      <c r="G34" s="1887"/>
      <c r="H34" s="1887"/>
      <c r="I34" s="1887"/>
      <c r="J34" s="1887"/>
      <c r="K34" s="1886"/>
      <c r="L34" s="1885" t="e">
        <f>VLOOKUP(B34,'PRESUPUESTO OFICIAL'!D15:D73: 'PRESUPUESTO OFICIAL'!H15:H73,5,FALSE)</f>
        <v>#REF!</v>
      </c>
      <c r="M34" s="1886"/>
      <c r="N34" s="177" t="e">
        <f>VLOOKUP(B34,'PRESUPUESTO OFICIAL'!D15:D73: 'PRESUPUESTO OFICIAL'!I15:I73,6,FALSE)</f>
        <v>#REF!</v>
      </c>
    </row>
    <row r="35" spans="2:14">
      <c r="B35" s="1763" t="s">
        <v>49</v>
      </c>
      <c r="C35" s="1764"/>
      <c r="D35" s="1764"/>
      <c r="E35" s="1764"/>
      <c r="F35" s="1764"/>
      <c r="G35" s="1764"/>
      <c r="H35" s="1764"/>
      <c r="I35" s="1764"/>
      <c r="J35" s="1764"/>
      <c r="K35" s="1764"/>
      <c r="L35" s="1764"/>
      <c r="M35" s="1764"/>
      <c r="N35" s="1765"/>
    </row>
    <row r="36" spans="2:14">
      <c r="B36" s="1766" t="s">
        <v>49</v>
      </c>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88"/>
      <c r="C39" s="1889"/>
      <c r="D39" s="1889"/>
      <c r="E39" s="1443"/>
      <c r="F39" s="1444"/>
      <c r="G39" s="1842"/>
      <c r="H39" s="1841"/>
      <c r="I39" s="1842"/>
      <c r="J39" s="1841"/>
      <c r="K39" s="88"/>
      <c r="L39" s="1859"/>
      <c r="M39" s="1860"/>
      <c r="N39" s="89"/>
    </row>
    <row r="40" spans="2:14">
      <c r="B40" s="1888"/>
      <c r="C40" s="1889"/>
      <c r="D40" s="1889"/>
      <c r="E40" s="171"/>
      <c r="F40" s="172"/>
      <c r="G40" s="157"/>
      <c r="H40" s="156"/>
      <c r="I40" s="157"/>
      <c r="J40" s="156"/>
      <c r="K40" s="88"/>
      <c r="L40" s="1859"/>
      <c r="M40" s="1860"/>
      <c r="N40" s="89"/>
    </row>
    <row r="41" spans="2:14">
      <c r="B41" s="1888"/>
      <c r="C41" s="1889"/>
      <c r="D41" s="1889"/>
      <c r="E41" s="171"/>
      <c r="F41" s="172"/>
      <c r="G41" s="157"/>
      <c r="H41" s="156"/>
      <c r="I41" s="157"/>
      <c r="J41" s="156"/>
      <c r="K41" s="88"/>
      <c r="L41" s="1859"/>
      <c r="M41" s="1860"/>
      <c r="N41" s="89"/>
    </row>
    <row r="42" spans="2:14" ht="13.5" thickBot="1">
      <c r="B42" s="1890"/>
      <c r="C42" s="1891"/>
      <c r="D42" s="1891"/>
      <c r="E42" s="1891"/>
      <c r="F42" s="1892"/>
      <c r="G42" s="1845"/>
      <c r="H42" s="1836"/>
      <c r="I42" s="1845"/>
      <c r="J42" s="1836"/>
      <c r="K42" s="90"/>
      <c r="L42" s="1846"/>
      <c r="M42" s="1847"/>
      <c r="N42" s="89"/>
    </row>
    <row r="43" spans="2:14" ht="14.25" thickBot="1">
      <c r="B43" s="1848"/>
      <c r="C43" s="1849"/>
      <c r="D43" s="1849"/>
      <c r="E43" s="1849"/>
      <c r="F43" s="1849"/>
      <c r="G43" s="1849"/>
      <c r="H43" s="1849"/>
      <c r="I43" s="1849"/>
      <c r="J43" s="1849"/>
      <c r="K43" s="1849"/>
      <c r="L43" s="1849"/>
      <c r="M43" s="1850"/>
      <c r="N43" s="91">
        <f>SUM(N39:N42)</f>
        <v>0</v>
      </c>
    </row>
    <row r="44" spans="2:14">
      <c r="B44" s="1763" t="s">
        <v>189</v>
      </c>
      <c r="C44" s="1764"/>
      <c r="D44" s="1764"/>
      <c r="E44" s="1764"/>
      <c r="F44" s="1764"/>
      <c r="G44" s="1764"/>
      <c r="H44" s="1764"/>
      <c r="I44" s="1764"/>
      <c r="J44" s="1764"/>
      <c r="K44" s="1764"/>
      <c r="L44" s="1764"/>
      <c r="M44" s="1764"/>
      <c r="N44" s="1765"/>
    </row>
    <row r="45" spans="2:14">
      <c r="B45" s="1766" t="s">
        <v>189</v>
      </c>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436" t="s">
        <v>38</v>
      </c>
      <c r="K47" s="178" t="s">
        <v>115</v>
      </c>
      <c r="L47" s="1829" t="s">
        <v>190</v>
      </c>
      <c r="M47" s="1832"/>
      <c r="N47" s="179" t="s">
        <v>191</v>
      </c>
    </row>
    <row r="48" spans="2:14" ht="33" customHeight="1">
      <c r="B48" s="1893" t="s">
        <v>1484</v>
      </c>
      <c r="C48" s="1894"/>
      <c r="D48" s="1894"/>
      <c r="E48" s="1894"/>
      <c r="F48" s="1894"/>
      <c r="G48" s="1894"/>
      <c r="H48" s="1894"/>
      <c r="I48" s="1895"/>
      <c r="J48" s="1441" t="s">
        <v>40</v>
      </c>
      <c r="K48" s="96">
        <v>1</v>
      </c>
      <c r="L48" s="1852" t="e">
        <f>#REF!</f>
        <v>#REF!</v>
      </c>
      <c r="M48" s="1853"/>
      <c r="N48" s="89" t="e">
        <f>+L48*K48</f>
        <v>#REF!</v>
      </c>
    </row>
    <row r="49" spans="2:14">
      <c r="B49" s="1839"/>
      <c r="C49" s="1840"/>
      <c r="D49" s="1840"/>
      <c r="E49" s="1840"/>
      <c r="F49" s="1840"/>
      <c r="G49" s="1840"/>
      <c r="H49" s="1840"/>
      <c r="I49" s="1841"/>
      <c r="J49" s="131"/>
      <c r="K49" s="144"/>
      <c r="L49" s="1852"/>
      <c r="M49" s="1853"/>
      <c r="N49" s="89"/>
    </row>
    <row r="50" spans="2:14">
      <c r="B50" s="1839"/>
      <c r="C50" s="1840"/>
      <c r="D50" s="1840"/>
      <c r="E50" s="1840"/>
      <c r="F50" s="1840"/>
      <c r="G50" s="1840"/>
      <c r="H50" s="1840"/>
      <c r="I50" s="1841"/>
      <c r="J50" s="131"/>
      <c r="K50" s="144"/>
      <c r="L50" s="1852"/>
      <c r="M50" s="1853"/>
      <c r="N50" s="89"/>
    </row>
    <row r="51" spans="2:14">
      <c r="B51" s="1839"/>
      <c r="C51" s="1840"/>
      <c r="D51" s="1840"/>
      <c r="E51" s="1840"/>
      <c r="F51" s="1840"/>
      <c r="G51" s="1840"/>
      <c r="H51" s="1840"/>
      <c r="I51" s="1841"/>
      <c r="J51" s="131"/>
      <c r="K51" s="144"/>
      <c r="L51" s="1852"/>
      <c r="M51" s="1853"/>
      <c r="N51" s="89"/>
    </row>
    <row r="52" spans="2:14" ht="13.5" thickBot="1">
      <c r="B52" s="1839"/>
      <c r="C52" s="1840"/>
      <c r="D52" s="1840"/>
      <c r="E52" s="1840"/>
      <c r="F52" s="1840"/>
      <c r="G52" s="1840"/>
      <c r="H52" s="1840"/>
      <c r="I52" s="1841"/>
      <c r="J52" s="1441"/>
      <c r="K52" s="96"/>
      <c r="L52" s="1852"/>
      <c r="M52" s="1853"/>
      <c r="N52" s="89"/>
    </row>
    <row r="53" spans="2:14" ht="14.25" thickBot="1">
      <c r="B53" s="1848" t="s">
        <v>188</v>
      </c>
      <c r="C53" s="1849"/>
      <c r="D53" s="1849"/>
      <c r="E53" s="1849"/>
      <c r="F53" s="1849"/>
      <c r="G53" s="1849"/>
      <c r="H53" s="1849"/>
      <c r="I53" s="1849"/>
      <c r="J53" s="1849"/>
      <c r="K53" s="1849"/>
      <c r="L53" s="1849"/>
      <c r="M53" s="1850"/>
      <c r="N53" s="99" t="e">
        <f>SUM(N48:N52)</f>
        <v>#REF!</v>
      </c>
    </row>
    <row r="54" spans="2:14">
      <c r="B54" s="1763" t="s">
        <v>51</v>
      </c>
      <c r="C54" s="1764"/>
      <c r="D54" s="1764"/>
      <c r="E54" s="1764"/>
      <c r="F54" s="1764"/>
      <c r="G54" s="1764"/>
      <c r="H54" s="1764"/>
      <c r="I54" s="1764"/>
      <c r="J54" s="1764"/>
      <c r="K54" s="1764"/>
      <c r="L54" s="1764"/>
      <c r="M54" s="1764"/>
      <c r="N54" s="1765"/>
    </row>
    <row r="55" spans="2:14">
      <c r="B55" s="1766" t="s">
        <v>51</v>
      </c>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439" t="s">
        <v>194</v>
      </c>
      <c r="K57" s="182" t="s">
        <v>310</v>
      </c>
      <c r="L57" s="1829" t="s">
        <v>39</v>
      </c>
      <c r="M57" s="1832"/>
      <c r="N57" s="179" t="s">
        <v>191</v>
      </c>
    </row>
    <row r="58" spans="2:14">
      <c r="B58" s="1839"/>
      <c r="C58" s="1840"/>
      <c r="D58" s="1840"/>
      <c r="E58" s="1840"/>
      <c r="F58" s="1840"/>
      <c r="G58" s="1840"/>
      <c r="H58" s="1840"/>
      <c r="I58" s="96"/>
      <c r="J58" s="93"/>
      <c r="K58" s="100"/>
      <c r="L58" s="1843"/>
      <c r="M58" s="1844"/>
      <c r="N58" s="101"/>
    </row>
    <row r="59" spans="2:14" ht="13.5" thickBot="1">
      <c r="B59" s="1834"/>
      <c r="C59" s="1835"/>
      <c r="D59" s="1835"/>
      <c r="E59" s="1835"/>
      <c r="F59" s="1835"/>
      <c r="G59" s="1835"/>
      <c r="H59" s="1835"/>
      <c r="I59" s="102"/>
      <c r="J59" s="87"/>
      <c r="K59" s="102"/>
      <c r="L59" s="1837"/>
      <c r="M59" s="1838"/>
      <c r="N59" s="174"/>
    </row>
    <row r="60" spans="2:14" ht="14.25" thickBot="1">
      <c r="B60" s="1848" t="s">
        <v>188</v>
      </c>
      <c r="C60" s="1849"/>
      <c r="D60" s="1849"/>
      <c r="E60" s="1849"/>
      <c r="F60" s="1849"/>
      <c r="G60" s="1849"/>
      <c r="H60" s="1849"/>
      <c r="I60" s="1849"/>
      <c r="J60" s="1849"/>
      <c r="K60" s="1849"/>
      <c r="L60" s="1849"/>
      <c r="M60" s="1850"/>
      <c r="N60" s="91">
        <f>SUM(N58:N59)</f>
        <v>0</v>
      </c>
    </row>
    <row r="61" spans="2:14">
      <c r="B61" s="1763" t="s">
        <v>52</v>
      </c>
      <c r="C61" s="1764"/>
      <c r="D61" s="1764"/>
      <c r="E61" s="1764"/>
      <c r="F61" s="1764"/>
      <c r="G61" s="1764"/>
      <c r="H61" s="1764"/>
      <c r="I61" s="1764"/>
      <c r="J61" s="1764"/>
      <c r="K61" s="1764"/>
      <c r="L61" s="1764"/>
      <c r="M61" s="1764"/>
      <c r="N61" s="1765"/>
    </row>
    <row r="62" spans="2:14">
      <c r="B62" s="1766" t="s">
        <v>52</v>
      </c>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439" t="s">
        <v>46</v>
      </c>
      <c r="K64" s="182" t="s">
        <v>197</v>
      </c>
      <c r="L64" s="1829" t="s">
        <v>186</v>
      </c>
      <c r="M64" s="1832"/>
      <c r="N64" s="179" t="s">
        <v>191</v>
      </c>
    </row>
    <row r="65" spans="2:14">
      <c r="B65" s="1442"/>
      <c r="C65" s="1443"/>
      <c r="D65" s="1443"/>
      <c r="E65" s="1443"/>
      <c r="F65" s="1443"/>
      <c r="G65" s="1443"/>
      <c r="H65" s="1443"/>
      <c r="I65" s="107"/>
      <c r="J65" s="108"/>
      <c r="K65" s="109"/>
      <c r="L65" s="1861"/>
      <c r="M65" s="1862"/>
      <c r="N65" s="110"/>
    </row>
    <row r="66" spans="2:14">
      <c r="B66" s="1442"/>
      <c r="C66" s="1443"/>
      <c r="D66" s="1443"/>
      <c r="E66" s="1443"/>
      <c r="F66" s="1443"/>
      <c r="G66" s="1443"/>
      <c r="H66" s="1443"/>
      <c r="I66" s="107"/>
      <c r="J66" s="108"/>
      <c r="K66" s="109"/>
      <c r="L66" s="1861"/>
      <c r="M66" s="1862"/>
      <c r="N66" s="110"/>
    </row>
    <row r="67" spans="2:14">
      <c r="B67" s="1442"/>
      <c r="C67" s="1443"/>
      <c r="D67" s="1443"/>
      <c r="E67" s="1443"/>
      <c r="F67" s="1443"/>
      <c r="G67" s="1443"/>
      <c r="H67" s="1443"/>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f>SUM(N65:N68)</f>
        <v>0</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t="e">
        <f>+N69+N60+N53+N43</f>
        <v>#REF!</v>
      </c>
    </row>
    <row r="72" spans="2:14">
      <c r="B72" s="1763" t="s">
        <v>53</v>
      </c>
      <c r="C72" s="1764"/>
      <c r="D72" s="1764"/>
      <c r="E72" s="1764"/>
      <c r="F72" s="1764"/>
      <c r="G72" s="1764"/>
      <c r="H72" s="1764"/>
      <c r="I72" s="1764"/>
      <c r="J72" s="1764"/>
      <c r="K72" s="1764"/>
      <c r="L72" s="1764"/>
      <c r="M72" s="1764"/>
      <c r="N72" s="1765"/>
    </row>
    <row r="73" spans="2:14">
      <c r="B73" s="1766" t="s">
        <v>53</v>
      </c>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439"/>
      <c r="J75" s="1440"/>
      <c r="K75" s="184" t="s">
        <v>54</v>
      </c>
      <c r="L75" s="1857" t="s">
        <v>55</v>
      </c>
      <c r="M75" s="1858"/>
      <c r="N75" s="185"/>
    </row>
    <row r="76" spans="2:14">
      <c r="B76" s="1839" t="s">
        <v>44</v>
      </c>
      <c r="C76" s="1840"/>
      <c r="D76" s="1840"/>
      <c r="E76" s="1840"/>
      <c r="F76" s="1840"/>
      <c r="G76" s="1840"/>
      <c r="H76" s="1840"/>
      <c r="I76" s="113"/>
      <c r="J76" s="114"/>
      <c r="K76" s="192" t="e">
        <f>+#REF!</f>
        <v>#REF!</v>
      </c>
      <c r="L76" s="1877" t="e">
        <f>+N71*K76</f>
        <v>#REF!</v>
      </c>
      <c r="M76" s="1878"/>
      <c r="N76" s="115"/>
    </row>
    <row r="77" spans="2:14">
      <c r="B77" s="116" t="s">
        <v>56</v>
      </c>
      <c r="C77" s="117"/>
      <c r="D77" s="117"/>
      <c r="E77" s="117"/>
      <c r="F77" s="117"/>
      <c r="G77" s="117"/>
      <c r="H77" s="117"/>
      <c r="I77" s="113"/>
      <c r="J77" s="114"/>
      <c r="K77" s="192" t="e">
        <f>+#REF!</f>
        <v>#REF!</v>
      </c>
      <c r="L77" s="1877" t="e">
        <f>+N71*K77</f>
        <v>#REF!</v>
      </c>
      <c r="M77" s="1878"/>
      <c r="N77" s="115"/>
    </row>
    <row r="78" spans="2:14" ht="13.5" thickBot="1">
      <c r="B78" s="1437" t="s">
        <v>45</v>
      </c>
      <c r="C78" s="1438"/>
      <c r="D78" s="1438"/>
      <c r="E78" s="1438"/>
      <c r="F78" s="1438"/>
      <c r="G78" s="1438"/>
      <c r="H78" s="1438"/>
      <c r="I78" s="120"/>
      <c r="J78" s="121"/>
      <c r="K78" s="192" t="e">
        <f>+#REF!</f>
        <v>#REF!</v>
      </c>
      <c r="L78" s="1879" t="e">
        <f>+N71*K78</f>
        <v>#REF!</v>
      </c>
      <c r="M78" s="1880"/>
      <c r="N78" s="115"/>
    </row>
    <row r="79" spans="2:14" ht="14.25" thickBot="1">
      <c r="B79" s="1848" t="s">
        <v>188</v>
      </c>
      <c r="C79" s="1849"/>
      <c r="D79" s="1849"/>
      <c r="E79" s="1849"/>
      <c r="F79" s="1849"/>
      <c r="G79" s="1849"/>
      <c r="H79" s="1849"/>
      <c r="I79" s="1849"/>
      <c r="J79" s="1849"/>
      <c r="K79" s="1849"/>
      <c r="L79" s="1849"/>
      <c r="M79" s="1850"/>
      <c r="N79" s="122" t="e">
        <f>SUM(L76:M78)</f>
        <v>#REF!</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t="e">
        <f>ROUND(N71+N79,0)</f>
        <v>#REF!</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60768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07681" r:id="rId3"/>
      </mc:Fallback>
    </mc:AlternateContent>
  </oleObjects>
  <mc:AlternateContent xmlns:mc="http://schemas.openxmlformats.org/markup-compatibility/2006">
    <mc:Choice Requires="x14">
      <controls>
        <mc:AlternateContent xmlns:mc="http://schemas.openxmlformats.org/markup-compatibility/2006">
          <mc:Choice Requires="x14">
            <control shapeId="1607682" r:id="rId5" name="Check Box 2">
              <controlPr defaultSize="0" autoFill="0" autoLine="0" autoPict="0">
                <anchor moveWithCells="1">
                  <from>
                    <xdr:col>5</xdr:col>
                    <xdr:colOff>152400</xdr:colOff>
                    <xdr:row>10</xdr:row>
                    <xdr:rowOff>142875</xdr:rowOff>
                  </from>
                  <to>
                    <xdr:col>5</xdr:col>
                    <xdr:colOff>466725</xdr:colOff>
                    <xdr:row>12</xdr:row>
                    <xdr:rowOff>57150</xdr:rowOff>
                  </to>
                </anchor>
              </controlPr>
            </control>
          </mc:Choice>
        </mc:AlternateContent>
        <mc:AlternateContent xmlns:mc="http://schemas.openxmlformats.org/markup-compatibility/2006">
          <mc:Choice Requires="x14">
            <control shapeId="1607683" r:id="rId6" name="Check Box 3">
              <controlPr defaultSize="0" autoFill="0" autoLine="0" autoPict="0">
                <anchor moveWithCells="1">
                  <from>
                    <xdr:col>9</xdr:col>
                    <xdr:colOff>152400</xdr:colOff>
                    <xdr:row>10</xdr:row>
                    <xdr:rowOff>142875</xdr:rowOff>
                  </from>
                  <to>
                    <xdr:col>9</xdr:col>
                    <xdr:colOff>466725</xdr:colOff>
                    <xdr:row>12</xdr:row>
                    <xdr:rowOff>57150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
  <dimension ref="B1:N105"/>
  <sheetViews>
    <sheetView showGridLines="0" topLeftCell="D14"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42578125" style="39" customWidth="1"/>
    <col min="1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thickBot="1">
      <c r="B34" s="176" t="s">
        <v>539</v>
      </c>
      <c r="C34" s="1885" t="s">
        <v>1504</v>
      </c>
      <c r="D34" s="1887"/>
      <c r="E34" s="1887"/>
      <c r="F34" s="1887"/>
      <c r="G34" s="1887"/>
      <c r="H34" s="1887"/>
      <c r="I34" s="1887"/>
      <c r="J34" s="1887"/>
      <c r="K34" s="1886"/>
      <c r="L34" s="1885" t="s">
        <v>111</v>
      </c>
      <c r="M34" s="1886"/>
      <c r="N34" s="204">
        <v>35831</v>
      </c>
    </row>
    <row r="35" spans="2:14">
      <c r="B35" s="1763" t="s">
        <v>49</v>
      </c>
      <c r="C35" s="1764"/>
      <c r="D35" s="1764"/>
      <c r="E35" s="1764"/>
      <c r="F35" s="1764"/>
      <c r="G35" s="1764"/>
      <c r="H35" s="1764"/>
      <c r="I35" s="1764"/>
      <c r="J35" s="1764"/>
      <c r="K35" s="1764"/>
      <c r="L35" s="1764"/>
      <c r="M35" s="1764"/>
      <c r="N35" s="1765"/>
    </row>
    <row r="36" spans="2:14">
      <c r="B36" s="1766" t="s">
        <v>49</v>
      </c>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490</v>
      </c>
      <c r="C39" s="1840"/>
      <c r="D39" s="1840"/>
      <c r="E39" s="1840"/>
      <c r="F39" s="1841"/>
      <c r="G39" s="1842"/>
      <c r="H39" s="1841"/>
      <c r="I39" s="1842"/>
      <c r="J39" s="1841"/>
      <c r="K39" s="88">
        <v>131250</v>
      </c>
      <c r="L39" s="1859">
        <v>100</v>
      </c>
      <c r="M39" s="1860"/>
      <c r="N39" s="89">
        <v>1312.5</v>
      </c>
    </row>
    <row r="40" spans="2:14">
      <c r="B40" s="1839" t="s">
        <v>542</v>
      </c>
      <c r="C40" s="1840"/>
      <c r="D40" s="1840"/>
      <c r="E40" s="1840"/>
      <c r="F40" s="1841"/>
      <c r="G40" s="1842"/>
      <c r="H40" s="1841"/>
      <c r="I40" s="1842"/>
      <c r="J40" s="1841"/>
      <c r="K40" s="88">
        <v>94500</v>
      </c>
      <c r="L40" s="1859">
        <v>100</v>
      </c>
      <c r="M40" s="1860"/>
      <c r="N40" s="89">
        <v>945</v>
      </c>
    </row>
    <row r="41" spans="2:14">
      <c r="B41" s="116" t="s">
        <v>258</v>
      </c>
      <c r="C41" s="117"/>
      <c r="D41" s="117"/>
      <c r="E41" s="117"/>
      <c r="F41" s="156"/>
      <c r="G41" s="157"/>
      <c r="H41" s="156"/>
      <c r="I41" s="157"/>
      <c r="J41" s="156"/>
      <c r="K41" s="88">
        <v>57750</v>
      </c>
      <c r="L41" s="1859">
        <v>100</v>
      </c>
      <c r="M41" s="1860"/>
      <c r="N41" s="89">
        <v>577.5</v>
      </c>
    </row>
    <row r="42" spans="2:14" ht="13.5" thickBot="1">
      <c r="B42" s="1834"/>
      <c r="C42" s="1835"/>
      <c r="D42" s="1835"/>
      <c r="E42" s="1835"/>
      <c r="F42" s="1836"/>
      <c r="G42" s="1845"/>
      <c r="H42" s="1836"/>
      <c r="I42" s="1845"/>
      <c r="J42" s="1836"/>
      <c r="K42" s="88"/>
      <c r="L42" s="1846"/>
      <c r="M42" s="1847"/>
      <c r="N42" s="89"/>
    </row>
    <row r="43" spans="2:14" ht="14.25" thickBot="1">
      <c r="B43" s="1848"/>
      <c r="C43" s="1849"/>
      <c r="D43" s="1849"/>
      <c r="E43" s="1849"/>
      <c r="F43" s="1849"/>
      <c r="G43" s="1849"/>
      <c r="H43" s="1849"/>
      <c r="I43" s="1849"/>
      <c r="J43" s="1849"/>
      <c r="K43" s="1849"/>
      <c r="L43" s="1849"/>
      <c r="M43" s="1850"/>
      <c r="N43" s="91">
        <v>2835</v>
      </c>
    </row>
    <row r="44" spans="2:14">
      <c r="B44" s="1763" t="s">
        <v>189</v>
      </c>
      <c r="C44" s="1764"/>
      <c r="D44" s="1764"/>
      <c r="E44" s="1764"/>
      <c r="F44" s="1764"/>
      <c r="G44" s="1764"/>
      <c r="H44" s="1764"/>
      <c r="I44" s="1764"/>
      <c r="J44" s="1764"/>
      <c r="K44" s="1764"/>
      <c r="L44" s="1764"/>
      <c r="M44" s="1764"/>
      <c r="N44" s="1765"/>
    </row>
    <row r="45" spans="2:14">
      <c r="B45" s="1766" t="s">
        <v>189</v>
      </c>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ht="32.25" customHeight="1">
      <c r="B48" s="1893" t="s">
        <v>1493</v>
      </c>
      <c r="C48" s="1894"/>
      <c r="D48" s="1894"/>
      <c r="E48" s="1894"/>
      <c r="F48" s="1894"/>
      <c r="G48" s="1894"/>
      <c r="H48" s="1894"/>
      <c r="I48" s="1895"/>
      <c r="J48" s="1420" t="s">
        <v>111</v>
      </c>
      <c r="K48" s="96">
        <v>1.28</v>
      </c>
      <c r="L48" s="1852">
        <v>21000</v>
      </c>
      <c r="M48" s="1853"/>
      <c r="N48" s="89">
        <v>26880</v>
      </c>
    </row>
    <row r="49" spans="2:14">
      <c r="B49" s="1839"/>
      <c r="C49" s="1840"/>
      <c r="D49" s="1840"/>
      <c r="E49" s="1840"/>
      <c r="F49" s="1840"/>
      <c r="G49" s="1840"/>
      <c r="H49" s="1840"/>
      <c r="I49" s="1841"/>
      <c r="J49" s="131"/>
      <c r="K49" s="144"/>
      <c r="L49" s="1852"/>
      <c r="M49" s="1853"/>
      <c r="N49" s="89"/>
    </row>
    <row r="50" spans="2:14">
      <c r="B50" s="1839"/>
      <c r="C50" s="1840"/>
      <c r="D50" s="1840"/>
      <c r="E50" s="1840"/>
      <c r="F50" s="1840"/>
      <c r="G50" s="1840"/>
      <c r="H50" s="1840"/>
      <c r="I50" s="1841"/>
      <c r="J50" s="131"/>
      <c r="K50" s="144"/>
      <c r="L50" s="1852"/>
      <c r="M50" s="1853"/>
      <c r="N50" s="89"/>
    </row>
    <row r="51" spans="2:14">
      <c r="B51" s="1839"/>
      <c r="C51" s="1840"/>
      <c r="D51" s="1840"/>
      <c r="E51" s="1840"/>
      <c r="F51" s="1840"/>
      <c r="G51" s="1840"/>
      <c r="H51" s="1840"/>
      <c r="I51" s="1841"/>
      <c r="J51" s="131"/>
      <c r="K51" s="144"/>
      <c r="L51" s="1852"/>
      <c r="M51" s="1853"/>
      <c r="N51" s="89"/>
    </row>
    <row r="52" spans="2:14" ht="13.5" thickBot="1">
      <c r="B52" s="1839"/>
      <c r="C52" s="1840"/>
      <c r="D52" s="1840"/>
      <c r="E52" s="1840"/>
      <c r="F52" s="1840"/>
      <c r="G52" s="1840"/>
      <c r="H52" s="1840"/>
      <c r="I52" s="1841"/>
      <c r="J52" s="126"/>
      <c r="K52" s="96"/>
      <c r="L52" s="1852"/>
      <c r="M52" s="1853"/>
      <c r="N52" s="89"/>
    </row>
    <row r="53" spans="2:14" ht="14.25" thickBot="1">
      <c r="B53" s="1848" t="s">
        <v>188</v>
      </c>
      <c r="C53" s="1849"/>
      <c r="D53" s="1849"/>
      <c r="E53" s="1849"/>
      <c r="F53" s="1849"/>
      <c r="G53" s="1849"/>
      <c r="H53" s="1849"/>
      <c r="I53" s="1849"/>
      <c r="J53" s="1849"/>
      <c r="K53" s="1849"/>
      <c r="L53" s="1849"/>
      <c r="M53" s="1850"/>
      <c r="N53" s="99">
        <v>26880</v>
      </c>
    </row>
    <row r="54" spans="2:14">
      <c r="B54" s="1763" t="s">
        <v>51</v>
      </c>
      <c r="C54" s="1764"/>
      <c r="D54" s="1764"/>
      <c r="E54" s="1764"/>
      <c r="F54" s="1764"/>
      <c r="G54" s="1764"/>
      <c r="H54" s="1764"/>
      <c r="I54" s="1764"/>
      <c r="J54" s="1764"/>
      <c r="K54" s="1764"/>
      <c r="L54" s="1764"/>
      <c r="M54" s="1764"/>
      <c r="N54" s="1765"/>
    </row>
    <row r="55" spans="2:14">
      <c r="B55" s="1766" t="s">
        <v>51</v>
      </c>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96"/>
      <c r="J58" s="93"/>
      <c r="K58" s="100"/>
      <c r="L58" s="1843"/>
      <c r="M58" s="1844"/>
      <c r="N58" s="101"/>
    </row>
    <row r="59" spans="2:14" ht="13.5" thickBot="1">
      <c r="B59" s="1834"/>
      <c r="C59" s="1835"/>
      <c r="D59" s="1835"/>
      <c r="E59" s="1835"/>
      <c r="F59" s="1835"/>
      <c r="G59" s="1835"/>
      <c r="H59" s="1835"/>
      <c r="I59" s="102"/>
      <c r="J59" s="87"/>
      <c r="K59" s="102"/>
      <c r="L59" s="1837"/>
      <c r="M59" s="1838"/>
      <c r="N59" s="174"/>
    </row>
    <row r="60" spans="2:14" ht="14.25" thickBot="1">
      <c r="B60" s="1848" t="s">
        <v>188</v>
      </c>
      <c r="C60" s="1849"/>
      <c r="D60" s="1849"/>
      <c r="E60" s="1849"/>
      <c r="F60" s="1849"/>
      <c r="G60" s="1849"/>
      <c r="H60" s="1849"/>
      <c r="I60" s="1849"/>
      <c r="J60" s="1849"/>
      <c r="K60" s="1849"/>
      <c r="L60" s="1849"/>
      <c r="M60" s="1850"/>
      <c r="N60" s="91">
        <v>0</v>
      </c>
    </row>
    <row r="61" spans="2:14">
      <c r="B61" s="1763" t="s">
        <v>52</v>
      </c>
      <c r="C61" s="1764"/>
      <c r="D61" s="1764"/>
      <c r="E61" s="1764"/>
      <c r="F61" s="1764"/>
      <c r="G61" s="1764"/>
      <c r="H61" s="1764"/>
      <c r="I61" s="1764"/>
      <c r="J61" s="1764"/>
      <c r="K61" s="1764"/>
      <c r="L61" s="1764"/>
      <c r="M61" s="1764"/>
      <c r="N61" s="1765"/>
    </row>
    <row r="62" spans="2:14">
      <c r="B62" s="1766" t="s">
        <v>52</v>
      </c>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4">
      <c r="B65" s="149" t="s">
        <v>206</v>
      </c>
      <c r="C65" s="150"/>
      <c r="D65" s="150"/>
      <c r="E65" s="150"/>
      <c r="F65" s="150"/>
      <c r="G65" s="150"/>
      <c r="H65" s="150"/>
      <c r="I65" s="107">
        <v>82200</v>
      </c>
      <c r="J65" s="108">
        <v>1.85</v>
      </c>
      <c r="K65" s="109">
        <v>152070</v>
      </c>
      <c r="L65" s="1861">
        <v>800</v>
      </c>
      <c r="M65" s="1862"/>
      <c r="N65" s="110">
        <v>190.08750000000001</v>
      </c>
    </row>
    <row r="66" spans="2:14">
      <c r="B66" s="149"/>
      <c r="C66" s="150"/>
      <c r="D66" s="150"/>
      <c r="E66" s="150"/>
      <c r="F66" s="150"/>
      <c r="G66" s="150"/>
      <c r="H66" s="150"/>
      <c r="I66" s="107"/>
      <c r="J66" s="108"/>
      <c r="K66" s="109"/>
      <c r="L66" s="1861"/>
      <c r="M66" s="1862"/>
      <c r="N66" s="110"/>
    </row>
    <row r="67" spans="2:14">
      <c r="B67" s="149"/>
      <c r="C67" s="150"/>
      <c r="D67" s="150"/>
      <c r="E67" s="150"/>
      <c r="F67" s="150"/>
      <c r="G67" s="150"/>
      <c r="H67" s="150"/>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190.08750000000001</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29905.087500000001</v>
      </c>
    </row>
    <row r="72" spans="2:14">
      <c r="B72" s="1763" t="s">
        <v>53</v>
      </c>
      <c r="C72" s="1764"/>
      <c r="D72" s="1764"/>
      <c r="E72" s="1764"/>
      <c r="F72" s="1764"/>
      <c r="G72" s="1764"/>
      <c r="H72" s="1764"/>
      <c r="I72" s="1764"/>
      <c r="J72" s="1764"/>
      <c r="K72" s="1764"/>
      <c r="L72" s="1764"/>
      <c r="M72" s="1764"/>
      <c r="N72" s="1765"/>
    </row>
    <row r="73" spans="2:14">
      <c r="B73" s="1766" t="s">
        <v>53</v>
      </c>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81"/>
      <c r="J75" s="187"/>
      <c r="K75" s="184" t="s">
        <v>54</v>
      </c>
      <c r="L75" s="1857" t="s">
        <v>55</v>
      </c>
      <c r="M75" s="1858"/>
      <c r="N75" s="185"/>
    </row>
    <row r="76" spans="2:14">
      <c r="B76" s="1839" t="s">
        <v>44</v>
      </c>
      <c r="C76" s="1840"/>
      <c r="D76" s="1840"/>
      <c r="E76" s="1840"/>
      <c r="F76" s="1840"/>
      <c r="G76" s="1840"/>
      <c r="H76" s="1840"/>
      <c r="I76" s="113"/>
      <c r="J76" s="114"/>
      <c r="K76" s="192">
        <v>0.22</v>
      </c>
      <c r="L76" s="1877">
        <v>6579.1192500000006</v>
      </c>
      <c r="M76" s="1878"/>
      <c r="N76" s="115"/>
    </row>
    <row r="77" spans="2:14">
      <c r="B77" s="116" t="s">
        <v>56</v>
      </c>
      <c r="C77" s="117"/>
      <c r="D77" s="117"/>
      <c r="E77" s="117"/>
      <c r="F77" s="117"/>
      <c r="G77" s="117"/>
      <c r="H77" s="117"/>
      <c r="I77" s="113"/>
      <c r="J77" s="114"/>
      <c r="K77" s="192">
        <v>0.05</v>
      </c>
      <c r="L77" s="1877">
        <v>1495.2543750000002</v>
      </c>
      <c r="M77" s="1878"/>
      <c r="N77" s="115"/>
    </row>
    <row r="78" spans="2:14" ht="13.5" thickBot="1">
      <c r="B78" s="118" t="s">
        <v>45</v>
      </c>
      <c r="C78" s="119"/>
      <c r="D78" s="119"/>
      <c r="E78" s="119"/>
      <c r="F78" s="119"/>
      <c r="G78" s="119"/>
      <c r="H78" s="119"/>
      <c r="I78" s="120"/>
      <c r="J78" s="121"/>
      <c r="K78" s="192">
        <v>0.05</v>
      </c>
      <c r="L78" s="1879">
        <v>1495.2543750000002</v>
      </c>
      <c r="M78" s="1880"/>
      <c r="N78" s="115"/>
    </row>
    <row r="79" spans="2:14" ht="14.25" thickBot="1">
      <c r="B79" s="1848" t="s">
        <v>188</v>
      </c>
      <c r="C79" s="1849"/>
      <c r="D79" s="1849"/>
      <c r="E79" s="1849"/>
      <c r="F79" s="1849"/>
      <c r="G79" s="1849"/>
      <c r="H79" s="1849"/>
      <c r="I79" s="1849"/>
      <c r="J79" s="1849"/>
      <c r="K79" s="1849"/>
      <c r="L79" s="1849"/>
      <c r="M79" s="1850"/>
      <c r="N79" s="122">
        <v>9569.6280000000006</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39475</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6">
    <mergeCell ref="J104:N105"/>
    <mergeCell ref="B105:D105"/>
    <mergeCell ref="B12:E12"/>
    <mergeCell ref="B95:N96"/>
    <mergeCell ref="B97:N98"/>
    <mergeCell ref="L41:M41"/>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 ref="B72:N74"/>
    <mergeCell ref="L67:M67"/>
    <mergeCell ref="B53:M53"/>
    <mergeCell ref="B57:H57"/>
    <mergeCell ref="L57:M57"/>
    <mergeCell ref="B58:H58"/>
    <mergeCell ref="L58:M58"/>
    <mergeCell ref="B59:H59"/>
    <mergeCell ref="L59:M59"/>
    <mergeCell ref="B60:M60"/>
    <mergeCell ref="B64:H64"/>
    <mergeCell ref="L64:M64"/>
    <mergeCell ref="L65:M65"/>
    <mergeCell ref="L66:M66"/>
    <mergeCell ref="B54:N56"/>
    <mergeCell ref="B61:N63"/>
    <mergeCell ref="B50:I50"/>
    <mergeCell ref="L50:M50"/>
    <mergeCell ref="B51:I51"/>
    <mergeCell ref="L51:M51"/>
    <mergeCell ref="B52:I52"/>
    <mergeCell ref="L52:M52"/>
    <mergeCell ref="B49:I49"/>
    <mergeCell ref="L49:M49"/>
    <mergeCell ref="B42:F42"/>
    <mergeCell ref="G42:H42"/>
    <mergeCell ref="I42:J42"/>
    <mergeCell ref="L42:M42"/>
    <mergeCell ref="B43:M43"/>
    <mergeCell ref="B47:I47"/>
    <mergeCell ref="L47:M47"/>
    <mergeCell ref="B48:I48"/>
    <mergeCell ref="L48:M48"/>
    <mergeCell ref="B44:N46"/>
    <mergeCell ref="G39:H39"/>
    <mergeCell ref="I39:J39"/>
    <mergeCell ref="L39:M39"/>
    <mergeCell ref="L40:M40"/>
    <mergeCell ref="B39:F39"/>
    <mergeCell ref="B40:F40"/>
    <mergeCell ref="G40:H40"/>
    <mergeCell ref="I40:J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48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4865" r:id="rId3"/>
      </mc:Fallback>
    </mc:AlternateContent>
  </oleObjects>
  <mc:AlternateContent xmlns:mc="http://schemas.openxmlformats.org/markup-compatibility/2006">
    <mc:Choice Requires="x14">
      <controls>
        <mc:AlternateContent xmlns:mc="http://schemas.openxmlformats.org/markup-compatibility/2006">
          <mc:Choice Requires="x14">
            <control shapeId="16486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6486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E52" zoomScale="70" zoomScaleNormal="70"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1445"/>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1432"/>
      <c r="D11" s="1432"/>
      <c r="E11" s="1432"/>
      <c r="F11" s="1432"/>
      <c r="G11" s="1432"/>
      <c r="H11" s="1432"/>
      <c r="I11" s="1432"/>
      <c r="J11" s="1432"/>
      <c r="K11" s="51"/>
      <c r="L11" s="52" t="s">
        <v>294</v>
      </c>
      <c r="M11" s="52" t="s">
        <v>294</v>
      </c>
      <c r="N11" s="53" t="s">
        <v>294</v>
      </c>
    </row>
    <row r="12" spans="2:14" ht="13.5">
      <c r="B12" s="1869" t="s">
        <v>717</v>
      </c>
      <c r="C12" s="1870"/>
      <c r="D12" s="1870"/>
      <c r="E12" s="1870"/>
      <c r="F12" s="1432"/>
      <c r="G12" s="1432"/>
      <c r="H12" s="1432" t="s">
        <v>718</v>
      </c>
      <c r="J12" s="1432"/>
      <c r="K12" s="51"/>
      <c r="N12" s="405"/>
    </row>
    <row r="13" spans="2:14" ht="13.5">
      <c r="B13" s="54" t="s">
        <v>239</v>
      </c>
      <c r="C13" s="55"/>
      <c r="D13" s="1810" t="s">
        <v>293</v>
      </c>
      <c r="E13" s="1810"/>
      <c r="F13" s="1810"/>
      <c r="G13" s="1810"/>
      <c r="H13" s="55"/>
      <c r="I13" s="55" t="s">
        <v>240</v>
      </c>
      <c r="J13" s="1810" t="s">
        <v>293</v>
      </c>
      <c r="K13" s="1810"/>
      <c r="L13" s="1810"/>
      <c r="M13" s="1810"/>
      <c r="N13" s="1434"/>
    </row>
    <row r="14" spans="2:14" ht="13.5">
      <c r="B14" s="54"/>
      <c r="C14" s="55"/>
      <c r="D14" s="1433"/>
      <c r="E14" s="1433"/>
      <c r="F14" s="1433"/>
      <c r="G14" s="1433"/>
      <c r="H14" s="55"/>
      <c r="I14" s="1433"/>
      <c r="J14" s="55"/>
      <c r="K14" s="1433"/>
      <c r="L14" s="1811"/>
      <c r="M14" s="1811"/>
      <c r="N14" s="1812"/>
    </row>
    <row r="15" spans="2:14" ht="13.5">
      <c r="B15" s="54"/>
      <c r="C15" s="55"/>
      <c r="D15" s="1433"/>
      <c r="E15" s="1433"/>
      <c r="F15" s="1433"/>
      <c r="G15" s="1433"/>
      <c r="H15" s="55"/>
      <c r="I15" s="1433"/>
      <c r="J15" s="55"/>
      <c r="K15" s="1433"/>
      <c r="L15" s="1433"/>
      <c r="M15" s="1433"/>
      <c r="N15" s="1434"/>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1446"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1435"/>
      <c r="E22" s="1435"/>
      <c r="F22" s="1435"/>
      <c r="G22" s="1435"/>
      <c r="H22" s="1435"/>
      <c r="I22" s="1435"/>
      <c r="J22" s="1435"/>
      <c r="K22" s="1435"/>
      <c r="L22" s="1435"/>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1481</v>
      </c>
      <c r="C34" s="1885" t="s">
        <v>139</v>
      </c>
      <c r="D34" s="1887"/>
      <c r="E34" s="1887"/>
      <c r="F34" s="1887"/>
      <c r="G34" s="1887"/>
      <c r="H34" s="1887"/>
      <c r="I34" s="1887"/>
      <c r="J34" s="1887"/>
      <c r="K34" s="1886"/>
      <c r="L34" s="1885" t="s">
        <v>111</v>
      </c>
      <c r="M34" s="1886"/>
      <c r="N34" s="177">
        <v>19980</v>
      </c>
    </row>
    <row r="35" spans="2:14">
      <c r="B35" s="1763" t="s">
        <v>49</v>
      </c>
      <c r="C35" s="1764"/>
      <c r="D35" s="1764"/>
      <c r="E35" s="1764"/>
      <c r="F35" s="1764"/>
      <c r="G35" s="1764"/>
      <c r="H35" s="1764"/>
      <c r="I35" s="1764"/>
      <c r="J35" s="1764"/>
      <c r="K35" s="1764"/>
      <c r="L35" s="1764"/>
      <c r="M35" s="1764"/>
      <c r="N35" s="1765"/>
    </row>
    <row r="36" spans="2:14">
      <c r="B36" s="1766" t="s">
        <v>49</v>
      </c>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88" t="s">
        <v>1482</v>
      </c>
      <c r="C39" s="1889"/>
      <c r="D39" s="1889"/>
      <c r="E39" s="1443"/>
      <c r="F39" s="1444"/>
      <c r="G39" s="1842"/>
      <c r="H39" s="1841"/>
      <c r="I39" s="1842"/>
      <c r="J39" s="1841"/>
      <c r="K39" s="88">
        <v>105000</v>
      </c>
      <c r="L39" s="1859">
        <v>60</v>
      </c>
      <c r="M39" s="1860"/>
      <c r="N39" s="89">
        <v>1750</v>
      </c>
    </row>
    <row r="40" spans="2:14">
      <c r="B40" s="1888"/>
      <c r="C40" s="1889"/>
      <c r="D40" s="1889"/>
      <c r="E40" s="171"/>
      <c r="F40" s="172"/>
      <c r="G40" s="157"/>
      <c r="H40" s="156"/>
      <c r="I40" s="157"/>
      <c r="J40" s="156"/>
      <c r="K40" s="88"/>
      <c r="L40" s="1859"/>
      <c r="M40" s="1860"/>
      <c r="N40" s="89"/>
    </row>
    <row r="41" spans="2:14">
      <c r="B41" s="1888"/>
      <c r="C41" s="1889"/>
      <c r="D41" s="1889"/>
      <c r="E41" s="171"/>
      <c r="F41" s="172"/>
      <c r="G41" s="157"/>
      <c r="H41" s="156"/>
      <c r="I41" s="157"/>
      <c r="J41" s="156"/>
      <c r="K41" s="88"/>
      <c r="L41" s="1859"/>
      <c r="M41" s="1860"/>
      <c r="N41" s="89"/>
    </row>
    <row r="42" spans="2:14" ht="13.5" thickBot="1">
      <c r="B42" s="1890"/>
      <c r="C42" s="1891"/>
      <c r="D42" s="1891"/>
      <c r="E42" s="1891"/>
      <c r="F42" s="1892"/>
      <c r="G42" s="1845"/>
      <c r="H42" s="1836"/>
      <c r="I42" s="1845"/>
      <c r="J42" s="1836"/>
      <c r="K42" s="90"/>
      <c r="L42" s="1846"/>
      <c r="M42" s="1847"/>
      <c r="N42" s="89"/>
    </row>
    <row r="43" spans="2:14" ht="14.25" thickBot="1">
      <c r="B43" s="1848"/>
      <c r="C43" s="1849"/>
      <c r="D43" s="1849"/>
      <c r="E43" s="1849"/>
      <c r="F43" s="1849"/>
      <c r="G43" s="1849"/>
      <c r="H43" s="1849"/>
      <c r="I43" s="1849"/>
      <c r="J43" s="1849"/>
      <c r="K43" s="1849"/>
      <c r="L43" s="1849"/>
      <c r="M43" s="1850"/>
      <c r="N43" s="91">
        <v>1750</v>
      </c>
    </row>
    <row r="44" spans="2:14">
      <c r="B44" s="1763" t="s">
        <v>189</v>
      </c>
      <c r="C44" s="1764"/>
      <c r="D44" s="1764"/>
      <c r="E44" s="1764"/>
      <c r="F44" s="1764"/>
      <c r="G44" s="1764"/>
      <c r="H44" s="1764"/>
      <c r="I44" s="1764"/>
      <c r="J44" s="1764"/>
      <c r="K44" s="1764"/>
      <c r="L44" s="1764"/>
      <c r="M44" s="1764"/>
      <c r="N44" s="1765"/>
    </row>
    <row r="45" spans="2:14">
      <c r="B45" s="1766" t="s">
        <v>189</v>
      </c>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436" t="s">
        <v>38</v>
      </c>
      <c r="K47" s="178" t="s">
        <v>115</v>
      </c>
      <c r="L47" s="1829" t="s">
        <v>190</v>
      </c>
      <c r="M47" s="1832"/>
      <c r="N47" s="179" t="s">
        <v>191</v>
      </c>
    </row>
    <row r="48" spans="2:14">
      <c r="B48" s="1839"/>
      <c r="C48" s="1840"/>
      <c r="D48" s="1840"/>
      <c r="E48" s="1840"/>
      <c r="F48" s="1840"/>
      <c r="G48" s="1840"/>
      <c r="H48" s="1840"/>
      <c r="I48" s="1841"/>
      <c r="J48" s="131"/>
      <c r="K48" s="144"/>
      <c r="L48" s="1852"/>
      <c r="M48" s="1853"/>
      <c r="N48" s="89"/>
    </row>
    <row r="49" spans="2:14">
      <c r="B49" s="1839"/>
      <c r="C49" s="1840"/>
      <c r="D49" s="1840"/>
      <c r="E49" s="1840"/>
      <c r="F49" s="1840"/>
      <c r="G49" s="1840"/>
      <c r="H49" s="1840"/>
      <c r="I49" s="1841"/>
      <c r="J49" s="131"/>
      <c r="K49" s="144"/>
      <c r="L49" s="1852"/>
      <c r="M49" s="1853"/>
      <c r="N49" s="89"/>
    </row>
    <row r="50" spans="2:14">
      <c r="B50" s="1839"/>
      <c r="C50" s="1840"/>
      <c r="D50" s="1840"/>
      <c r="E50" s="1840"/>
      <c r="F50" s="1840"/>
      <c r="G50" s="1840"/>
      <c r="H50" s="1840"/>
      <c r="I50" s="1841"/>
      <c r="J50" s="131"/>
      <c r="K50" s="144"/>
      <c r="L50" s="1852"/>
      <c r="M50" s="1853"/>
      <c r="N50" s="89"/>
    </row>
    <row r="51" spans="2:14">
      <c r="B51" s="1839"/>
      <c r="C51" s="1840"/>
      <c r="D51" s="1840"/>
      <c r="E51" s="1840"/>
      <c r="F51" s="1840"/>
      <c r="G51" s="1840"/>
      <c r="H51" s="1840"/>
      <c r="I51" s="1841"/>
      <c r="J51" s="131"/>
      <c r="K51" s="144"/>
      <c r="L51" s="1852"/>
      <c r="M51" s="1853"/>
      <c r="N51" s="89"/>
    </row>
    <row r="52" spans="2:14" ht="13.5" thickBot="1">
      <c r="B52" s="1839"/>
      <c r="C52" s="1840"/>
      <c r="D52" s="1840"/>
      <c r="E52" s="1840"/>
      <c r="F52" s="1840"/>
      <c r="G52" s="1840"/>
      <c r="H52" s="1840"/>
      <c r="I52" s="1841"/>
      <c r="J52" s="1441"/>
      <c r="K52" s="96"/>
      <c r="L52" s="1852"/>
      <c r="M52" s="1853"/>
      <c r="N52" s="89"/>
    </row>
    <row r="53" spans="2:14" ht="14.25" thickBot="1">
      <c r="B53" s="1848" t="s">
        <v>188</v>
      </c>
      <c r="C53" s="1849"/>
      <c r="D53" s="1849"/>
      <c r="E53" s="1849"/>
      <c r="F53" s="1849"/>
      <c r="G53" s="1849"/>
      <c r="H53" s="1849"/>
      <c r="I53" s="1849"/>
      <c r="J53" s="1849"/>
      <c r="K53" s="1849"/>
      <c r="L53" s="1849"/>
      <c r="M53" s="1850"/>
      <c r="N53" s="99">
        <v>0</v>
      </c>
    </row>
    <row r="54" spans="2:14">
      <c r="B54" s="1763" t="s">
        <v>51</v>
      </c>
      <c r="C54" s="1764"/>
      <c r="D54" s="1764"/>
      <c r="E54" s="1764"/>
      <c r="F54" s="1764"/>
      <c r="G54" s="1764"/>
      <c r="H54" s="1764"/>
      <c r="I54" s="1764"/>
      <c r="J54" s="1764"/>
      <c r="K54" s="1764"/>
      <c r="L54" s="1764"/>
      <c r="M54" s="1764"/>
      <c r="N54" s="1765"/>
    </row>
    <row r="55" spans="2:14">
      <c r="B55" s="1766" t="s">
        <v>51</v>
      </c>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439" t="s">
        <v>194</v>
      </c>
      <c r="K57" s="182" t="s">
        <v>310</v>
      </c>
      <c r="L57" s="1829" t="s">
        <v>39</v>
      </c>
      <c r="M57" s="1832"/>
      <c r="N57" s="179" t="s">
        <v>191</v>
      </c>
    </row>
    <row r="58" spans="2:14">
      <c r="B58" s="1839"/>
      <c r="C58" s="1840"/>
      <c r="D58" s="1840"/>
      <c r="E58" s="1840"/>
      <c r="F58" s="1840"/>
      <c r="G58" s="1840"/>
      <c r="H58" s="1840"/>
      <c r="I58" s="158"/>
      <c r="J58" s="173"/>
      <c r="K58" s="158"/>
      <c r="L58" s="1859"/>
      <c r="M58" s="1860"/>
      <c r="N58" s="89">
        <v>0</v>
      </c>
    </row>
    <row r="59" spans="2:14" ht="13.5" thickBot="1">
      <c r="B59" s="1834"/>
      <c r="C59" s="1835"/>
      <c r="D59" s="1835"/>
      <c r="E59" s="1835"/>
      <c r="F59" s="1835"/>
      <c r="G59" s="1835"/>
      <c r="H59" s="1835"/>
      <c r="I59" s="102"/>
      <c r="J59" s="87"/>
      <c r="K59" s="102"/>
      <c r="L59" s="1837"/>
      <c r="M59" s="1838"/>
      <c r="N59" s="174"/>
    </row>
    <row r="60" spans="2:14" ht="14.25" thickBot="1">
      <c r="B60" s="1848" t="s">
        <v>188</v>
      </c>
      <c r="C60" s="1849"/>
      <c r="D60" s="1849"/>
      <c r="E60" s="1849"/>
      <c r="F60" s="1849"/>
      <c r="G60" s="1849"/>
      <c r="H60" s="1849"/>
      <c r="I60" s="1849"/>
      <c r="J60" s="1849"/>
      <c r="K60" s="1849"/>
      <c r="L60" s="1849"/>
      <c r="M60" s="1850"/>
      <c r="N60" s="91">
        <v>0</v>
      </c>
    </row>
    <row r="61" spans="2:14">
      <c r="B61" s="1763" t="s">
        <v>52</v>
      </c>
      <c r="C61" s="1764"/>
      <c r="D61" s="1764"/>
      <c r="E61" s="1764"/>
      <c r="F61" s="1764"/>
      <c r="G61" s="1764"/>
      <c r="H61" s="1764"/>
      <c r="I61" s="1764"/>
      <c r="J61" s="1764"/>
      <c r="K61" s="1764"/>
      <c r="L61" s="1764"/>
      <c r="M61" s="1764"/>
      <c r="N61" s="1765"/>
    </row>
    <row r="62" spans="2:14">
      <c r="B62" s="1766" t="s">
        <v>52</v>
      </c>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439" t="s">
        <v>46</v>
      </c>
      <c r="K64" s="182" t="s">
        <v>197</v>
      </c>
      <c r="L64" s="1829" t="s">
        <v>186</v>
      </c>
      <c r="M64" s="1832"/>
      <c r="N64" s="179" t="s">
        <v>191</v>
      </c>
    </row>
    <row r="65" spans="2:14">
      <c r="B65" s="1442" t="s">
        <v>1483</v>
      </c>
      <c r="C65" s="1443"/>
      <c r="D65" s="1443"/>
      <c r="E65" s="1443"/>
      <c r="F65" s="1443"/>
      <c r="G65" s="1443"/>
      <c r="H65" s="1443"/>
      <c r="I65" s="107">
        <v>27400</v>
      </c>
      <c r="J65" s="108">
        <v>1.85</v>
      </c>
      <c r="K65" s="109">
        <v>50690</v>
      </c>
      <c r="L65" s="1861">
        <v>480</v>
      </c>
      <c r="M65" s="1862"/>
      <c r="N65" s="110">
        <v>105.60416666666667</v>
      </c>
    </row>
    <row r="66" spans="2:14">
      <c r="B66" s="1442"/>
      <c r="C66" s="1443"/>
      <c r="D66" s="1443"/>
      <c r="E66" s="1443"/>
      <c r="F66" s="1443"/>
      <c r="G66" s="1443"/>
      <c r="H66" s="1443"/>
      <c r="I66" s="107"/>
      <c r="J66" s="108"/>
      <c r="K66" s="109"/>
      <c r="L66" s="1861"/>
      <c r="M66" s="1862"/>
      <c r="N66" s="110"/>
    </row>
    <row r="67" spans="2:14">
      <c r="B67" s="1442"/>
      <c r="C67" s="1443"/>
      <c r="D67" s="1443"/>
      <c r="E67" s="1443"/>
      <c r="F67" s="1443"/>
      <c r="G67" s="1443"/>
      <c r="H67" s="1443"/>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105.60416666666667</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1855.6041666666667</v>
      </c>
    </row>
    <row r="72" spans="2:14">
      <c r="B72" s="1763" t="s">
        <v>53</v>
      </c>
      <c r="C72" s="1764"/>
      <c r="D72" s="1764"/>
      <c r="E72" s="1764"/>
      <c r="F72" s="1764"/>
      <c r="G72" s="1764"/>
      <c r="H72" s="1764"/>
      <c r="I72" s="1764"/>
      <c r="J72" s="1764"/>
      <c r="K72" s="1764"/>
      <c r="L72" s="1764"/>
      <c r="M72" s="1764"/>
      <c r="N72" s="1765"/>
    </row>
    <row r="73" spans="2:14">
      <c r="B73" s="1766" t="s">
        <v>53</v>
      </c>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439"/>
      <c r="J75" s="1440"/>
      <c r="K75" s="184" t="s">
        <v>54</v>
      </c>
      <c r="L75" s="1857" t="s">
        <v>55</v>
      </c>
      <c r="M75" s="1858"/>
      <c r="N75" s="185"/>
    </row>
    <row r="76" spans="2:14">
      <c r="B76" s="1839" t="s">
        <v>44</v>
      </c>
      <c r="C76" s="1840"/>
      <c r="D76" s="1840"/>
      <c r="E76" s="1840"/>
      <c r="F76" s="1840"/>
      <c r="G76" s="1840"/>
      <c r="H76" s="1840"/>
      <c r="I76" s="113"/>
      <c r="J76" s="114"/>
      <c r="K76" s="192">
        <v>0.22</v>
      </c>
      <c r="L76" s="1877">
        <v>408.23291666666671</v>
      </c>
      <c r="M76" s="1878"/>
      <c r="N76" s="115"/>
    </row>
    <row r="77" spans="2:14">
      <c r="B77" s="116" t="s">
        <v>56</v>
      </c>
      <c r="C77" s="117"/>
      <c r="D77" s="117"/>
      <c r="E77" s="117"/>
      <c r="F77" s="117"/>
      <c r="G77" s="117"/>
      <c r="H77" s="117"/>
      <c r="I77" s="113"/>
      <c r="J77" s="114"/>
      <c r="K77" s="192">
        <v>0.05</v>
      </c>
      <c r="L77" s="1877">
        <v>92.780208333333348</v>
      </c>
      <c r="M77" s="1878"/>
      <c r="N77" s="115"/>
    </row>
    <row r="78" spans="2:14" ht="13.5" thickBot="1">
      <c r="B78" s="1437" t="s">
        <v>45</v>
      </c>
      <c r="C78" s="1438"/>
      <c r="D78" s="1438"/>
      <c r="E78" s="1438"/>
      <c r="F78" s="1438"/>
      <c r="G78" s="1438"/>
      <c r="H78" s="1438"/>
      <c r="I78" s="120"/>
      <c r="J78" s="121"/>
      <c r="K78" s="192">
        <v>0.05</v>
      </c>
      <c r="L78" s="1879">
        <v>92.780208333333348</v>
      </c>
      <c r="M78" s="1880"/>
      <c r="N78" s="115"/>
    </row>
    <row r="79" spans="2:14" ht="14.25" thickBot="1">
      <c r="B79" s="1848" t="s">
        <v>188</v>
      </c>
      <c r="C79" s="1849"/>
      <c r="D79" s="1849"/>
      <c r="E79" s="1849"/>
      <c r="F79" s="1849"/>
      <c r="G79" s="1849"/>
      <c r="H79" s="1849"/>
      <c r="I79" s="1849"/>
      <c r="J79" s="1849"/>
      <c r="K79" s="1849"/>
      <c r="L79" s="1849"/>
      <c r="M79" s="1850"/>
      <c r="N79" s="122">
        <v>593.79333333333341</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2449</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590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590273" r:id="rId3"/>
      </mc:Fallback>
    </mc:AlternateContent>
  </oleObjects>
  <mc:AlternateContent xmlns:mc="http://schemas.openxmlformats.org/markup-compatibility/2006">
    <mc:Choice Requires="x14">
      <controls>
        <mc:AlternateContent xmlns:mc="http://schemas.openxmlformats.org/markup-compatibility/2006">
          <mc:Choice Requires="x14">
            <control shapeId="1590274"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590275"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37" workbookViewId="0">
      <selection activeCell="O57" sqref="O57"/>
    </sheetView>
  </sheetViews>
  <sheetFormatPr baseColWidth="10" defaultColWidth="11.42578125" defaultRowHeight="12.75"/>
  <cols>
    <col min="1" max="1" width="3.140625" style="39" customWidth="1"/>
    <col min="2" max="8" width="11.42578125" style="39"/>
    <col min="9" max="12" width="11.5703125" style="39" bestFit="1" customWidth="1"/>
    <col min="13" max="13" width="11.42578125" style="39"/>
    <col min="14" max="14" width="15.42578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e">
        <f>+#REF!</f>
        <v>#REF!</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147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1464"/>
      <c r="D11" s="1464"/>
      <c r="E11" s="1464"/>
      <c r="F11" s="1464"/>
      <c r="G11" s="1464"/>
      <c r="H11" s="1464"/>
      <c r="I11" s="1464"/>
      <c r="J11" s="1464"/>
      <c r="K11" s="51"/>
      <c r="L11" s="52" t="e">
        <f>+#REF!</f>
        <v>#REF!</v>
      </c>
      <c r="M11" s="52" t="e">
        <f>+#REF!</f>
        <v>#REF!</v>
      </c>
      <c r="N11" s="53" t="e">
        <f>+#REF!</f>
        <v>#REF!</v>
      </c>
    </row>
    <row r="12" spans="2:14" ht="13.5">
      <c r="B12" s="1869" t="s">
        <v>717</v>
      </c>
      <c r="C12" s="1870"/>
      <c r="D12" s="1870"/>
      <c r="E12" s="1870"/>
      <c r="F12" s="1464"/>
      <c r="G12" s="1464"/>
      <c r="H12" s="1464" t="s">
        <v>718</v>
      </c>
      <c r="J12" s="1464"/>
      <c r="K12" s="51"/>
      <c r="N12" s="405"/>
    </row>
    <row r="13" spans="2:14" ht="13.5">
      <c r="B13" s="54" t="s">
        <v>239</v>
      </c>
      <c r="C13" s="55"/>
      <c r="D13" s="1810" t="e">
        <f>+#REF!</f>
        <v>#REF!</v>
      </c>
      <c r="E13" s="1810"/>
      <c r="F13" s="1810"/>
      <c r="G13" s="1810"/>
      <c r="H13" s="55"/>
      <c r="I13" s="55" t="s">
        <v>240</v>
      </c>
      <c r="J13" s="1810" t="e">
        <f>+#REF!</f>
        <v>#REF!</v>
      </c>
      <c r="K13" s="1810"/>
      <c r="L13" s="1810"/>
      <c r="M13" s="1810"/>
      <c r="N13" s="1466"/>
    </row>
    <row r="14" spans="2:14" ht="13.5">
      <c r="B14" s="54"/>
      <c r="C14" s="55"/>
      <c r="D14" s="1465"/>
      <c r="E14" s="1465"/>
      <c r="F14" s="1465"/>
      <c r="G14" s="1465"/>
      <c r="H14" s="55"/>
      <c r="I14" s="1465"/>
      <c r="J14" s="55"/>
      <c r="K14" s="1465"/>
      <c r="L14" s="1811"/>
      <c r="M14" s="1811"/>
      <c r="N14" s="1812"/>
    </row>
    <row r="15" spans="2:14" ht="13.5">
      <c r="B15" s="54"/>
      <c r="C15" s="55"/>
      <c r="D15" s="1465"/>
      <c r="E15" s="1465"/>
      <c r="F15" s="1465"/>
      <c r="G15" s="1465"/>
      <c r="H15" s="55"/>
      <c r="I15" s="1465"/>
      <c r="J15" s="55"/>
      <c r="K15" s="1465"/>
      <c r="L15" s="1465"/>
      <c r="M15" s="1465"/>
      <c r="N15" s="146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e">
        <f>+#REF!</f>
        <v>#REF!</v>
      </c>
      <c r="E19" s="71"/>
      <c r="F19" s="71"/>
      <c r="G19" s="1472" t="s">
        <v>233</v>
      </c>
      <c r="H19" s="1818" t="e">
        <f>+#REF!</f>
        <v>#REF!</v>
      </c>
      <c r="I19" s="1818"/>
      <c r="J19" s="1818"/>
      <c r="K19" s="1818"/>
      <c r="L19" s="1818"/>
      <c r="M19" s="1818"/>
      <c r="N19" s="73"/>
    </row>
    <row r="20" spans="2:14">
      <c r="B20" s="74" t="s">
        <v>242</v>
      </c>
      <c r="C20" s="75"/>
      <c r="D20" s="1819" t="e">
        <f>+#REF!</f>
        <v>#REF!</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1467"/>
      <c r="E22" s="1467"/>
      <c r="F22" s="1467"/>
      <c r="G22" s="1467"/>
      <c r="H22" s="1467"/>
      <c r="I22" s="1467"/>
      <c r="J22" s="1467"/>
      <c r="K22" s="1467"/>
      <c r="L22" s="1467"/>
      <c r="M22" s="78"/>
      <c r="N22" s="76"/>
    </row>
    <row r="23" spans="2:14">
      <c r="B23" s="74" t="s">
        <v>292</v>
      </c>
      <c r="C23" s="75"/>
      <c r="D23" s="1816" t="e">
        <f>+#REF!</f>
        <v>#REF!</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e">
        <f>+#REF!</f>
        <v>#REF!</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e">
        <f>+#REF!</f>
        <v>#REF!</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e">
        <f>+#REF!</f>
        <v>#REF!</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e">
        <f>+'PRESUPUESTO OFICIAL'!#REF!</f>
        <v>#REF!</v>
      </c>
      <c r="C34" s="1885" t="e">
        <f>VLOOKUP(B34,'PRESUPUESTO OFICIAL'!D15:D73: 'PRESUPUESTO OFICIAL'!G15:G73,4,FALSE)</f>
        <v>#REF!</v>
      </c>
      <c r="D34" s="1887"/>
      <c r="E34" s="1887"/>
      <c r="F34" s="1887"/>
      <c r="G34" s="1887"/>
      <c r="H34" s="1887"/>
      <c r="I34" s="1887"/>
      <c r="J34" s="1887"/>
      <c r="K34" s="1886"/>
      <c r="L34" s="1885" t="e">
        <f>VLOOKUP(B34,'PRESUPUESTO OFICIAL'!D15:D73: 'PRESUPUESTO OFICIAL'!H15:H73,5,FALSE)</f>
        <v>#REF!</v>
      </c>
      <c r="M34" s="1886"/>
      <c r="N34" s="177" t="e">
        <f>VLOOKUP(B34,'PRESUPUESTO OFICIAL'!D15:D73: 'PRESUPUESTO OFICIAL'!I15:I73,6,FALSE)</f>
        <v>#REF!</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490</v>
      </c>
      <c r="C39" s="1840"/>
      <c r="D39" s="1840"/>
      <c r="E39" s="1840"/>
      <c r="F39" s="1841"/>
      <c r="G39" s="1842"/>
      <c r="H39" s="1841"/>
      <c r="I39" s="1842"/>
      <c r="J39" s="1841"/>
      <c r="K39" s="88" t="e">
        <f>+#REF!</f>
        <v>#REF!</v>
      </c>
      <c r="L39" s="1859">
        <v>30</v>
      </c>
      <c r="M39" s="1860"/>
      <c r="N39" s="89" t="e">
        <f>+K39/L39</f>
        <v>#REF!</v>
      </c>
    </row>
    <row r="40" spans="2:14">
      <c r="B40" s="1839" t="s">
        <v>540</v>
      </c>
      <c r="C40" s="1840"/>
      <c r="D40" s="1840"/>
      <c r="E40" s="1840"/>
      <c r="F40" s="1841"/>
      <c r="G40" s="1842"/>
      <c r="H40" s="1841"/>
      <c r="I40" s="1842"/>
      <c r="J40" s="1841"/>
      <c r="K40" s="88" t="e">
        <f>+#REF!</f>
        <v>#REF!</v>
      </c>
      <c r="L40" s="1859">
        <v>30</v>
      </c>
      <c r="M40" s="1860"/>
      <c r="N40" s="89" t="e">
        <f>+K40/L40</f>
        <v>#REF!</v>
      </c>
    </row>
    <row r="41" spans="2:14" ht="13.5" thickBot="1">
      <c r="B41" s="1839" t="s">
        <v>258</v>
      </c>
      <c r="C41" s="1840"/>
      <c r="D41" s="1840"/>
      <c r="E41" s="1840"/>
      <c r="F41" s="1841"/>
      <c r="G41" s="1842"/>
      <c r="H41" s="1841"/>
      <c r="I41" s="1842"/>
      <c r="J41" s="1841"/>
      <c r="K41" s="88" t="e">
        <f>+#REF!</f>
        <v>#REF!</v>
      </c>
      <c r="L41" s="1859">
        <v>30</v>
      </c>
      <c r="M41" s="1860"/>
      <c r="N41" s="89" t="e">
        <f>+K41/L41</f>
        <v>#REF!</v>
      </c>
    </row>
    <row r="42" spans="2:14" ht="14.25" thickBot="1">
      <c r="B42" s="1848" t="s">
        <v>188</v>
      </c>
      <c r="C42" s="1849"/>
      <c r="D42" s="1849"/>
      <c r="E42" s="1849"/>
      <c r="F42" s="1849"/>
      <c r="G42" s="1849"/>
      <c r="H42" s="1849"/>
      <c r="I42" s="1849"/>
      <c r="J42" s="1849"/>
      <c r="K42" s="1849"/>
      <c r="L42" s="1849"/>
      <c r="M42" s="1850"/>
      <c r="N42" s="91" t="e">
        <f>SUM(N39:N41)</f>
        <v>#REF!</v>
      </c>
    </row>
    <row r="43" spans="2:14">
      <c r="B43" s="1763" t="s">
        <v>189</v>
      </c>
      <c r="C43" s="1764"/>
      <c r="D43" s="1764"/>
      <c r="E43" s="1764"/>
      <c r="F43" s="1764"/>
      <c r="G43" s="1764"/>
      <c r="H43" s="1764"/>
      <c r="I43" s="1764"/>
      <c r="J43" s="1764"/>
      <c r="K43" s="1764"/>
      <c r="L43" s="1764"/>
      <c r="M43" s="1764"/>
      <c r="N43" s="1765"/>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463" t="s">
        <v>38</v>
      </c>
      <c r="K46" s="178" t="s">
        <v>115</v>
      </c>
      <c r="L46" s="1829" t="s">
        <v>190</v>
      </c>
      <c r="M46" s="1832"/>
      <c r="N46" s="179" t="s">
        <v>191</v>
      </c>
    </row>
    <row r="47" spans="2:14">
      <c r="B47" s="1839" t="s">
        <v>664</v>
      </c>
      <c r="C47" s="1840"/>
      <c r="D47" s="1840"/>
      <c r="E47" s="1840"/>
      <c r="F47" s="1840"/>
      <c r="G47" s="1840"/>
      <c r="H47" s="1840"/>
      <c r="I47" s="1841"/>
      <c r="J47" s="1458" t="s">
        <v>40</v>
      </c>
      <c r="K47" s="96">
        <v>1.3</v>
      </c>
      <c r="L47" s="1852" t="e">
        <f>+#REF!</f>
        <v>#REF!</v>
      </c>
      <c r="M47" s="1853"/>
      <c r="N47" s="89" t="e">
        <f>+L47*K47</f>
        <v>#REF!</v>
      </c>
    </row>
    <row r="48" spans="2:14" ht="13.5" thickBot="1">
      <c r="B48" s="1834"/>
      <c r="C48" s="1835"/>
      <c r="D48" s="1835"/>
      <c r="E48" s="1835"/>
      <c r="F48" s="1835"/>
      <c r="G48" s="1835"/>
      <c r="H48" s="1835"/>
      <c r="I48" s="1836"/>
      <c r="J48" s="86"/>
      <c r="K48" s="97"/>
      <c r="L48" s="1837"/>
      <c r="M48" s="1838"/>
      <c r="N48" s="98"/>
    </row>
    <row r="49" spans="2:15" ht="14.25" thickBot="1">
      <c r="B49" s="1848" t="s">
        <v>188</v>
      </c>
      <c r="C49" s="1849"/>
      <c r="D49" s="1849"/>
      <c r="E49" s="1849"/>
      <c r="F49" s="1849"/>
      <c r="G49" s="1849"/>
      <c r="H49" s="1849"/>
      <c r="I49" s="1849"/>
      <c r="J49" s="1849"/>
      <c r="K49" s="1849"/>
      <c r="L49" s="1849"/>
      <c r="M49" s="1850"/>
      <c r="N49" s="99" t="e">
        <f>SUM(N47:N48)</f>
        <v>#REF!</v>
      </c>
    </row>
    <row r="50" spans="2:15">
      <c r="B50" s="1763" t="s">
        <v>51</v>
      </c>
      <c r="C50" s="1764"/>
      <c r="D50" s="1764"/>
      <c r="E50" s="1764"/>
      <c r="F50" s="1764"/>
      <c r="G50" s="1764"/>
      <c r="H50" s="1764"/>
      <c r="I50" s="1764"/>
      <c r="J50" s="1764"/>
      <c r="K50" s="1764"/>
      <c r="L50" s="1764"/>
      <c r="M50" s="1764"/>
      <c r="N50" s="1765"/>
    </row>
    <row r="51" spans="2:15">
      <c r="B51" s="1766"/>
      <c r="C51" s="1767"/>
      <c r="D51" s="1767"/>
      <c r="E51" s="1767"/>
      <c r="F51" s="1767"/>
      <c r="G51" s="1767"/>
      <c r="H51" s="1767"/>
      <c r="I51" s="1767"/>
      <c r="J51" s="1767"/>
      <c r="K51" s="1767"/>
      <c r="L51" s="1767"/>
      <c r="M51" s="1767"/>
      <c r="N51" s="1768"/>
    </row>
    <row r="52" spans="2:15" ht="13.5" thickBot="1">
      <c r="B52" s="1769"/>
      <c r="C52" s="1770"/>
      <c r="D52" s="1770"/>
      <c r="E52" s="1770"/>
      <c r="F52" s="1770"/>
      <c r="G52" s="1770"/>
      <c r="H52" s="1770"/>
      <c r="I52" s="1770"/>
      <c r="J52" s="1770"/>
      <c r="K52" s="1770"/>
      <c r="L52" s="1770"/>
      <c r="M52" s="1770"/>
      <c r="N52" s="1771"/>
    </row>
    <row r="53" spans="2:15" ht="13.5">
      <c r="B53" s="1826" t="s">
        <v>192</v>
      </c>
      <c r="C53" s="1851"/>
      <c r="D53" s="1851"/>
      <c r="E53" s="1851"/>
      <c r="F53" s="1851"/>
      <c r="G53" s="1851"/>
      <c r="H53" s="1851"/>
      <c r="I53" s="178" t="s">
        <v>193</v>
      </c>
      <c r="J53" s="1461" t="s">
        <v>194</v>
      </c>
      <c r="K53" s="182" t="s">
        <v>310</v>
      </c>
      <c r="L53" s="1829" t="s">
        <v>39</v>
      </c>
      <c r="M53" s="1832"/>
      <c r="N53" s="179" t="s">
        <v>191</v>
      </c>
    </row>
    <row r="54" spans="2:15">
      <c r="B54" s="1839" t="s">
        <v>260</v>
      </c>
      <c r="C54" s="1840"/>
      <c r="D54" s="1840"/>
      <c r="E54" s="1840"/>
      <c r="F54" s="1840"/>
      <c r="G54" s="1840"/>
      <c r="H54" s="1840"/>
      <c r="I54" s="100">
        <v>1</v>
      </c>
      <c r="J54" s="93" t="e">
        <f>#REF!</f>
        <v>#REF!</v>
      </c>
      <c r="K54" s="100" t="e">
        <f>+J54*I54</f>
        <v>#REF!</v>
      </c>
      <c r="L54" s="1843" t="e">
        <f>#REF!</f>
        <v>#REF!</v>
      </c>
      <c r="M54" s="1844"/>
      <c r="N54" s="101" t="e">
        <f>+L54*K54</f>
        <v>#REF!</v>
      </c>
      <c r="O54" s="1419" t="e">
        <f>L47+N54</f>
        <v>#REF!</v>
      </c>
    </row>
    <row r="55" spans="2:15" ht="13.5" thickBot="1">
      <c r="B55" s="1834"/>
      <c r="C55" s="1835"/>
      <c r="D55" s="1835"/>
      <c r="E55" s="1835"/>
      <c r="F55" s="1835"/>
      <c r="G55" s="1835"/>
      <c r="H55" s="1835"/>
      <c r="I55" s="102"/>
      <c r="J55" s="87"/>
      <c r="K55" s="102"/>
      <c r="L55" s="1837"/>
      <c r="M55" s="1838"/>
      <c r="N55" s="103"/>
    </row>
    <row r="56" spans="2:15" ht="14.25" thickBot="1">
      <c r="B56" s="1848" t="s">
        <v>188</v>
      </c>
      <c r="C56" s="1849"/>
      <c r="D56" s="1849"/>
      <c r="E56" s="1849"/>
      <c r="F56" s="1849"/>
      <c r="G56" s="1849"/>
      <c r="H56" s="1849"/>
      <c r="I56" s="1849"/>
      <c r="J56" s="1849"/>
      <c r="K56" s="1849"/>
      <c r="L56" s="1849"/>
      <c r="M56" s="1850"/>
      <c r="N56" s="104" t="e">
        <f>SUM(N54:N55)</f>
        <v>#REF!</v>
      </c>
    </row>
    <row r="57" spans="2:15">
      <c r="B57" s="1763" t="s">
        <v>52</v>
      </c>
      <c r="C57" s="1764"/>
      <c r="D57" s="1764"/>
      <c r="E57" s="1764"/>
      <c r="F57" s="1764"/>
      <c r="G57" s="1764"/>
      <c r="H57" s="1764"/>
      <c r="I57" s="1764"/>
      <c r="J57" s="1764"/>
      <c r="K57" s="1764"/>
      <c r="L57" s="1764"/>
      <c r="M57" s="1764"/>
      <c r="N57" s="1765"/>
    </row>
    <row r="58" spans="2:15">
      <c r="B58" s="1766"/>
      <c r="C58" s="1767"/>
      <c r="D58" s="1767"/>
      <c r="E58" s="1767"/>
      <c r="F58" s="1767"/>
      <c r="G58" s="1767"/>
      <c r="H58" s="1767"/>
      <c r="I58" s="1767"/>
      <c r="J58" s="1767"/>
      <c r="K58" s="1767"/>
      <c r="L58" s="1767"/>
      <c r="M58" s="1767"/>
      <c r="N58" s="1768"/>
    </row>
    <row r="59" spans="2:15" ht="13.5" thickBot="1">
      <c r="B59" s="1769"/>
      <c r="C59" s="1770"/>
      <c r="D59" s="1770"/>
      <c r="E59" s="1770"/>
      <c r="F59" s="1770"/>
      <c r="G59" s="1770"/>
      <c r="H59" s="1770"/>
      <c r="I59" s="1770"/>
      <c r="J59" s="1770"/>
      <c r="K59" s="1770"/>
      <c r="L59" s="1770"/>
      <c r="M59" s="1770"/>
      <c r="N59" s="1771"/>
    </row>
    <row r="60" spans="2:15" ht="13.5">
      <c r="B60" s="1826" t="s">
        <v>195</v>
      </c>
      <c r="C60" s="1851"/>
      <c r="D60" s="1851"/>
      <c r="E60" s="1851"/>
      <c r="F60" s="1851"/>
      <c r="G60" s="1851"/>
      <c r="H60" s="1851"/>
      <c r="I60" s="178" t="s">
        <v>196</v>
      </c>
      <c r="J60" s="1461" t="s">
        <v>46</v>
      </c>
      <c r="K60" s="182" t="s">
        <v>197</v>
      </c>
      <c r="L60" s="1829" t="s">
        <v>186</v>
      </c>
      <c r="M60" s="1832"/>
      <c r="N60" s="179" t="s">
        <v>191</v>
      </c>
    </row>
    <row r="61" spans="2:15">
      <c r="B61" s="1468" t="s">
        <v>61</v>
      </c>
      <c r="C61" s="1469"/>
      <c r="D61" s="1469"/>
      <c r="E61" s="1469"/>
      <c r="F61" s="1469"/>
      <c r="G61" s="1469"/>
      <c r="H61" s="1469"/>
      <c r="I61" s="107" t="e">
        <f>+#REF!*2</f>
        <v>#REF!</v>
      </c>
      <c r="J61" s="108" t="e">
        <f>+#REF!</f>
        <v>#REF!</v>
      </c>
      <c r="K61" s="109" t="e">
        <f>+J61*I61</f>
        <v>#REF!</v>
      </c>
      <c r="L61" s="1861">
        <f>L40*8</f>
        <v>240</v>
      </c>
      <c r="M61" s="1862"/>
      <c r="N61" s="110" t="e">
        <f>+K61/L61</f>
        <v>#REF!</v>
      </c>
    </row>
    <row r="62" spans="2:15">
      <c r="B62" s="1468"/>
      <c r="C62" s="1469"/>
      <c r="D62" s="1469"/>
      <c r="E62" s="1469"/>
      <c r="F62" s="1469"/>
      <c r="G62" s="1469"/>
      <c r="H62" s="1469"/>
      <c r="I62" s="107"/>
      <c r="J62" s="108"/>
      <c r="K62" s="109"/>
      <c r="L62" s="1861"/>
      <c r="M62" s="1862"/>
      <c r="N62" s="110"/>
    </row>
    <row r="63" spans="2:15">
      <c r="B63" s="1468"/>
      <c r="C63" s="1469"/>
      <c r="D63" s="1469"/>
      <c r="E63" s="1469"/>
      <c r="F63" s="1469"/>
      <c r="G63" s="1469"/>
      <c r="H63" s="1469"/>
      <c r="I63" s="107"/>
      <c r="J63" s="108"/>
      <c r="K63" s="109"/>
      <c r="L63" s="1859"/>
      <c r="M63" s="1860"/>
      <c r="N63" s="110"/>
    </row>
    <row r="64" spans="2:15" ht="13.5" thickBot="1">
      <c r="B64" s="1834"/>
      <c r="C64" s="1835"/>
      <c r="D64" s="1835"/>
      <c r="E64" s="1835"/>
      <c r="F64" s="1835"/>
      <c r="G64" s="1835"/>
      <c r="H64" s="1835"/>
      <c r="I64" s="102"/>
      <c r="J64" s="87"/>
      <c r="K64" s="102"/>
      <c r="L64" s="1837"/>
      <c r="M64" s="1838"/>
      <c r="N64" s="111"/>
    </row>
    <row r="65" spans="2:14" ht="14.25" thickBot="1">
      <c r="B65" s="1848" t="s">
        <v>188</v>
      </c>
      <c r="C65" s="1849"/>
      <c r="D65" s="1849"/>
      <c r="E65" s="1849"/>
      <c r="F65" s="1849"/>
      <c r="G65" s="1849"/>
      <c r="H65" s="1849"/>
      <c r="I65" s="1849"/>
      <c r="J65" s="1849"/>
      <c r="K65" s="1849"/>
      <c r="L65" s="1849"/>
      <c r="M65" s="1850"/>
      <c r="N65" s="112" t="e">
        <f>SUM(N61:N64)</f>
        <v>#REF!</v>
      </c>
    </row>
    <row r="66" spans="2:14" ht="13.5" thickBot="1">
      <c r="B66" s="85"/>
      <c r="C66" s="66"/>
      <c r="D66" s="66"/>
      <c r="E66" s="66"/>
      <c r="F66" s="66"/>
      <c r="G66" s="66"/>
      <c r="H66" s="66"/>
      <c r="I66" s="66"/>
      <c r="J66" s="66"/>
      <c r="K66" s="66"/>
      <c r="L66" s="66"/>
      <c r="M66" s="66"/>
      <c r="N66" s="73"/>
    </row>
    <row r="67" spans="2:14" ht="13.5" thickBot="1">
      <c r="B67" s="1854" t="s">
        <v>198</v>
      </c>
      <c r="C67" s="1855"/>
      <c r="D67" s="1855"/>
      <c r="E67" s="1855"/>
      <c r="F67" s="1855"/>
      <c r="G67" s="1855"/>
      <c r="H67" s="1855"/>
      <c r="I67" s="1855"/>
      <c r="J67" s="1855"/>
      <c r="K67" s="1855"/>
      <c r="L67" s="1855"/>
      <c r="M67" s="1856"/>
      <c r="N67" s="186" t="e">
        <f>+N65+N56+N49+N42</f>
        <v>#REF!</v>
      </c>
    </row>
    <row r="68" spans="2:14">
      <c r="B68" s="1763" t="s">
        <v>53</v>
      </c>
      <c r="C68" s="1764"/>
      <c r="D68" s="1764"/>
      <c r="E68" s="1764"/>
      <c r="F68" s="1764"/>
      <c r="G68" s="1764"/>
      <c r="H68" s="1764"/>
      <c r="I68" s="1764"/>
      <c r="J68" s="1764"/>
      <c r="K68" s="1764"/>
      <c r="L68" s="1764"/>
      <c r="M68" s="1764"/>
      <c r="N68" s="1765"/>
    </row>
    <row r="69" spans="2:14">
      <c r="B69" s="1766"/>
      <c r="C69" s="1767"/>
      <c r="D69" s="1767"/>
      <c r="E69" s="1767"/>
      <c r="F69" s="1767"/>
      <c r="G69" s="1767"/>
      <c r="H69" s="1767"/>
      <c r="I69" s="1767"/>
      <c r="J69" s="1767"/>
      <c r="K69" s="1767"/>
      <c r="L69" s="1767"/>
      <c r="M69" s="1767"/>
      <c r="N69" s="1768"/>
    </row>
    <row r="70" spans="2:14" ht="13.5" thickBot="1">
      <c r="B70" s="1769"/>
      <c r="C70" s="1770"/>
      <c r="D70" s="1770"/>
      <c r="E70" s="1770"/>
      <c r="F70" s="1770"/>
      <c r="G70" s="1770"/>
      <c r="H70" s="1770"/>
      <c r="I70" s="1770"/>
      <c r="J70" s="1770"/>
      <c r="K70" s="1770"/>
      <c r="L70" s="1770"/>
      <c r="M70" s="1770"/>
      <c r="N70" s="1771"/>
    </row>
    <row r="71" spans="2:14" ht="13.5">
      <c r="B71" s="1826" t="s">
        <v>50</v>
      </c>
      <c r="C71" s="1851"/>
      <c r="D71" s="1851"/>
      <c r="E71" s="1851"/>
      <c r="F71" s="1851"/>
      <c r="G71" s="1851"/>
      <c r="H71" s="1851"/>
      <c r="I71" s="1461"/>
      <c r="J71" s="1462"/>
      <c r="K71" s="184" t="s">
        <v>54</v>
      </c>
      <c r="L71" s="1857" t="s">
        <v>55</v>
      </c>
      <c r="M71" s="1858"/>
      <c r="N71" s="185"/>
    </row>
    <row r="72" spans="2:14">
      <c r="B72" s="1839" t="s">
        <v>44</v>
      </c>
      <c r="C72" s="1840"/>
      <c r="D72" s="1840"/>
      <c r="E72" s="1840"/>
      <c r="F72" s="1840"/>
      <c r="G72" s="1840"/>
      <c r="H72" s="1840"/>
      <c r="I72" s="113"/>
      <c r="J72" s="114"/>
      <c r="K72" s="192" t="e">
        <f>+#REF!</f>
        <v>#REF!</v>
      </c>
      <c r="L72" s="1877" t="e">
        <f>+N67*K72</f>
        <v>#REF!</v>
      </c>
      <c r="M72" s="1878"/>
      <c r="N72" s="115"/>
    </row>
    <row r="73" spans="2:14">
      <c r="B73" s="116" t="s">
        <v>56</v>
      </c>
      <c r="C73" s="117"/>
      <c r="D73" s="117"/>
      <c r="E73" s="117"/>
      <c r="F73" s="117"/>
      <c r="G73" s="117"/>
      <c r="H73" s="117"/>
      <c r="I73" s="113"/>
      <c r="J73" s="114"/>
      <c r="K73" s="192" t="e">
        <f>+#REF!</f>
        <v>#REF!</v>
      </c>
      <c r="L73" s="1877" t="e">
        <f>+N67*K73</f>
        <v>#REF!</v>
      </c>
      <c r="M73" s="1878"/>
      <c r="N73" s="115"/>
    </row>
    <row r="74" spans="2:14" ht="13.5" thickBot="1">
      <c r="B74" s="1459" t="s">
        <v>45</v>
      </c>
      <c r="C74" s="1460"/>
      <c r="D74" s="1460"/>
      <c r="E74" s="1460"/>
      <c r="F74" s="1460"/>
      <c r="G74" s="1460"/>
      <c r="H74" s="1460"/>
      <c r="I74" s="120"/>
      <c r="J74" s="121"/>
      <c r="K74" s="192" t="e">
        <f>+#REF!</f>
        <v>#REF!</v>
      </c>
      <c r="L74" s="1879" t="e">
        <f>+N67*K74</f>
        <v>#REF!</v>
      </c>
      <c r="M74" s="1880"/>
      <c r="N74" s="115"/>
    </row>
    <row r="75" spans="2:14" ht="14.25" thickBot="1">
      <c r="B75" s="1848" t="s">
        <v>188</v>
      </c>
      <c r="C75" s="1849"/>
      <c r="D75" s="1849"/>
      <c r="E75" s="1849"/>
      <c r="F75" s="1849"/>
      <c r="G75" s="1849"/>
      <c r="H75" s="1849"/>
      <c r="I75" s="1849"/>
      <c r="J75" s="1849"/>
      <c r="K75" s="1849"/>
      <c r="L75" s="1849"/>
      <c r="M75" s="1850"/>
      <c r="N75" s="122" t="e">
        <f>SUM(L72:M74)</f>
        <v>#REF!</v>
      </c>
    </row>
    <row r="76" spans="2:14" ht="13.5" thickBot="1">
      <c r="B76" s="85"/>
      <c r="C76" s="66"/>
      <c r="D76" s="66"/>
      <c r="E76" s="66"/>
      <c r="F76" s="66"/>
      <c r="G76" s="66"/>
      <c r="H76" s="66"/>
      <c r="I76" s="66"/>
      <c r="J76" s="66"/>
      <c r="K76" s="66"/>
      <c r="L76" s="66"/>
      <c r="M76" s="66"/>
      <c r="N76" s="73"/>
    </row>
    <row r="77" spans="2:14" ht="13.5" thickBot="1">
      <c r="B77" s="1854" t="s">
        <v>199</v>
      </c>
      <c r="C77" s="1855"/>
      <c r="D77" s="1855"/>
      <c r="E77" s="1855"/>
      <c r="F77" s="1855"/>
      <c r="G77" s="1855"/>
      <c r="H77" s="1855"/>
      <c r="I77" s="1855"/>
      <c r="J77" s="1855"/>
      <c r="K77" s="1855"/>
      <c r="L77" s="1855"/>
      <c r="M77" s="1856"/>
      <c r="N77" s="188" t="e">
        <f>ROUND(N67+N75,0)</f>
        <v>#REF!</v>
      </c>
    </row>
    <row r="78" spans="2:14">
      <c r="B78" s="64"/>
      <c r="C78" s="65"/>
      <c r="D78" s="65"/>
      <c r="E78" s="65"/>
      <c r="F78" s="65"/>
      <c r="G78" s="65"/>
      <c r="H78" s="65"/>
      <c r="I78" s="65"/>
      <c r="J78" s="65"/>
      <c r="K78" s="65"/>
      <c r="L78" s="65"/>
      <c r="M78" s="65"/>
      <c r="N78" s="67"/>
    </row>
    <row r="79" spans="2:14">
      <c r="B79" s="85"/>
      <c r="C79" s="66"/>
      <c r="D79" s="66"/>
      <c r="E79" s="66"/>
      <c r="F79" s="66"/>
      <c r="G79" s="66"/>
      <c r="H79" s="66"/>
      <c r="I79" s="66"/>
      <c r="J79" s="66"/>
      <c r="K79" s="66"/>
      <c r="L79" s="66"/>
      <c r="M79" s="66"/>
      <c r="N79" s="73"/>
    </row>
    <row r="80" spans="2:14">
      <c r="B80" s="85"/>
      <c r="C80" s="66"/>
      <c r="D80" s="66"/>
      <c r="E80" s="66"/>
      <c r="F80" s="66"/>
      <c r="G80" s="66"/>
      <c r="H80" s="66"/>
      <c r="I80" s="66"/>
      <c r="J80" s="66"/>
      <c r="K80" s="66"/>
      <c r="L80" s="66"/>
      <c r="M80" s="66"/>
      <c r="N80" s="73"/>
    </row>
    <row r="81" spans="2:14">
      <c r="B81" s="85"/>
      <c r="C81" s="66"/>
      <c r="D81" s="66"/>
      <c r="E81" s="66"/>
      <c r="F81" s="66"/>
      <c r="G81" s="71" t="s">
        <v>249</v>
      </c>
      <c r="H81" s="71"/>
      <c r="I81" s="71"/>
      <c r="J81" s="71"/>
      <c r="K81" s="66"/>
      <c r="L81" s="66"/>
      <c r="M81" s="66"/>
      <c r="N81" s="73"/>
    </row>
    <row r="82" spans="2:14" ht="13.5">
      <c r="B82" s="123"/>
      <c r="C82" s="124"/>
      <c r="D82" s="124"/>
      <c r="E82" s="124"/>
      <c r="F82" s="124"/>
      <c r="G82" s="71" t="s">
        <v>250</v>
      </c>
      <c r="H82" s="124"/>
      <c r="I82" s="124"/>
      <c r="J82" s="124"/>
      <c r="K82" s="124"/>
      <c r="L82" s="124"/>
      <c r="M82" s="124"/>
      <c r="N82" s="125"/>
    </row>
    <row r="83" spans="2:14" ht="13.5">
      <c r="B83" s="123"/>
      <c r="C83" s="124"/>
      <c r="D83" s="124"/>
      <c r="E83" s="124"/>
      <c r="F83" s="124"/>
      <c r="G83" s="71" t="s">
        <v>251</v>
      </c>
      <c r="J83" s="124"/>
      <c r="K83" s="124"/>
      <c r="L83" s="124"/>
      <c r="M83" s="124"/>
      <c r="N83" s="125"/>
    </row>
    <row r="84" spans="2:14">
      <c r="B84" s="49"/>
      <c r="C84" s="81"/>
      <c r="D84" s="81"/>
      <c r="E84" s="81"/>
      <c r="F84" s="81"/>
      <c r="G84" s="71" t="s">
        <v>252</v>
      </c>
      <c r="H84" s="81"/>
      <c r="I84" s="81"/>
      <c r="J84" s="81"/>
      <c r="K84" s="81"/>
      <c r="L84" s="81"/>
      <c r="M84" s="81"/>
      <c r="N84" s="79"/>
    </row>
    <row r="85" spans="2:14">
      <c r="B85" s="85"/>
      <c r="C85" s="66"/>
      <c r="D85" s="66"/>
      <c r="E85" s="66"/>
      <c r="F85" s="66"/>
      <c r="G85" s="66" t="s">
        <v>253</v>
      </c>
      <c r="H85" s="66"/>
      <c r="I85" s="66"/>
      <c r="J85" s="66"/>
      <c r="K85" s="66"/>
      <c r="L85" s="66"/>
      <c r="M85" s="66"/>
      <c r="N85" s="73"/>
    </row>
    <row r="86" spans="2:14" ht="13.5">
      <c r="B86" s="92" t="s">
        <v>254</v>
      </c>
      <c r="C86" s="93"/>
      <c r="D86" s="93"/>
      <c r="E86" s="93"/>
      <c r="F86" s="93"/>
      <c r="G86" s="93"/>
      <c r="H86" s="93"/>
      <c r="I86" s="93"/>
      <c r="J86" s="93"/>
      <c r="K86" s="93"/>
      <c r="L86" s="93"/>
      <c r="M86" s="93"/>
      <c r="N86" s="94"/>
    </row>
    <row r="87" spans="2:14">
      <c r="B87" s="1874"/>
      <c r="C87" s="1875"/>
      <c r="D87" s="1875"/>
      <c r="E87" s="1875"/>
      <c r="F87" s="1875"/>
      <c r="G87" s="1875"/>
      <c r="H87" s="1875"/>
      <c r="I87" s="1875"/>
      <c r="J87" s="1875"/>
      <c r="K87" s="1875"/>
      <c r="L87" s="1875"/>
      <c r="M87" s="1875"/>
      <c r="N87" s="1876"/>
    </row>
    <row r="88" spans="2:14">
      <c r="B88" s="1874"/>
      <c r="C88" s="1875"/>
      <c r="D88" s="1875"/>
      <c r="E88" s="1875"/>
      <c r="F88" s="1875"/>
      <c r="G88" s="1875"/>
      <c r="H88" s="1875"/>
      <c r="I88" s="1875"/>
      <c r="J88" s="1875"/>
      <c r="K88" s="1875"/>
      <c r="L88" s="1875"/>
      <c r="M88" s="1875"/>
      <c r="N88" s="1876"/>
    </row>
    <row r="89" spans="2:14">
      <c r="B89" s="49"/>
      <c r="C89" s="81"/>
      <c r="D89" s="81"/>
      <c r="E89" s="81"/>
      <c r="F89" s="81"/>
      <c r="G89" s="81"/>
      <c r="H89" s="81"/>
      <c r="I89" s="81"/>
      <c r="J89" s="81"/>
      <c r="K89" s="81"/>
      <c r="L89" s="81"/>
      <c r="M89" s="81"/>
      <c r="N89" s="79"/>
    </row>
    <row r="90" spans="2:14">
      <c r="B90" s="406" t="s">
        <v>719</v>
      </c>
      <c r="C90" s="81"/>
      <c r="D90" s="81"/>
      <c r="E90" s="81"/>
      <c r="F90" s="81"/>
      <c r="G90" s="81"/>
      <c r="H90" s="81"/>
      <c r="I90" s="81"/>
      <c r="J90" s="81"/>
      <c r="K90" s="81"/>
      <c r="L90" s="81"/>
      <c r="M90" s="81"/>
      <c r="N90" s="79"/>
    </row>
    <row r="91" spans="2:14" ht="12.75" customHeight="1">
      <c r="B91" s="1871" t="s">
        <v>720</v>
      </c>
      <c r="C91" s="1872"/>
      <c r="D91" s="1872"/>
      <c r="E91" s="1872"/>
      <c r="F91" s="1872"/>
      <c r="G91" s="1872"/>
      <c r="H91" s="1872"/>
      <c r="I91" s="1872"/>
      <c r="J91" s="1872"/>
      <c r="K91" s="1872"/>
      <c r="L91" s="1872"/>
      <c r="M91" s="1872"/>
      <c r="N91" s="1873"/>
    </row>
    <row r="92" spans="2:14">
      <c r="B92" s="1871"/>
      <c r="C92" s="1872"/>
      <c r="D92" s="1872"/>
      <c r="E92" s="1872"/>
      <c r="F92" s="1872"/>
      <c r="G92" s="1872"/>
      <c r="H92" s="1872"/>
      <c r="I92" s="1872"/>
      <c r="J92" s="1872"/>
      <c r="K92" s="1872"/>
      <c r="L92" s="1872"/>
      <c r="M92" s="1872"/>
      <c r="N92" s="1873"/>
    </row>
    <row r="93" spans="2:14">
      <c r="B93" s="1871" t="s">
        <v>721</v>
      </c>
      <c r="C93" s="1872"/>
      <c r="D93" s="1872"/>
      <c r="E93" s="1872"/>
      <c r="F93" s="1872"/>
      <c r="G93" s="1872"/>
      <c r="H93" s="1872"/>
      <c r="I93" s="1872"/>
      <c r="J93" s="1872"/>
      <c r="K93" s="1872"/>
      <c r="L93" s="1872"/>
      <c r="M93" s="1872"/>
      <c r="N93" s="1873"/>
    </row>
    <row r="94" spans="2:14">
      <c r="B94" s="1871"/>
      <c r="C94" s="1872"/>
      <c r="D94" s="1872"/>
      <c r="E94" s="1872"/>
      <c r="F94" s="1872"/>
      <c r="G94" s="1872"/>
      <c r="H94" s="1872"/>
      <c r="I94" s="1872"/>
      <c r="J94" s="1872"/>
      <c r="K94" s="1872"/>
      <c r="L94" s="1872"/>
      <c r="M94" s="1872"/>
      <c r="N94" s="1873"/>
    </row>
    <row r="95" spans="2:14">
      <c r="B95" s="49"/>
      <c r="C95" s="81"/>
      <c r="D95" s="81"/>
      <c r="E95" s="81"/>
      <c r="F95" s="81"/>
      <c r="G95" s="81"/>
      <c r="H95" s="81"/>
      <c r="I95" s="81"/>
      <c r="J95" s="81"/>
      <c r="K95" s="81"/>
      <c r="L95" s="81"/>
      <c r="M95" s="81"/>
      <c r="N95" s="79"/>
    </row>
    <row r="96" spans="2:14">
      <c r="B96" s="85"/>
      <c r="C96" s="66"/>
      <c r="D96" s="66"/>
      <c r="E96" s="66"/>
      <c r="F96" s="66"/>
      <c r="G96" s="71" t="s">
        <v>249</v>
      </c>
      <c r="H96" s="66"/>
      <c r="I96" s="66"/>
      <c r="J96" s="66"/>
      <c r="K96" s="66"/>
      <c r="L96" s="66"/>
      <c r="M96" s="66"/>
      <c r="N96" s="73"/>
    </row>
    <row r="97" spans="2:14">
      <c r="B97" s="85"/>
      <c r="C97" s="66"/>
      <c r="D97" s="66"/>
      <c r="E97" s="66"/>
      <c r="F97" s="66"/>
      <c r="G97" s="66" t="s">
        <v>250</v>
      </c>
      <c r="H97" s="86"/>
      <c r="I97" s="86"/>
      <c r="J97" s="86"/>
      <c r="K97" s="66"/>
      <c r="L97" s="66"/>
      <c r="M97" s="66"/>
      <c r="N97" s="73"/>
    </row>
    <row r="98" spans="2:14">
      <c r="B98" s="85"/>
      <c r="C98" s="66"/>
      <c r="D98" s="66"/>
      <c r="E98" s="66"/>
      <c r="F98" s="66"/>
      <c r="G98" s="66" t="s">
        <v>255</v>
      </c>
      <c r="H98" s="80"/>
      <c r="I98" s="80"/>
      <c r="J98" s="80"/>
      <c r="M98" s="66"/>
      <c r="N98" s="73"/>
    </row>
    <row r="99" spans="2:14">
      <c r="B99" s="127"/>
      <c r="C99" s="81"/>
      <c r="D99" s="81"/>
      <c r="E99" s="81"/>
      <c r="F99" s="81"/>
      <c r="G99" s="66" t="s">
        <v>252</v>
      </c>
      <c r="K99" s="81"/>
      <c r="L99" s="81"/>
      <c r="M99" s="81"/>
      <c r="N99" s="79"/>
    </row>
    <row r="100" spans="2:14" ht="17.25" customHeight="1">
      <c r="B100" s="138" t="s">
        <v>722</v>
      </c>
      <c r="C100" s="128"/>
      <c r="D100" s="128"/>
      <c r="E100" s="66"/>
      <c r="F100" s="66"/>
      <c r="G100" s="66"/>
      <c r="H100" s="66"/>
      <c r="I100" s="66"/>
      <c r="J100" s="1863"/>
      <c r="K100" s="1863"/>
      <c r="L100" s="1863"/>
      <c r="M100" s="1863"/>
      <c r="N100" s="1864"/>
    </row>
    <row r="101" spans="2:14" ht="18.75" customHeight="1" thickBot="1">
      <c r="B101" s="1867" t="s">
        <v>723</v>
      </c>
      <c r="C101" s="1868"/>
      <c r="D101" s="1868"/>
      <c r="E101" s="87"/>
      <c r="F101" s="87"/>
      <c r="G101" s="87"/>
      <c r="H101" s="87"/>
      <c r="I101" s="87"/>
      <c r="J101" s="1865"/>
      <c r="K101" s="1865"/>
      <c r="L101" s="1865"/>
      <c r="M101" s="1865"/>
      <c r="N101" s="1866"/>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C34:K34"/>
    <mergeCell ref="L34:M34"/>
    <mergeCell ref="B35:N37"/>
    <mergeCell ref="B38:F38"/>
    <mergeCell ref="G38:H38"/>
    <mergeCell ref="I38:J38"/>
    <mergeCell ref="L38:M38"/>
    <mergeCell ref="D25:M25"/>
    <mergeCell ref="E27:M27"/>
    <mergeCell ref="G29:M29"/>
    <mergeCell ref="B31:N31"/>
    <mergeCell ref="C33:K33"/>
    <mergeCell ref="L33:M33"/>
    <mergeCell ref="N6:N8"/>
    <mergeCell ref="C8:J8"/>
    <mergeCell ref="B12:E12"/>
    <mergeCell ref="B2:B8"/>
    <mergeCell ref="C2:J2"/>
    <mergeCell ref="K2:K3"/>
    <mergeCell ref="L2:N3"/>
    <mergeCell ref="C3:J3"/>
    <mergeCell ref="C4:J4"/>
    <mergeCell ref="K4:K5"/>
    <mergeCell ref="L4:N5"/>
    <mergeCell ref="C5:J5"/>
    <mergeCell ref="C6:J7"/>
    <mergeCell ref="D23:M23"/>
    <mergeCell ref="K6:K8"/>
    <mergeCell ref="L6:L8"/>
    <mergeCell ref="M6:M8"/>
    <mergeCell ref="D13:G13"/>
    <mergeCell ref="J13:M13"/>
    <mergeCell ref="L14:N14"/>
    <mergeCell ref="H19:M19"/>
    <mergeCell ref="D20:M21"/>
  </mergeCells>
  <pageMargins left="0.7" right="0.7" top="0.75" bottom="0.75" header="0.3" footer="0.3"/>
  <drawing r:id="rId1"/>
  <legacyDrawing r:id="rId2"/>
  <oleObjects>
    <mc:AlternateContent xmlns:mc="http://schemas.openxmlformats.org/markup-compatibility/2006">
      <mc:Choice Requires="x14">
        <oleObject progId="PBrush" shapeId="168857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88577" r:id="rId3"/>
      </mc:Fallback>
    </mc:AlternateContent>
  </oleObjects>
  <mc:AlternateContent xmlns:mc="http://schemas.openxmlformats.org/markup-compatibility/2006">
    <mc:Choice Requires="x14">
      <controls>
        <mc:AlternateContent xmlns:mc="http://schemas.openxmlformats.org/markup-compatibility/2006">
          <mc:Choice Requires="x14">
            <control shapeId="1688578"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88579"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view="pageBreakPreview" topLeftCell="A31" zoomScale="60" zoomScaleNormal="100" workbookViewId="0">
      <selection sqref="A1:XFD1048576"/>
    </sheetView>
  </sheetViews>
  <sheetFormatPr baseColWidth="10" defaultColWidth="11.42578125" defaultRowHeight="12.75"/>
  <cols>
    <col min="1" max="1" width="3.140625" style="39" customWidth="1"/>
    <col min="2" max="8" width="11.42578125" style="39"/>
    <col min="9" max="10" width="11.5703125" style="39" bestFit="1" customWidth="1"/>
    <col min="11" max="11" width="16.140625" style="39" customWidth="1"/>
    <col min="12" max="12" width="11.5703125" style="39" bestFit="1" customWidth="1"/>
    <col min="13" max="13" width="11.42578125" style="39"/>
    <col min="14" max="14" width="15.42578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19"/>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411"/>
      <c r="D11" s="411"/>
      <c r="E11" s="411"/>
      <c r="F11" s="411"/>
      <c r="G11" s="411"/>
      <c r="H11" s="411"/>
      <c r="I11" s="411"/>
      <c r="J11" s="411"/>
      <c r="K11" s="51"/>
      <c r="L11" s="52" t="s">
        <v>294</v>
      </c>
      <c r="M11" s="52" t="s">
        <v>294</v>
      </c>
      <c r="N11" s="53" t="s">
        <v>294</v>
      </c>
    </row>
    <row r="12" spans="2:14" ht="13.5">
      <c r="B12" s="1869" t="s">
        <v>717</v>
      </c>
      <c r="C12" s="1870"/>
      <c r="D12" s="1870"/>
      <c r="E12" s="1870"/>
      <c r="F12" s="411"/>
      <c r="G12" s="411"/>
      <c r="H12" s="411" t="s">
        <v>718</v>
      </c>
      <c r="J12" s="411"/>
      <c r="K12" s="51"/>
      <c r="N12" s="405"/>
    </row>
    <row r="13" spans="2:14" ht="13.5">
      <c r="B13" s="54" t="s">
        <v>239</v>
      </c>
      <c r="C13" s="55"/>
      <c r="D13" s="1810" t="s">
        <v>293</v>
      </c>
      <c r="E13" s="1810"/>
      <c r="F13" s="1810"/>
      <c r="G13" s="1810"/>
      <c r="H13" s="55"/>
      <c r="I13" s="55" t="s">
        <v>240</v>
      </c>
      <c r="J13" s="1810" t="s">
        <v>293</v>
      </c>
      <c r="K13" s="1810"/>
      <c r="L13" s="1810"/>
      <c r="M13" s="1810"/>
      <c r="N13" s="414"/>
    </row>
    <row r="14" spans="2:14" ht="13.5">
      <c r="B14" s="54"/>
      <c r="C14" s="55"/>
      <c r="D14" s="413"/>
      <c r="E14" s="413"/>
      <c r="F14" s="413"/>
      <c r="G14" s="413"/>
      <c r="H14" s="55"/>
      <c r="I14" s="413"/>
      <c r="J14" s="55"/>
      <c r="K14" s="413"/>
      <c r="L14" s="1811"/>
      <c r="M14" s="1811"/>
      <c r="N14" s="1812"/>
    </row>
    <row r="15" spans="2:14" ht="13.5">
      <c r="B15" s="54"/>
      <c r="C15" s="55"/>
      <c r="D15" s="413"/>
      <c r="E15" s="413"/>
      <c r="F15" s="413"/>
      <c r="G15" s="413"/>
      <c r="H15" s="55"/>
      <c r="I15" s="413"/>
      <c r="J15" s="55"/>
      <c r="K15" s="413"/>
      <c r="L15" s="413"/>
      <c r="M15" s="413"/>
      <c r="N15" s="414"/>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420"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410"/>
      <c r="E22" s="410"/>
      <c r="F22" s="410"/>
      <c r="G22" s="410"/>
      <c r="H22" s="410"/>
      <c r="I22" s="410"/>
      <c r="J22" s="410"/>
      <c r="K22" s="410"/>
      <c r="L22" s="410"/>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1340</v>
      </c>
      <c r="C34" s="1885" t="s">
        <v>1339</v>
      </c>
      <c r="D34" s="1887"/>
      <c r="E34" s="1887"/>
      <c r="F34" s="1887"/>
      <c r="G34" s="1887"/>
      <c r="H34" s="1887"/>
      <c r="I34" s="1887"/>
      <c r="J34" s="1887"/>
      <c r="K34" s="1886"/>
      <c r="L34" s="1885" t="s">
        <v>111</v>
      </c>
      <c r="M34" s="1886"/>
      <c r="N34" s="177">
        <v>51894</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263</v>
      </c>
      <c r="C39" s="1840"/>
      <c r="D39" s="1840"/>
      <c r="E39" s="1840"/>
      <c r="F39" s="1841"/>
      <c r="G39" s="1842"/>
      <c r="H39" s="1841"/>
      <c r="I39" s="1842"/>
      <c r="J39" s="1841"/>
      <c r="K39" s="88">
        <v>129150</v>
      </c>
      <c r="L39" s="1859">
        <v>35</v>
      </c>
      <c r="M39" s="1860"/>
      <c r="N39" s="89">
        <v>3690</v>
      </c>
    </row>
    <row r="40" spans="2:14">
      <c r="B40" s="1839" t="s">
        <v>540</v>
      </c>
      <c r="C40" s="1840"/>
      <c r="D40" s="1840"/>
      <c r="E40" s="1840"/>
      <c r="F40" s="1841"/>
      <c r="G40" s="1842"/>
      <c r="H40" s="1841"/>
      <c r="I40" s="1842"/>
      <c r="J40" s="1841"/>
      <c r="K40" s="88">
        <v>94500</v>
      </c>
      <c r="L40" s="1859">
        <v>35</v>
      </c>
      <c r="M40" s="1860"/>
      <c r="N40" s="89">
        <v>2700</v>
      </c>
    </row>
    <row r="41" spans="2:14">
      <c r="B41" s="1839" t="s">
        <v>258</v>
      </c>
      <c r="C41" s="1840"/>
      <c r="D41" s="1840"/>
      <c r="E41" s="1840"/>
      <c r="F41" s="1841"/>
      <c r="G41" s="1842"/>
      <c r="H41" s="1841"/>
      <c r="I41" s="1842"/>
      <c r="J41" s="1841"/>
      <c r="K41" s="88">
        <v>57750</v>
      </c>
      <c r="L41" s="1859">
        <v>35</v>
      </c>
      <c r="M41" s="1860"/>
      <c r="N41" s="89">
        <v>1650</v>
      </c>
    </row>
    <row r="42" spans="2:14" ht="13.5" thickBot="1">
      <c r="B42" s="1839" t="s">
        <v>523</v>
      </c>
      <c r="C42" s="1840"/>
      <c r="D42" s="1840"/>
      <c r="E42" s="1840"/>
      <c r="F42" s="1841"/>
      <c r="G42" s="1842"/>
      <c r="H42" s="1841"/>
      <c r="I42" s="1842"/>
      <c r="J42" s="1841"/>
      <c r="K42" s="88">
        <v>2940</v>
      </c>
      <c r="L42" s="1859">
        <v>35</v>
      </c>
      <c r="M42" s="1860"/>
      <c r="N42" s="89">
        <v>84</v>
      </c>
    </row>
    <row r="43" spans="2:14" ht="14.25" thickBot="1">
      <c r="B43" s="1848" t="s">
        <v>188</v>
      </c>
      <c r="C43" s="1849"/>
      <c r="D43" s="1849"/>
      <c r="E43" s="1849"/>
      <c r="F43" s="1849"/>
      <c r="G43" s="1849"/>
      <c r="H43" s="1849"/>
      <c r="I43" s="1849"/>
      <c r="J43" s="1849"/>
      <c r="K43" s="1849"/>
      <c r="L43" s="1849"/>
      <c r="M43" s="1850"/>
      <c r="N43" s="91">
        <v>8124</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412" t="s">
        <v>38</v>
      </c>
      <c r="K47" s="178" t="s">
        <v>115</v>
      </c>
      <c r="L47" s="1829" t="s">
        <v>190</v>
      </c>
      <c r="M47" s="1832"/>
      <c r="N47" s="179" t="s">
        <v>191</v>
      </c>
    </row>
    <row r="48" spans="2:14">
      <c r="B48" s="1839" t="s">
        <v>1494</v>
      </c>
      <c r="C48" s="1840"/>
      <c r="D48" s="1840"/>
      <c r="E48" s="1840"/>
      <c r="F48" s="1840"/>
      <c r="G48" s="1840"/>
      <c r="H48" s="1840"/>
      <c r="I48" s="1841"/>
      <c r="J48" s="415" t="s">
        <v>40</v>
      </c>
      <c r="K48" s="96">
        <v>1.3</v>
      </c>
      <c r="L48" s="1852">
        <v>79800</v>
      </c>
      <c r="M48" s="1853"/>
      <c r="N48" s="89">
        <v>103740</v>
      </c>
    </row>
    <row r="49" spans="2:14" ht="13.5" thickBot="1">
      <c r="B49" s="1839"/>
      <c r="C49" s="1840"/>
      <c r="D49" s="1840"/>
      <c r="E49" s="1840"/>
      <c r="F49" s="1840"/>
      <c r="G49" s="1840"/>
      <c r="H49" s="1840"/>
      <c r="I49" s="1841"/>
      <c r="J49" s="131"/>
      <c r="K49" s="154"/>
      <c r="L49" s="1852"/>
      <c r="M49" s="1853"/>
      <c r="N49" s="89"/>
    </row>
    <row r="50" spans="2:14" ht="14.25" thickBot="1">
      <c r="B50" s="1848" t="s">
        <v>188</v>
      </c>
      <c r="C50" s="1849"/>
      <c r="D50" s="1849"/>
      <c r="E50" s="1849"/>
      <c r="F50" s="1849"/>
      <c r="G50" s="1849"/>
      <c r="H50" s="1849"/>
      <c r="I50" s="1849"/>
      <c r="J50" s="1849"/>
      <c r="K50" s="1849"/>
      <c r="L50" s="1849"/>
      <c r="M50" s="1850"/>
      <c r="N50" s="99">
        <v>103740</v>
      </c>
    </row>
    <row r="51" spans="2:14">
      <c r="B51" s="1763" t="s">
        <v>51</v>
      </c>
      <c r="C51" s="1764"/>
      <c r="D51" s="1764"/>
      <c r="E51" s="1764"/>
      <c r="F51" s="1764"/>
      <c r="G51" s="1764"/>
      <c r="H51" s="1764"/>
      <c r="I51" s="1764"/>
      <c r="J51" s="1764"/>
      <c r="K51" s="1764"/>
      <c r="L51" s="1764"/>
      <c r="M51" s="1764"/>
      <c r="N51" s="1765"/>
    </row>
    <row r="52" spans="2:14">
      <c r="B52" s="1766"/>
      <c r="C52" s="1767"/>
      <c r="D52" s="1767"/>
      <c r="E52" s="1767"/>
      <c r="F52" s="1767"/>
      <c r="G52" s="1767"/>
      <c r="H52" s="1767"/>
      <c r="I52" s="1767"/>
      <c r="J52" s="1767"/>
      <c r="K52" s="1767"/>
      <c r="L52" s="1767"/>
      <c r="M52" s="1767"/>
      <c r="N52" s="1768"/>
    </row>
    <row r="53" spans="2:14" ht="13.5" thickBot="1">
      <c r="B53" s="1769"/>
      <c r="C53" s="1770"/>
      <c r="D53" s="1770"/>
      <c r="E53" s="1770"/>
      <c r="F53" s="1770"/>
      <c r="G53" s="1770"/>
      <c r="H53" s="1770"/>
      <c r="I53" s="1770"/>
      <c r="J53" s="1770"/>
      <c r="K53" s="1770"/>
      <c r="L53" s="1770"/>
      <c r="M53" s="1770"/>
      <c r="N53" s="1771"/>
    </row>
    <row r="54" spans="2:14" ht="13.5">
      <c r="B54" s="1826" t="s">
        <v>192</v>
      </c>
      <c r="C54" s="1851"/>
      <c r="D54" s="1851"/>
      <c r="E54" s="1851"/>
      <c r="F54" s="1851"/>
      <c r="G54" s="1851"/>
      <c r="H54" s="1851"/>
      <c r="I54" s="178" t="s">
        <v>193</v>
      </c>
      <c r="J54" s="409" t="s">
        <v>194</v>
      </c>
      <c r="K54" s="182" t="s">
        <v>310</v>
      </c>
      <c r="L54" s="1829" t="s">
        <v>39</v>
      </c>
      <c r="M54" s="1832"/>
      <c r="N54" s="179" t="s">
        <v>191</v>
      </c>
    </row>
    <row r="55" spans="2:14">
      <c r="B55" s="1839"/>
      <c r="C55" s="1840"/>
      <c r="D55" s="1840"/>
      <c r="E55" s="1840"/>
      <c r="F55" s="1840"/>
      <c r="G55" s="1840"/>
      <c r="H55" s="1840"/>
      <c r="I55" s="100"/>
      <c r="J55" s="93"/>
      <c r="K55" s="100"/>
      <c r="L55" s="1843"/>
      <c r="M55" s="1844"/>
      <c r="N55" s="101"/>
    </row>
    <row r="56" spans="2:14" ht="13.5" thickBot="1">
      <c r="B56" s="1834"/>
      <c r="C56" s="1835"/>
      <c r="D56" s="1835"/>
      <c r="E56" s="1835"/>
      <c r="F56" s="1835"/>
      <c r="G56" s="1835"/>
      <c r="H56" s="1835"/>
      <c r="I56" s="102"/>
      <c r="J56" s="87"/>
      <c r="K56" s="102"/>
      <c r="L56" s="1837"/>
      <c r="M56" s="1838"/>
      <c r="N56" s="103"/>
    </row>
    <row r="57" spans="2:14" ht="14.25" thickBot="1">
      <c r="B57" s="1848" t="s">
        <v>188</v>
      </c>
      <c r="C57" s="1849"/>
      <c r="D57" s="1849"/>
      <c r="E57" s="1849"/>
      <c r="F57" s="1849"/>
      <c r="G57" s="1849"/>
      <c r="H57" s="1849"/>
      <c r="I57" s="1849"/>
      <c r="J57" s="1849"/>
      <c r="K57" s="1849"/>
      <c r="L57" s="1849"/>
      <c r="M57" s="1850"/>
      <c r="N57" s="104">
        <v>0</v>
      </c>
    </row>
    <row r="58" spans="2:14">
      <c r="B58" s="1763" t="s">
        <v>52</v>
      </c>
      <c r="C58" s="1764"/>
      <c r="D58" s="1764"/>
      <c r="E58" s="1764"/>
      <c r="F58" s="1764"/>
      <c r="G58" s="1764"/>
      <c r="H58" s="1764"/>
      <c r="I58" s="1764"/>
      <c r="J58" s="1764"/>
      <c r="K58" s="1764"/>
      <c r="L58" s="1764"/>
      <c r="M58" s="1764"/>
      <c r="N58" s="1765"/>
    </row>
    <row r="59" spans="2:14">
      <c r="B59" s="1766"/>
      <c r="C59" s="1767"/>
      <c r="D59" s="1767"/>
      <c r="E59" s="1767"/>
      <c r="F59" s="1767"/>
      <c r="G59" s="1767"/>
      <c r="H59" s="1767"/>
      <c r="I59" s="1767"/>
      <c r="J59" s="1767"/>
      <c r="K59" s="1767"/>
      <c r="L59" s="1767"/>
      <c r="M59" s="1767"/>
      <c r="N59" s="1768"/>
    </row>
    <row r="60" spans="2:14" ht="13.5" thickBot="1">
      <c r="B60" s="1769"/>
      <c r="C60" s="1770"/>
      <c r="D60" s="1770"/>
      <c r="E60" s="1770"/>
      <c r="F60" s="1770"/>
      <c r="G60" s="1770"/>
      <c r="H60" s="1770"/>
      <c r="I60" s="1770"/>
      <c r="J60" s="1770"/>
      <c r="K60" s="1770"/>
      <c r="L60" s="1770"/>
      <c r="M60" s="1770"/>
      <c r="N60" s="1771"/>
    </row>
    <row r="61" spans="2:14" ht="13.5">
      <c r="B61" s="1826" t="s">
        <v>195</v>
      </c>
      <c r="C61" s="1851"/>
      <c r="D61" s="1851"/>
      <c r="E61" s="1851"/>
      <c r="F61" s="1851"/>
      <c r="G61" s="1851"/>
      <c r="H61" s="1851"/>
      <c r="I61" s="178" t="s">
        <v>196</v>
      </c>
      <c r="J61" s="409" t="s">
        <v>46</v>
      </c>
      <c r="K61" s="182" t="s">
        <v>197</v>
      </c>
      <c r="L61" s="1829" t="s">
        <v>186</v>
      </c>
      <c r="M61" s="1832"/>
      <c r="N61" s="179" t="s">
        <v>191</v>
      </c>
    </row>
    <row r="62" spans="2:14">
      <c r="B62" s="417" t="s">
        <v>61</v>
      </c>
      <c r="C62" s="418"/>
      <c r="D62" s="418"/>
      <c r="E62" s="418"/>
      <c r="F62" s="418"/>
      <c r="G62" s="418"/>
      <c r="H62" s="418"/>
      <c r="I62" s="107">
        <v>54800</v>
      </c>
      <c r="J62" s="108">
        <v>1.85</v>
      </c>
      <c r="K62" s="109">
        <v>101380</v>
      </c>
      <c r="L62" s="1861">
        <v>280</v>
      </c>
      <c r="M62" s="1862"/>
      <c r="N62" s="110">
        <v>362.07142857142856</v>
      </c>
    </row>
    <row r="63" spans="2:14">
      <c r="B63" s="417"/>
      <c r="C63" s="418"/>
      <c r="D63" s="418"/>
      <c r="E63" s="418"/>
      <c r="F63" s="418"/>
      <c r="G63" s="418"/>
      <c r="H63" s="418"/>
      <c r="I63" s="107"/>
      <c r="J63" s="108"/>
      <c r="K63" s="109"/>
      <c r="L63" s="1861"/>
      <c r="M63" s="1862"/>
      <c r="N63" s="110"/>
    </row>
    <row r="64" spans="2:14">
      <c r="B64" s="417"/>
      <c r="C64" s="418"/>
      <c r="D64" s="418"/>
      <c r="E64" s="418"/>
      <c r="F64" s="418"/>
      <c r="G64" s="418"/>
      <c r="H64" s="418"/>
      <c r="I64" s="107"/>
      <c r="J64" s="108"/>
      <c r="K64" s="109"/>
      <c r="L64" s="1859"/>
      <c r="M64" s="1860"/>
      <c r="N64" s="110"/>
    </row>
    <row r="65" spans="2:14" ht="13.5" thickBot="1">
      <c r="B65" s="1834"/>
      <c r="C65" s="1835"/>
      <c r="D65" s="1835"/>
      <c r="E65" s="1835"/>
      <c r="F65" s="1835"/>
      <c r="G65" s="1835"/>
      <c r="H65" s="1835"/>
      <c r="I65" s="102"/>
      <c r="J65" s="87"/>
      <c r="K65" s="102"/>
      <c r="L65" s="1837"/>
      <c r="M65" s="1838"/>
      <c r="N65" s="111"/>
    </row>
    <row r="66" spans="2:14" ht="14.25" thickBot="1">
      <c r="B66" s="1848" t="s">
        <v>188</v>
      </c>
      <c r="C66" s="1849"/>
      <c r="D66" s="1849"/>
      <c r="E66" s="1849"/>
      <c r="F66" s="1849"/>
      <c r="G66" s="1849"/>
      <c r="H66" s="1849"/>
      <c r="I66" s="1849"/>
      <c r="J66" s="1849"/>
      <c r="K66" s="1849"/>
      <c r="L66" s="1849"/>
      <c r="M66" s="1850"/>
      <c r="N66" s="112">
        <v>362.07142857142856</v>
      </c>
    </row>
    <row r="67" spans="2:14" ht="13.5" thickBot="1">
      <c r="B67" s="85"/>
      <c r="C67" s="66"/>
      <c r="D67" s="66"/>
      <c r="E67" s="66"/>
      <c r="F67" s="66"/>
      <c r="G67" s="66"/>
      <c r="H67" s="66"/>
      <c r="I67" s="66"/>
      <c r="J67" s="66"/>
      <c r="K67" s="66"/>
      <c r="L67" s="66"/>
      <c r="M67" s="66"/>
      <c r="N67" s="73"/>
    </row>
    <row r="68" spans="2:14" ht="13.5" thickBot="1">
      <c r="B68" s="1854" t="s">
        <v>198</v>
      </c>
      <c r="C68" s="1855"/>
      <c r="D68" s="1855"/>
      <c r="E68" s="1855"/>
      <c r="F68" s="1855"/>
      <c r="G68" s="1855"/>
      <c r="H68" s="1855"/>
      <c r="I68" s="1855"/>
      <c r="J68" s="1855"/>
      <c r="K68" s="1855"/>
      <c r="L68" s="1855"/>
      <c r="M68" s="1856"/>
      <c r="N68" s="186">
        <v>112226.07142857143</v>
      </c>
    </row>
    <row r="69" spans="2:14">
      <c r="B69" s="1763" t="s">
        <v>53</v>
      </c>
      <c r="C69" s="1764"/>
      <c r="D69" s="1764"/>
      <c r="E69" s="1764"/>
      <c r="F69" s="1764"/>
      <c r="G69" s="1764"/>
      <c r="H69" s="1764"/>
      <c r="I69" s="1764"/>
      <c r="J69" s="1764"/>
      <c r="K69" s="1764"/>
      <c r="L69" s="1764"/>
      <c r="M69" s="1764"/>
      <c r="N69" s="1765"/>
    </row>
    <row r="70" spans="2:14">
      <c r="B70" s="1766"/>
      <c r="C70" s="1767"/>
      <c r="D70" s="1767"/>
      <c r="E70" s="1767"/>
      <c r="F70" s="1767"/>
      <c r="G70" s="1767"/>
      <c r="H70" s="1767"/>
      <c r="I70" s="1767"/>
      <c r="J70" s="1767"/>
      <c r="K70" s="1767"/>
      <c r="L70" s="1767"/>
      <c r="M70" s="1767"/>
      <c r="N70" s="1768"/>
    </row>
    <row r="71" spans="2:14" ht="13.5" thickBot="1">
      <c r="B71" s="1769"/>
      <c r="C71" s="1770"/>
      <c r="D71" s="1770"/>
      <c r="E71" s="1770"/>
      <c r="F71" s="1770"/>
      <c r="G71" s="1770"/>
      <c r="H71" s="1770"/>
      <c r="I71" s="1770"/>
      <c r="J71" s="1770"/>
      <c r="K71" s="1770"/>
      <c r="L71" s="1770"/>
      <c r="M71" s="1770"/>
      <c r="N71" s="1771"/>
    </row>
    <row r="72" spans="2:14" ht="13.5">
      <c r="B72" s="1826" t="s">
        <v>50</v>
      </c>
      <c r="C72" s="1851"/>
      <c r="D72" s="1851"/>
      <c r="E72" s="1851"/>
      <c r="F72" s="1851"/>
      <c r="G72" s="1851"/>
      <c r="H72" s="1851"/>
      <c r="I72" s="409"/>
      <c r="J72" s="416"/>
      <c r="K72" s="184" t="s">
        <v>54</v>
      </c>
      <c r="L72" s="1857" t="s">
        <v>55</v>
      </c>
      <c r="M72" s="1858"/>
      <c r="N72" s="185"/>
    </row>
    <row r="73" spans="2:14">
      <c r="B73" s="1839" t="s">
        <v>44</v>
      </c>
      <c r="C73" s="1840"/>
      <c r="D73" s="1840"/>
      <c r="E73" s="1840"/>
      <c r="F73" s="1840"/>
      <c r="G73" s="1840"/>
      <c r="H73" s="1840"/>
      <c r="I73" s="113"/>
      <c r="J73" s="114"/>
      <c r="K73" s="192">
        <v>0.22</v>
      </c>
      <c r="L73" s="1877">
        <v>24689.735714285714</v>
      </c>
      <c r="M73" s="1878"/>
      <c r="N73" s="115"/>
    </row>
    <row r="74" spans="2:14">
      <c r="B74" s="116" t="s">
        <v>56</v>
      </c>
      <c r="C74" s="117"/>
      <c r="D74" s="117"/>
      <c r="E74" s="117"/>
      <c r="F74" s="117"/>
      <c r="G74" s="117"/>
      <c r="H74" s="117"/>
      <c r="I74" s="113"/>
      <c r="J74" s="114"/>
      <c r="K74" s="192">
        <v>0.05</v>
      </c>
      <c r="L74" s="1877">
        <v>5611.3035714285725</v>
      </c>
      <c r="M74" s="1878"/>
      <c r="N74" s="115"/>
    </row>
    <row r="75" spans="2:14" ht="13.5" thickBot="1">
      <c r="B75" s="407" t="s">
        <v>45</v>
      </c>
      <c r="C75" s="408"/>
      <c r="D75" s="408"/>
      <c r="E75" s="408"/>
      <c r="F75" s="408"/>
      <c r="G75" s="408"/>
      <c r="H75" s="408"/>
      <c r="I75" s="120"/>
      <c r="J75" s="121"/>
      <c r="K75" s="192">
        <v>0.05</v>
      </c>
      <c r="L75" s="1879">
        <v>5611.3035714285725</v>
      </c>
      <c r="M75" s="1880"/>
      <c r="N75" s="115"/>
    </row>
    <row r="76" spans="2:14" ht="14.25" thickBot="1">
      <c r="B76" s="1848" t="s">
        <v>188</v>
      </c>
      <c r="C76" s="1849"/>
      <c r="D76" s="1849"/>
      <c r="E76" s="1849"/>
      <c r="F76" s="1849"/>
      <c r="G76" s="1849"/>
      <c r="H76" s="1849"/>
      <c r="I76" s="1849"/>
      <c r="J76" s="1849"/>
      <c r="K76" s="1849"/>
      <c r="L76" s="1849"/>
      <c r="M76" s="1850"/>
      <c r="N76" s="122">
        <v>35912.342857142859</v>
      </c>
    </row>
    <row r="77" spans="2:14" ht="13.5" thickBot="1">
      <c r="B77" s="85"/>
      <c r="C77" s="66"/>
      <c r="D77" s="66"/>
      <c r="E77" s="66"/>
      <c r="F77" s="66"/>
      <c r="G77" s="66"/>
      <c r="H77" s="66"/>
      <c r="I77" s="66"/>
      <c r="J77" s="66"/>
      <c r="K77" s="66"/>
      <c r="L77" s="66"/>
      <c r="M77" s="66"/>
      <c r="N77" s="73"/>
    </row>
    <row r="78" spans="2:14" ht="13.5" thickBot="1">
      <c r="B78" s="1854" t="s">
        <v>199</v>
      </c>
      <c r="C78" s="1855"/>
      <c r="D78" s="1855"/>
      <c r="E78" s="1855"/>
      <c r="F78" s="1855"/>
      <c r="G78" s="1855"/>
      <c r="H78" s="1855"/>
      <c r="I78" s="1855"/>
      <c r="J78" s="1855"/>
      <c r="K78" s="1855"/>
      <c r="L78" s="1855"/>
      <c r="M78" s="1856"/>
      <c r="N78" s="188">
        <v>148138</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249</v>
      </c>
      <c r="H82" s="71"/>
      <c r="I82" s="71"/>
      <c r="J82" s="71"/>
      <c r="K82" s="66"/>
      <c r="L82" s="66"/>
      <c r="M82" s="66"/>
      <c r="N82" s="73"/>
    </row>
    <row r="83" spans="2:14" ht="13.5">
      <c r="B83" s="123"/>
      <c r="C83" s="124"/>
      <c r="D83" s="124"/>
      <c r="E83" s="124"/>
      <c r="F83" s="124"/>
      <c r="G83" s="71" t="s">
        <v>250</v>
      </c>
      <c r="H83" s="124"/>
      <c r="I83" s="124"/>
      <c r="J83" s="124"/>
      <c r="K83" s="124"/>
      <c r="L83" s="124"/>
      <c r="M83" s="124"/>
      <c r="N83" s="125"/>
    </row>
    <row r="84" spans="2:14" ht="13.5">
      <c r="B84" s="123"/>
      <c r="C84" s="124"/>
      <c r="D84" s="124"/>
      <c r="E84" s="124"/>
      <c r="F84" s="124"/>
      <c r="G84" s="71" t="s">
        <v>251</v>
      </c>
      <c r="J84" s="124"/>
      <c r="K84" s="124"/>
      <c r="L84" s="124"/>
      <c r="M84" s="124"/>
      <c r="N84" s="125"/>
    </row>
    <row r="85" spans="2:14">
      <c r="B85" s="49"/>
      <c r="C85" s="81"/>
      <c r="D85" s="81"/>
      <c r="E85" s="81"/>
      <c r="F85" s="81"/>
      <c r="G85" s="71" t="s">
        <v>252</v>
      </c>
      <c r="H85" s="81"/>
      <c r="I85" s="81"/>
      <c r="J85" s="81"/>
      <c r="K85" s="81"/>
      <c r="L85" s="81"/>
      <c r="M85" s="81"/>
      <c r="N85" s="79"/>
    </row>
    <row r="86" spans="2:14">
      <c r="B86" s="85"/>
      <c r="C86" s="66"/>
      <c r="D86" s="66"/>
      <c r="E86" s="66"/>
      <c r="F86" s="66"/>
      <c r="G86" s="66" t="s">
        <v>253</v>
      </c>
      <c r="H86" s="66"/>
      <c r="I86" s="66"/>
      <c r="J86" s="66"/>
      <c r="K86" s="66"/>
      <c r="L86" s="66"/>
      <c r="M86" s="66"/>
      <c r="N86" s="73"/>
    </row>
    <row r="87" spans="2:14" ht="13.5">
      <c r="B87" s="92" t="s">
        <v>254</v>
      </c>
      <c r="C87" s="93"/>
      <c r="D87" s="93"/>
      <c r="E87" s="93"/>
      <c r="F87" s="93"/>
      <c r="G87" s="93"/>
      <c r="H87" s="93"/>
      <c r="I87" s="93"/>
      <c r="J87" s="93"/>
      <c r="K87" s="93"/>
      <c r="L87" s="93"/>
      <c r="M87" s="93"/>
      <c r="N87" s="94"/>
    </row>
    <row r="88" spans="2:14">
      <c r="B88" s="1874"/>
      <c r="C88" s="1875"/>
      <c r="D88" s="1875"/>
      <c r="E88" s="1875"/>
      <c r="F88" s="1875"/>
      <c r="G88" s="1875"/>
      <c r="H88" s="1875"/>
      <c r="I88" s="1875"/>
      <c r="J88" s="1875"/>
      <c r="K88" s="1875"/>
      <c r="L88" s="1875"/>
      <c r="M88" s="1875"/>
      <c r="N88" s="1876"/>
    </row>
    <row r="89" spans="2:14">
      <c r="B89" s="1874"/>
      <c r="C89" s="1875"/>
      <c r="D89" s="1875"/>
      <c r="E89" s="1875"/>
      <c r="F89" s="1875"/>
      <c r="G89" s="1875"/>
      <c r="H89" s="1875"/>
      <c r="I89" s="1875"/>
      <c r="J89" s="1875"/>
      <c r="K89" s="1875"/>
      <c r="L89" s="1875"/>
      <c r="M89" s="1875"/>
      <c r="N89" s="1876"/>
    </row>
    <row r="90" spans="2:14">
      <c r="B90" s="49"/>
      <c r="C90" s="81"/>
      <c r="D90" s="81"/>
      <c r="E90" s="81"/>
      <c r="F90" s="81"/>
      <c r="G90" s="81"/>
      <c r="H90" s="81"/>
      <c r="I90" s="81"/>
      <c r="J90" s="81"/>
      <c r="K90" s="81"/>
      <c r="L90" s="81"/>
      <c r="M90" s="81"/>
      <c r="N90" s="79"/>
    </row>
    <row r="91" spans="2:14">
      <c r="B91" s="406" t="s">
        <v>719</v>
      </c>
      <c r="C91" s="81"/>
      <c r="D91" s="81"/>
      <c r="E91" s="81"/>
      <c r="F91" s="81"/>
      <c r="G91" s="81"/>
      <c r="H91" s="81"/>
      <c r="I91" s="81"/>
      <c r="J91" s="81"/>
      <c r="K91" s="81"/>
      <c r="L91" s="81"/>
      <c r="M91" s="81"/>
      <c r="N91" s="79"/>
    </row>
    <row r="92" spans="2:14" ht="12.75" customHeight="1">
      <c r="B92" s="1871" t="s">
        <v>720</v>
      </c>
      <c r="C92" s="1872"/>
      <c r="D92" s="1872"/>
      <c r="E92" s="1872"/>
      <c r="F92" s="1872"/>
      <c r="G92" s="1872"/>
      <c r="H92" s="1872"/>
      <c r="I92" s="1872"/>
      <c r="J92" s="1872"/>
      <c r="K92" s="1872"/>
      <c r="L92" s="1872"/>
      <c r="M92" s="1872"/>
      <c r="N92" s="1873"/>
    </row>
    <row r="93" spans="2:14">
      <c r="B93" s="1871"/>
      <c r="C93" s="1872"/>
      <c r="D93" s="1872"/>
      <c r="E93" s="1872"/>
      <c r="F93" s="1872"/>
      <c r="G93" s="1872"/>
      <c r="H93" s="1872"/>
      <c r="I93" s="1872"/>
      <c r="J93" s="1872"/>
      <c r="K93" s="1872"/>
      <c r="L93" s="1872"/>
      <c r="M93" s="1872"/>
      <c r="N93" s="1873"/>
    </row>
    <row r="94" spans="2:14">
      <c r="B94" s="1871" t="s">
        <v>721</v>
      </c>
      <c r="C94" s="1872"/>
      <c r="D94" s="1872"/>
      <c r="E94" s="1872"/>
      <c r="F94" s="1872"/>
      <c r="G94" s="1872"/>
      <c r="H94" s="1872"/>
      <c r="I94" s="1872"/>
      <c r="J94" s="1872"/>
      <c r="K94" s="1872"/>
      <c r="L94" s="1872"/>
      <c r="M94" s="1872"/>
      <c r="N94" s="1873"/>
    </row>
    <row r="95" spans="2:14">
      <c r="B95" s="1871"/>
      <c r="C95" s="1872"/>
      <c r="D95" s="1872"/>
      <c r="E95" s="1872"/>
      <c r="F95" s="1872"/>
      <c r="G95" s="1872"/>
      <c r="H95" s="1872"/>
      <c r="I95" s="1872"/>
      <c r="J95" s="1872"/>
      <c r="K95" s="1872"/>
      <c r="L95" s="1872"/>
      <c r="M95" s="1872"/>
      <c r="N95" s="1873"/>
    </row>
    <row r="96" spans="2:14">
      <c r="B96" s="49"/>
      <c r="C96" s="81"/>
      <c r="D96" s="81"/>
      <c r="E96" s="81"/>
      <c r="F96" s="81"/>
      <c r="G96" s="81"/>
      <c r="H96" s="81"/>
      <c r="I96" s="81"/>
      <c r="J96" s="81"/>
      <c r="K96" s="81"/>
      <c r="L96" s="81"/>
      <c r="M96" s="81"/>
      <c r="N96" s="79"/>
    </row>
    <row r="97" spans="2:14">
      <c r="B97" s="85"/>
      <c r="C97" s="66"/>
      <c r="D97" s="66"/>
      <c r="E97" s="66"/>
      <c r="F97" s="66"/>
      <c r="G97" s="71" t="s">
        <v>249</v>
      </c>
      <c r="H97" s="66"/>
      <c r="I97" s="66"/>
      <c r="J97" s="66"/>
      <c r="K97" s="66"/>
      <c r="L97" s="66"/>
      <c r="M97" s="66"/>
      <c r="N97" s="73"/>
    </row>
    <row r="98" spans="2:14">
      <c r="B98" s="85"/>
      <c r="C98" s="66"/>
      <c r="D98" s="66"/>
      <c r="E98" s="66"/>
      <c r="F98" s="66"/>
      <c r="G98" s="66" t="s">
        <v>250</v>
      </c>
      <c r="H98" s="86"/>
      <c r="I98" s="86"/>
      <c r="J98" s="86"/>
      <c r="K98" s="66"/>
      <c r="L98" s="66"/>
      <c r="M98" s="66"/>
      <c r="N98" s="73"/>
    </row>
    <row r="99" spans="2:14">
      <c r="B99" s="85"/>
      <c r="C99" s="66"/>
      <c r="D99" s="66"/>
      <c r="E99" s="66"/>
      <c r="F99" s="66"/>
      <c r="G99" s="66" t="s">
        <v>255</v>
      </c>
      <c r="H99" s="80"/>
      <c r="I99" s="80"/>
      <c r="J99" s="80"/>
      <c r="M99" s="66"/>
      <c r="N99" s="73"/>
    </row>
    <row r="100" spans="2:14">
      <c r="B100" s="127"/>
      <c r="C100" s="81"/>
      <c r="D100" s="81"/>
      <c r="E100" s="81"/>
      <c r="F100" s="81"/>
      <c r="G100" s="66" t="s">
        <v>252</v>
      </c>
      <c r="K100" s="81"/>
      <c r="L100" s="81"/>
      <c r="M100" s="81"/>
      <c r="N100" s="79"/>
    </row>
    <row r="101" spans="2:14" ht="17.25" customHeight="1">
      <c r="B101" s="138" t="s">
        <v>722</v>
      </c>
      <c r="C101" s="128"/>
      <c r="D101" s="128"/>
      <c r="E101" s="66"/>
      <c r="F101" s="66"/>
      <c r="G101" s="66"/>
      <c r="H101" s="66"/>
      <c r="I101" s="66"/>
      <c r="J101" s="1863"/>
      <c r="K101" s="1863"/>
      <c r="L101" s="1863"/>
      <c r="M101" s="1863"/>
      <c r="N101" s="1864"/>
    </row>
    <row r="102" spans="2:14" ht="18.75" customHeight="1" thickBot="1">
      <c r="B102" s="1867" t="s">
        <v>723</v>
      </c>
      <c r="C102" s="1868"/>
      <c r="D102" s="1868"/>
      <c r="E102" s="87"/>
      <c r="F102" s="87"/>
      <c r="G102" s="87"/>
      <c r="H102" s="87"/>
      <c r="I102" s="87"/>
      <c r="J102" s="1865"/>
      <c r="K102" s="1865"/>
      <c r="L102" s="1865"/>
      <c r="M102" s="1865"/>
      <c r="N102" s="1866"/>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1:F41"/>
    <mergeCell ref="G41:H41"/>
    <mergeCell ref="I41:J41"/>
    <mergeCell ref="L41:M41"/>
    <mergeCell ref="B43:M43"/>
    <mergeCell ref="B47:I47"/>
    <mergeCell ref="L47:M47"/>
    <mergeCell ref="B48:I48"/>
    <mergeCell ref="L48:M48"/>
    <mergeCell ref="B49:I49"/>
    <mergeCell ref="L49:M49"/>
    <mergeCell ref="B50:M50"/>
    <mergeCell ref="B51:N53"/>
    <mergeCell ref="B54:H54"/>
    <mergeCell ref="L54:M54"/>
    <mergeCell ref="B55:H55"/>
    <mergeCell ref="L55:M55"/>
    <mergeCell ref="B56:H56"/>
    <mergeCell ref="L56:M56"/>
    <mergeCell ref="B57:M57"/>
    <mergeCell ref="B58:N60"/>
    <mergeCell ref="B61:H61"/>
    <mergeCell ref="L61:M61"/>
    <mergeCell ref="B72:H72"/>
    <mergeCell ref="L72:M72"/>
    <mergeCell ref="B73:H73"/>
    <mergeCell ref="L73:M73"/>
    <mergeCell ref="L62:M62"/>
    <mergeCell ref="L63:M63"/>
    <mergeCell ref="L64:M64"/>
    <mergeCell ref="B65:H65"/>
    <mergeCell ref="L65:M65"/>
    <mergeCell ref="B66:M66"/>
    <mergeCell ref="B92:N93"/>
    <mergeCell ref="B94:N95"/>
    <mergeCell ref="J101:N102"/>
    <mergeCell ref="B102:D102"/>
    <mergeCell ref="B42:F42"/>
    <mergeCell ref="G42:H42"/>
    <mergeCell ref="I42:J42"/>
    <mergeCell ref="L42:M42"/>
    <mergeCell ref="L74:M74"/>
    <mergeCell ref="L75:M75"/>
    <mergeCell ref="B76:M76"/>
    <mergeCell ref="B78:M78"/>
    <mergeCell ref="B88:N88"/>
    <mergeCell ref="B89:N89"/>
    <mergeCell ref="B68:M68"/>
    <mergeCell ref="B69:N71"/>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52633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526337" r:id="rId4"/>
      </mc:Fallback>
    </mc:AlternateContent>
  </oleObjects>
  <mc:AlternateContent xmlns:mc="http://schemas.openxmlformats.org/markup-compatibility/2006">
    <mc:Choice Requires="x14">
      <controls>
        <mc:AlternateContent xmlns:mc="http://schemas.openxmlformats.org/markup-compatibility/2006">
          <mc:Choice Requires="x14">
            <control shapeId="526338" r:id="rId6"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526339" r:id="rId7"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topLeftCell="A37" zoomScale="85" zoomScaleNormal="85" workbookViewId="0">
      <selection activeCell="L56" sqref="L56:M56"/>
    </sheetView>
  </sheetViews>
  <sheetFormatPr baseColWidth="10" defaultColWidth="11.42578125" defaultRowHeight="12.75"/>
  <cols>
    <col min="1" max="1" width="3.140625" style="39" customWidth="1"/>
    <col min="2" max="8" width="11.42578125" style="39"/>
    <col min="9" max="10" width="11.5703125" style="39" bestFit="1" customWidth="1"/>
    <col min="11" max="11" width="16.140625" style="39" customWidth="1"/>
    <col min="12" max="12" width="11.5703125" style="39" bestFit="1" customWidth="1"/>
    <col min="13" max="13" width="11.42578125" style="39"/>
    <col min="14" max="14" width="15.42578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e">
        <f>+#REF!</f>
        <v>#REF!</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147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1464"/>
      <c r="D11" s="1464"/>
      <c r="E11" s="1464"/>
      <c r="F11" s="1464"/>
      <c r="G11" s="1464"/>
      <c r="H11" s="1464"/>
      <c r="I11" s="1464"/>
      <c r="J11" s="1464"/>
      <c r="K11" s="51"/>
      <c r="L11" s="52" t="e">
        <f>+#REF!</f>
        <v>#REF!</v>
      </c>
      <c r="M11" s="52" t="e">
        <f>+#REF!</f>
        <v>#REF!</v>
      </c>
      <c r="N11" s="53" t="e">
        <f>+#REF!</f>
        <v>#REF!</v>
      </c>
    </row>
    <row r="12" spans="2:14" ht="13.5">
      <c r="B12" s="1869" t="s">
        <v>717</v>
      </c>
      <c r="C12" s="1870"/>
      <c r="D12" s="1870"/>
      <c r="E12" s="1870"/>
      <c r="F12" s="1464"/>
      <c r="G12" s="1464"/>
      <c r="H12" s="1464" t="s">
        <v>718</v>
      </c>
      <c r="J12" s="1464"/>
      <c r="K12" s="51"/>
      <c r="N12" s="405"/>
    </row>
    <row r="13" spans="2:14" ht="13.5">
      <c r="B13" s="54" t="s">
        <v>239</v>
      </c>
      <c r="C13" s="55"/>
      <c r="D13" s="1810" t="e">
        <f>+#REF!</f>
        <v>#REF!</v>
      </c>
      <c r="E13" s="1810"/>
      <c r="F13" s="1810"/>
      <c r="G13" s="1810"/>
      <c r="H13" s="55"/>
      <c r="I13" s="55" t="s">
        <v>240</v>
      </c>
      <c r="J13" s="1810" t="e">
        <f>+#REF!</f>
        <v>#REF!</v>
      </c>
      <c r="K13" s="1810"/>
      <c r="L13" s="1810"/>
      <c r="M13" s="1810"/>
      <c r="N13" s="1466"/>
    </row>
    <row r="14" spans="2:14" ht="13.5">
      <c r="B14" s="54"/>
      <c r="C14" s="55"/>
      <c r="D14" s="1465"/>
      <c r="E14" s="1465"/>
      <c r="F14" s="1465"/>
      <c r="G14" s="1465"/>
      <c r="H14" s="55"/>
      <c r="I14" s="1465"/>
      <c r="J14" s="55"/>
      <c r="K14" s="1465"/>
      <c r="L14" s="1811"/>
      <c r="M14" s="1811"/>
      <c r="N14" s="1812"/>
    </row>
    <row r="15" spans="2:14" ht="13.5">
      <c r="B15" s="54"/>
      <c r="C15" s="55"/>
      <c r="D15" s="1465"/>
      <c r="E15" s="1465"/>
      <c r="F15" s="1465"/>
      <c r="G15" s="1465"/>
      <c r="H15" s="55"/>
      <c r="I15" s="1465"/>
      <c r="J15" s="55"/>
      <c r="K15" s="1465"/>
      <c r="L15" s="1465"/>
      <c r="M15" s="1465"/>
      <c r="N15" s="146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e">
        <f>+#REF!</f>
        <v>#REF!</v>
      </c>
      <c r="E19" s="71"/>
      <c r="F19" s="71"/>
      <c r="G19" s="1472" t="s">
        <v>233</v>
      </c>
      <c r="H19" s="1818" t="e">
        <f>+#REF!</f>
        <v>#REF!</v>
      </c>
      <c r="I19" s="1818"/>
      <c r="J19" s="1818"/>
      <c r="K19" s="1818"/>
      <c r="L19" s="1818"/>
      <c r="M19" s="1818"/>
      <c r="N19" s="73"/>
    </row>
    <row r="20" spans="2:14">
      <c r="B20" s="74" t="s">
        <v>242</v>
      </c>
      <c r="C20" s="75"/>
      <c r="D20" s="1819" t="e">
        <f>+#REF!</f>
        <v>#REF!</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1467"/>
      <c r="E22" s="1467"/>
      <c r="F22" s="1467"/>
      <c r="G22" s="1467"/>
      <c r="H22" s="1467"/>
      <c r="I22" s="1467"/>
      <c r="J22" s="1467"/>
      <c r="K22" s="1467"/>
      <c r="L22" s="1467"/>
      <c r="M22" s="78"/>
      <c r="N22" s="76"/>
    </row>
    <row r="23" spans="2:14">
      <c r="B23" s="74" t="s">
        <v>292</v>
      </c>
      <c r="C23" s="75"/>
      <c r="D23" s="1816" t="e">
        <f>+#REF!</f>
        <v>#REF!</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e">
        <f>+#REF!</f>
        <v>#REF!</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e">
        <f>+#REF!</f>
        <v>#REF!</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e">
        <f>+#REF!</f>
        <v>#REF!</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tr">
        <f>'PRESUPUESTO OFICIAL'!D24</f>
        <v>351,10</v>
      </c>
      <c r="C34" s="1885" t="str">
        <f>VLOOKUP(B34,'PRESUPUESTO OFICIAL'!D15:D73: 'PRESUPUESTO OFICIAL'!G15:G73,4,FALSE)</f>
        <v>Base tratada con cemento  (no incluye suministro de cemento)</v>
      </c>
      <c r="D34" s="1887"/>
      <c r="E34" s="1887"/>
      <c r="F34" s="1887"/>
      <c r="G34" s="1887"/>
      <c r="H34" s="1887"/>
      <c r="I34" s="1887"/>
      <c r="J34" s="1887"/>
      <c r="K34" s="1886"/>
      <c r="L34" s="1885" t="str">
        <f>VLOOKUP(B34,'PRESUPUESTO OFICIAL'!D15:D73: 'PRESUPUESTO OFICIAL'!H15:H73,5,FALSE)</f>
        <v>m3</v>
      </c>
      <c r="M34" s="1886"/>
      <c r="N34" s="177">
        <f>VLOOKUP(B34,'PRESUPUESTO OFICIAL'!D15:D73: 'PRESUPUESTO OFICIAL'!I15:I73,6,FALSE)</f>
        <v>51894</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263</v>
      </c>
      <c r="C39" s="1840"/>
      <c r="D39" s="1840"/>
      <c r="E39" s="1840"/>
      <c r="F39" s="1841"/>
      <c r="G39" s="1842"/>
      <c r="H39" s="1841"/>
      <c r="I39" s="1842"/>
      <c r="J39" s="1841"/>
      <c r="K39" s="88" t="e">
        <f>+#REF!</f>
        <v>#REF!</v>
      </c>
      <c r="L39" s="1859">
        <v>35</v>
      </c>
      <c r="M39" s="1860"/>
      <c r="N39" s="89" t="e">
        <f>+K39/L39</f>
        <v>#REF!</v>
      </c>
    </row>
    <row r="40" spans="2:14">
      <c r="B40" s="1839" t="s">
        <v>540</v>
      </c>
      <c r="C40" s="1840"/>
      <c r="D40" s="1840"/>
      <c r="E40" s="1840"/>
      <c r="F40" s="1841"/>
      <c r="G40" s="1842"/>
      <c r="H40" s="1841"/>
      <c r="I40" s="1842"/>
      <c r="J40" s="1841"/>
      <c r="K40" s="88" t="e">
        <f>+#REF!</f>
        <v>#REF!</v>
      </c>
      <c r="L40" s="1859">
        <v>35</v>
      </c>
      <c r="M40" s="1860"/>
      <c r="N40" s="89" t="e">
        <f>+K40/L40</f>
        <v>#REF!</v>
      </c>
    </row>
    <row r="41" spans="2:14">
      <c r="B41" s="1839" t="s">
        <v>258</v>
      </c>
      <c r="C41" s="1840"/>
      <c r="D41" s="1840"/>
      <c r="E41" s="1840"/>
      <c r="F41" s="1841"/>
      <c r="G41" s="1842"/>
      <c r="H41" s="1841"/>
      <c r="I41" s="1842"/>
      <c r="J41" s="1841"/>
      <c r="K41" s="88" t="e">
        <f>+#REF!</f>
        <v>#REF!</v>
      </c>
      <c r="L41" s="1859">
        <v>35</v>
      </c>
      <c r="M41" s="1860"/>
      <c r="N41" s="89" t="e">
        <f>+K41/L41</f>
        <v>#REF!</v>
      </c>
    </row>
    <row r="42" spans="2:14" ht="13.5" thickBot="1">
      <c r="B42" s="1839" t="s">
        <v>523</v>
      </c>
      <c r="C42" s="1840"/>
      <c r="D42" s="1840"/>
      <c r="E42" s="1840"/>
      <c r="F42" s="1841"/>
      <c r="G42" s="1842"/>
      <c r="H42" s="1841"/>
      <c r="I42" s="1842"/>
      <c r="J42" s="1841"/>
      <c r="K42" s="88" t="e">
        <f>+#REF!</f>
        <v>#REF!</v>
      </c>
      <c r="L42" s="1859">
        <v>35</v>
      </c>
      <c r="M42" s="1860"/>
      <c r="N42" s="89" t="e">
        <f>+K42/L42</f>
        <v>#REF!</v>
      </c>
    </row>
    <row r="43" spans="2:14" ht="14.25" thickBot="1">
      <c r="B43" s="1848" t="s">
        <v>188</v>
      </c>
      <c r="C43" s="1849"/>
      <c r="D43" s="1849"/>
      <c r="E43" s="1849"/>
      <c r="F43" s="1849"/>
      <c r="G43" s="1849"/>
      <c r="H43" s="1849"/>
      <c r="I43" s="1849"/>
      <c r="J43" s="1849"/>
      <c r="K43" s="1849"/>
      <c r="L43" s="1849"/>
      <c r="M43" s="1850"/>
      <c r="N43" s="91" t="e">
        <f>SUM(N39:N42)</f>
        <v>#REF!</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463" t="s">
        <v>38</v>
      </c>
      <c r="K47" s="178" t="s">
        <v>115</v>
      </c>
      <c r="L47" s="1829" t="s">
        <v>190</v>
      </c>
      <c r="M47" s="1832"/>
      <c r="N47" s="179" t="s">
        <v>191</v>
      </c>
    </row>
    <row r="48" spans="2:14">
      <c r="B48" s="1839" t="s">
        <v>664</v>
      </c>
      <c r="C48" s="1840"/>
      <c r="D48" s="1840"/>
      <c r="E48" s="1840"/>
      <c r="F48" s="1840"/>
      <c r="G48" s="1840"/>
      <c r="H48" s="1840"/>
      <c r="I48" s="1841"/>
      <c r="J48" s="1458" t="s">
        <v>40</v>
      </c>
      <c r="K48" s="96">
        <v>1.3</v>
      </c>
      <c r="L48" s="1852" t="e">
        <f>+#REF!</f>
        <v>#REF!</v>
      </c>
      <c r="M48" s="1853"/>
      <c r="N48" s="89" t="e">
        <f>+L48*K48</f>
        <v>#REF!</v>
      </c>
    </row>
    <row r="49" spans="2:15" ht="13.5" thickBot="1">
      <c r="B49" s="1839"/>
      <c r="C49" s="1840"/>
      <c r="D49" s="1840"/>
      <c r="E49" s="1840"/>
      <c r="F49" s="1840"/>
      <c r="G49" s="1840"/>
      <c r="H49" s="1840"/>
      <c r="I49" s="1841"/>
      <c r="J49" s="131"/>
      <c r="K49" s="154"/>
      <c r="L49" s="1852"/>
      <c r="M49" s="1853"/>
      <c r="N49" s="89"/>
    </row>
    <row r="50" spans="2:15" ht="14.25" thickBot="1">
      <c r="B50" s="1848" t="s">
        <v>188</v>
      </c>
      <c r="C50" s="1849"/>
      <c r="D50" s="1849"/>
      <c r="E50" s="1849"/>
      <c r="F50" s="1849"/>
      <c r="G50" s="1849"/>
      <c r="H50" s="1849"/>
      <c r="I50" s="1849"/>
      <c r="J50" s="1849"/>
      <c r="K50" s="1849"/>
      <c r="L50" s="1849"/>
      <c r="M50" s="1850"/>
      <c r="N50" s="99" t="e">
        <f>SUM(N48:N49)</f>
        <v>#REF!</v>
      </c>
    </row>
    <row r="51" spans="2:15">
      <c r="B51" s="1763" t="s">
        <v>51</v>
      </c>
      <c r="C51" s="1764"/>
      <c r="D51" s="1764"/>
      <c r="E51" s="1764"/>
      <c r="F51" s="1764"/>
      <c r="G51" s="1764"/>
      <c r="H51" s="1764"/>
      <c r="I51" s="1764"/>
      <c r="J51" s="1764"/>
      <c r="K51" s="1764"/>
      <c r="L51" s="1764"/>
      <c r="M51" s="1764"/>
      <c r="N51" s="1765"/>
    </row>
    <row r="52" spans="2:15">
      <c r="B52" s="1766"/>
      <c r="C52" s="1767"/>
      <c r="D52" s="1767"/>
      <c r="E52" s="1767"/>
      <c r="F52" s="1767"/>
      <c r="G52" s="1767"/>
      <c r="H52" s="1767"/>
      <c r="I52" s="1767"/>
      <c r="J52" s="1767"/>
      <c r="K52" s="1767"/>
      <c r="L52" s="1767"/>
      <c r="M52" s="1767"/>
      <c r="N52" s="1768"/>
    </row>
    <row r="53" spans="2:15" ht="13.5" thickBot="1">
      <c r="B53" s="1769"/>
      <c r="C53" s="1770"/>
      <c r="D53" s="1770"/>
      <c r="E53" s="1770"/>
      <c r="F53" s="1770"/>
      <c r="G53" s="1770"/>
      <c r="H53" s="1770"/>
      <c r="I53" s="1770"/>
      <c r="J53" s="1770"/>
      <c r="K53" s="1770"/>
      <c r="L53" s="1770"/>
      <c r="M53" s="1770"/>
      <c r="N53" s="1771"/>
    </row>
    <row r="54" spans="2:15" ht="13.5">
      <c r="B54" s="1826" t="s">
        <v>192</v>
      </c>
      <c r="C54" s="1851"/>
      <c r="D54" s="1851"/>
      <c r="E54" s="1851"/>
      <c r="F54" s="1851"/>
      <c r="G54" s="1851"/>
      <c r="H54" s="1851"/>
      <c r="I54" s="178" t="s">
        <v>193</v>
      </c>
      <c r="J54" s="1461" t="s">
        <v>194</v>
      </c>
      <c r="K54" s="182" t="s">
        <v>310</v>
      </c>
      <c r="L54" s="1829" t="s">
        <v>39</v>
      </c>
      <c r="M54" s="1832"/>
      <c r="N54" s="179" t="s">
        <v>191</v>
      </c>
    </row>
    <row r="55" spans="2:15">
      <c r="B55" s="1839" t="s">
        <v>260</v>
      </c>
      <c r="C55" s="1840"/>
      <c r="D55" s="1840"/>
      <c r="E55" s="1840"/>
      <c r="F55" s="1840"/>
      <c r="G55" s="1840"/>
      <c r="H55" s="1840"/>
      <c r="I55" s="100">
        <v>1</v>
      </c>
      <c r="J55" s="93" t="e">
        <f>#REF!</f>
        <v>#REF!</v>
      </c>
      <c r="K55" s="100" t="e">
        <f>+J55*I55</f>
        <v>#REF!</v>
      </c>
      <c r="L55" s="1843" t="e">
        <f>#REF!</f>
        <v>#REF!</v>
      </c>
      <c r="M55" s="1844"/>
      <c r="N55" s="101" t="e">
        <f>+L55*K55</f>
        <v>#REF!</v>
      </c>
      <c r="O55" s="1419" t="e">
        <f>L48+N55</f>
        <v>#REF!</v>
      </c>
    </row>
    <row r="56" spans="2:15" ht="13.5" thickBot="1">
      <c r="B56" s="1834"/>
      <c r="C56" s="1835"/>
      <c r="D56" s="1835"/>
      <c r="E56" s="1835"/>
      <c r="F56" s="1835"/>
      <c r="G56" s="1835"/>
      <c r="H56" s="1835"/>
      <c r="I56" s="102"/>
      <c r="J56" s="87"/>
      <c r="K56" s="102"/>
      <c r="L56" s="1837"/>
      <c r="M56" s="1838"/>
      <c r="N56" s="103"/>
    </row>
    <row r="57" spans="2:15" ht="14.25" thickBot="1">
      <c r="B57" s="1848" t="s">
        <v>188</v>
      </c>
      <c r="C57" s="1849"/>
      <c r="D57" s="1849"/>
      <c r="E57" s="1849"/>
      <c r="F57" s="1849"/>
      <c r="G57" s="1849"/>
      <c r="H57" s="1849"/>
      <c r="I57" s="1849"/>
      <c r="J57" s="1849"/>
      <c r="K57" s="1849"/>
      <c r="L57" s="1849"/>
      <c r="M57" s="1850"/>
      <c r="N57" s="104" t="e">
        <f>SUM(N55:N56)</f>
        <v>#REF!</v>
      </c>
    </row>
    <row r="58" spans="2:15">
      <c r="B58" s="1763" t="s">
        <v>52</v>
      </c>
      <c r="C58" s="1764"/>
      <c r="D58" s="1764"/>
      <c r="E58" s="1764"/>
      <c r="F58" s="1764"/>
      <c r="G58" s="1764"/>
      <c r="H58" s="1764"/>
      <c r="I58" s="1764"/>
      <c r="J58" s="1764"/>
      <c r="K58" s="1764"/>
      <c r="L58" s="1764"/>
      <c r="M58" s="1764"/>
      <c r="N58" s="1765"/>
    </row>
    <row r="59" spans="2:15">
      <c r="B59" s="1766"/>
      <c r="C59" s="1767"/>
      <c r="D59" s="1767"/>
      <c r="E59" s="1767"/>
      <c r="F59" s="1767"/>
      <c r="G59" s="1767"/>
      <c r="H59" s="1767"/>
      <c r="I59" s="1767"/>
      <c r="J59" s="1767"/>
      <c r="K59" s="1767"/>
      <c r="L59" s="1767"/>
      <c r="M59" s="1767"/>
      <c r="N59" s="1768"/>
    </row>
    <row r="60" spans="2:15" ht="13.5" thickBot="1">
      <c r="B60" s="1769"/>
      <c r="C60" s="1770"/>
      <c r="D60" s="1770"/>
      <c r="E60" s="1770"/>
      <c r="F60" s="1770"/>
      <c r="G60" s="1770"/>
      <c r="H60" s="1770"/>
      <c r="I60" s="1770"/>
      <c r="J60" s="1770"/>
      <c r="K60" s="1770"/>
      <c r="L60" s="1770"/>
      <c r="M60" s="1770"/>
      <c r="N60" s="1771"/>
    </row>
    <row r="61" spans="2:15" ht="13.5">
      <c r="B61" s="1826" t="s">
        <v>195</v>
      </c>
      <c r="C61" s="1851"/>
      <c r="D61" s="1851"/>
      <c r="E61" s="1851"/>
      <c r="F61" s="1851"/>
      <c r="G61" s="1851"/>
      <c r="H61" s="1851"/>
      <c r="I61" s="178" t="s">
        <v>196</v>
      </c>
      <c r="J61" s="1461" t="s">
        <v>46</v>
      </c>
      <c r="K61" s="182" t="s">
        <v>197</v>
      </c>
      <c r="L61" s="1829" t="s">
        <v>186</v>
      </c>
      <c r="M61" s="1832"/>
      <c r="N61" s="179" t="s">
        <v>191</v>
      </c>
    </row>
    <row r="62" spans="2:15">
      <c r="B62" s="1468" t="s">
        <v>61</v>
      </c>
      <c r="C62" s="1469"/>
      <c r="D62" s="1469"/>
      <c r="E62" s="1469"/>
      <c r="F62" s="1469"/>
      <c r="G62" s="1469"/>
      <c r="H62" s="1469"/>
      <c r="I62" s="107" t="e">
        <f>+#REF!*2</f>
        <v>#REF!</v>
      </c>
      <c r="J62" s="108" t="e">
        <f>+#REF!</f>
        <v>#REF!</v>
      </c>
      <c r="K62" s="109" t="e">
        <f>+J62*I62</f>
        <v>#REF!</v>
      </c>
      <c r="L62" s="1861">
        <f>L39*8</f>
        <v>280</v>
      </c>
      <c r="M62" s="1862"/>
      <c r="N62" s="110" t="e">
        <f>+K62/L62</f>
        <v>#REF!</v>
      </c>
    </row>
    <row r="63" spans="2:15">
      <c r="B63" s="1468"/>
      <c r="C63" s="1469"/>
      <c r="D63" s="1469"/>
      <c r="E63" s="1469"/>
      <c r="F63" s="1469"/>
      <c r="G63" s="1469"/>
      <c r="H63" s="1469"/>
      <c r="I63" s="107"/>
      <c r="J63" s="108"/>
      <c r="K63" s="109"/>
      <c r="L63" s="1861"/>
      <c r="M63" s="1862"/>
      <c r="N63" s="110"/>
    </row>
    <row r="64" spans="2:15">
      <c r="B64" s="1468"/>
      <c r="C64" s="1469"/>
      <c r="D64" s="1469"/>
      <c r="E64" s="1469"/>
      <c r="F64" s="1469"/>
      <c r="G64" s="1469"/>
      <c r="H64" s="1469"/>
      <c r="I64" s="107"/>
      <c r="J64" s="108"/>
      <c r="K64" s="109"/>
      <c r="L64" s="1859"/>
      <c r="M64" s="1860"/>
      <c r="N64" s="110"/>
    </row>
    <row r="65" spans="2:14" ht="13.5" thickBot="1">
      <c r="B65" s="1834"/>
      <c r="C65" s="1835"/>
      <c r="D65" s="1835"/>
      <c r="E65" s="1835"/>
      <c r="F65" s="1835"/>
      <c r="G65" s="1835"/>
      <c r="H65" s="1835"/>
      <c r="I65" s="102"/>
      <c r="J65" s="87"/>
      <c r="K65" s="102"/>
      <c r="L65" s="1837"/>
      <c r="M65" s="1838"/>
      <c r="N65" s="111"/>
    </row>
    <row r="66" spans="2:14" ht="14.25" thickBot="1">
      <c r="B66" s="1848" t="s">
        <v>188</v>
      </c>
      <c r="C66" s="1849"/>
      <c r="D66" s="1849"/>
      <c r="E66" s="1849"/>
      <c r="F66" s="1849"/>
      <c r="G66" s="1849"/>
      <c r="H66" s="1849"/>
      <c r="I66" s="1849"/>
      <c r="J66" s="1849"/>
      <c r="K66" s="1849"/>
      <c r="L66" s="1849"/>
      <c r="M66" s="1850"/>
      <c r="N66" s="112" t="e">
        <f>SUM(N62:N65)</f>
        <v>#REF!</v>
      </c>
    </row>
    <row r="67" spans="2:14" ht="13.5" thickBot="1">
      <c r="B67" s="85"/>
      <c r="C67" s="66"/>
      <c r="D67" s="66"/>
      <c r="E67" s="66"/>
      <c r="F67" s="66"/>
      <c r="G67" s="66"/>
      <c r="H67" s="66"/>
      <c r="I67" s="66"/>
      <c r="J67" s="66"/>
      <c r="K67" s="66"/>
      <c r="L67" s="66"/>
      <c r="M67" s="66"/>
      <c r="N67" s="73"/>
    </row>
    <row r="68" spans="2:14" ht="13.5" thickBot="1">
      <c r="B68" s="1854" t="s">
        <v>198</v>
      </c>
      <c r="C68" s="1855"/>
      <c r="D68" s="1855"/>
      <c r="E68" s="1855"/>
      <c r="F68" s="1855"/>
      <c r="G68" s="1855"/>
      <c r="H68" s="1855"/>
      <c r="I68" s="1855"/>
      <c r="J68" s="1855"/>
      <c r="K68" s="1855"/>
      <c r="L68" s="1855"/>
      <c r="M68" s="1856"/>
      <c r="N68" s="186" t="e">
        <f>+N66+N57+N50+N43</f>
        <v>#REF!</v>
      </c>
    </row>
    <row r="69" spans="2:14">
      <c r="B69" s="1763" t="s">
        <v>53</v>
      </c>
      <c r="C69" s="1764"/>
      <c r="D69" s="1764"/>
      <c r="E69" s="1764"/>
      <c r="F69" s="1764"/>
      <c r="G69" s="1764"/>
      <c r="H69" s="1764"/>
      <c r="I69" s="1764"/>
      <c r="J69" s="1764"/>
      <c r="K69" s="1764"/>
      <c r="L69" s="1764"/>
      <c r="M69" s="1764"/>
      <c r="N69" s="1765"/>
    </row>
    <row r="70" spans="2:14">
      <c r="B70" s="1766"/>
      <c r="C70" s="1767"/>
      <c r="D70" s="1767"/>
      <c r="E70" s="1767"/>
      <c r="F70" s="1767"/>
      <c r="G70" s="1767"/>
      <c r="H70" s="1767"/>
      <c r="I70" s="1767"/>
      <c r="J70" s="1767"/>
      <c r="K70" s="1767"/>
      <c r="L70" s="1767"/>
      <c r="M70" s="1767"/>
      <c r="N70" s="1768"/>
    </row>
    <row r="71" spans="2:14" ht="13.5" thickBot="1">
      <c r="B71" s="1769"/>
      <c r="C71" s="1770"/>
      <c r="D71" s="1770"/>
      <c r="E71" s="1770"/>
      <c r="F71" s="1770"/>
      <c r="G71" s="1770"/>
      <c r="H71" s="1770"/>
      <c r="I71" s="1770"/>
      <c r="J71" s="1770"/>
      <c r="K71" s="1770"/>
      <c r="L71" s="1770"/>
      <c r="M71" s="1770"/>
      <c r="N71" s="1771"/>
    </row>
    <row r="72" spans="2:14" ht="13.5">
      <c r="B72" s="1826" t="s">
        <v>50</v>
      </c>
      <c r="C72" s="1851"/>
      <c r="D72" s="1851"/>
      <c r="E72" s="1851"/>
      <c r="F72" s="1851"/>
      <c r="G72" s="1851"/>
      <c r="H72" s="1851"/>
      <c r="I72" s="1461"/>
      <c r="J72" s="1462"/>
      <c r="K72" s="184" t="s">
        <v>54</v>
      </c>
      <c r="L72" s="1857" t="s">
        <v>55</v>
      </c>
      <c r="M72" s="1858"/>
      <c r="N72" s="185"/>
    </row>
    <row r="73" spans="2:14">
      <c r="B73" s="1839" t="s">
        <v>44</v>
      </c>
      <c r="C73" s="1840"/>
      <c r="D73" s="1840"/>
      <c r="E73" s="1840"/>
      <c r="F73" s="1840"/>
      <c r="G73" s="1840"/>
      <c r="H73" s="1840"/>
      <c r="I73" s="113"/>
      <c r="J73" s="114"/>
      <c r="K73" s="192" t="e">
        <f>+#REF!</f>
        <v>#REF!</v>
      </c>
      <c r="L73" s="1877" t="e">
        <f>+N68*K73</f>
        <v>#REF!</v>
      </c>
      <c r="M73" s="1878"/>
      <c r="N73" s="115"/>
    </row>
    <row r="74" spans="2:14">
      <c r="B74" s="116" t="s">
        <v>56</v>
      </c>
      <c r="C74" s="117"/>
      <c r="D74" s="117"/>
      <c r="E74" s="117"/>
      <c r="F74" s="117"/>
      <c r="G74" s="117"/>
      <c r="H74" s="117"/>
      <c r="I74" s="113"/>
      <c r="J74" s="114"/>
      <c r="K74" s="192" t="e">
        <f>+#REF!</f>
        <v>#REF!</v>
      </c>
      <c r="L74" s="1877" t="e">
        <f>+N68*K74</f>
        <v>#REF!</v>
      </c>
      <c r="M74" s="1878"/>
      <c r="N74" s="115"/>
    </row>
    <row r="75" spans="2:14" ht="13.5" thickBot="1">
      <c r="B75" s="1459" t="s">
        <v>45</v>
      </c>
      <c r="C75" s="1460"/>
      <c r="D75" s="1460"/>
      <c r="E75" s="1460"/>
      <c r="F75" s="1460"/>
      <c r="G75" s="1460"/>
      <c r="H75" s="1460"/>
      <c r="I75" s="120"/>
      <c r="J75" s="121"/>
      <c r="K75" s="192" t="e">
        <f>+#REF!</f>
        <v>#REF!</v>
      </c>
      <c r="L75" s="1879" t="e">
        <f>+N68*K75</f>
        <v>#REF!</v>
      </c>
      <c r="M75" s="1880"/>
      <c r="N75" s="115"/>
    </row>
    <row r="76" spans="2:14" ht="14.25" thickBot="1">
      <c r="B76" s="1848" t="s">
        <v>188</v>
      </c>
      <c r="C76" s="1849"/>
      <c r="D76" s="1849"/>
      <c r="E76" s="1849"/>
      <c r="F76" s="1849"/>
      <c r="G76" s="1849"/>
      <c r="H76" s="1849"/>
      <c r="I76" s="1849"/>
      <c r="J76" s="1849"/>
      <c r="K76" s="1849"/>
      <c r="L76" s="1849"/>
      <c r="M76" s="1850"/>
      <c r="N76" s="122" t="e">
        <f>SUM(L73:M75)</f>
        <v>#REF!</v>
      </c>
    </row>
    <row r="77" spans="2:14" ht="13.5" thickBot="1">
      <c r="B77" s="85"/>
      <c r="C77" s="66"/>
      <c r="D77" s="66"/>
      <c r="E77" s="66"/>
      <c r="F77" s="66"/>
      <c r="G77" s="66"/>
      <c r="H77" s="66"/>
      <c r="I77" s="66"/>
      <c r="J77" s="66"/>
      <c r="K77" s="66"/>
      <c r="L77" s="66"/>
      <c r="M77" s="66"/>
      <c r="N77" s="73"/>
    </row>
    <row r="78" spans="2:14" ht="13.5" thickBot="1">
      <c r="B78" s="1854" t="s">
        <v>199</v>
      </c>
      <c r="C78" s="1855"/>
      <c r="D78" s="1855"/>
      <c r="E78" s="1855"/>
      <c r="F78" s="1855"/>
      <c r="G78" s="1855"/>
      <c r="H78" s="1855"/>
      <c r="I78" s="1855"/>
      <c r="J78" s="1855"/>
      <c r="K78" s="1855"/>
      <c r="L78" s="1855"/>
      <c r="M78" s="1856"/>
      <c r="N78" s="188" t="e">
        <f>ROUND(N68+N76,0)</f>
        <v>#REF!</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249</v>
      </c>
      <c r="H82" s="71"/>
      <c r="I82" s="71"/>
      <c r="J82" s="71"/>
      <c r="K82" s="66"/>
      <c r="L82" s="66"/>
      <c r="M82" s="66"/>
      <c r="N82" s="73"/>
    </row>
    <row r="83" spans="2:14" ht="13.5">
      <c r="B83" s="123"/>
      <c r="C83" s="124"/>
      <c r="D83" s="124"/>
      <c r="E83" s="124"/>
      <c r="F83" s="124"/>
      <c r="G83" s="71" t="s">
        <v>250</v>
      </c>
      <c r="H83" s="124"/>
      <c r="I83" s="124"/>
      <c r="J83" s="124"/>
      <c r="K83" s="124"/>
      <c r="L83" s="124"/>
      <c r="M83" s="124"/>
      <c r="N83" s="125"/>
    </row>
    <row r="84" spans="2:14" ht="13.5">
      <c r="B84" s="123"/>
      <c r="C84" s="124"/>
      <c r="D84" s="124"/>
      <c r="E84" s="124"/>
      <c r="F84" s="124"/>
      <c r="G84" s="71" t="s">
        <v>251</v>
      </c>
      <c r="J84" s="124"/>
      <c r="K84" s="124"/>
      <c r="L84" s="124"/>
      <c r="M84" s="124"/>
      <c r="N84" s="125"/>
    </row>
    <row r="85" spans="2:14">
      <c r="B85" s="49"/>
      <c r="C85" s="81"/>
      <c r="D85" s="81"/>
      <c r="E85" s="81"/>
      <c r="F85" s="81"/>
      <c r="G85" s="71" t="s">
        <v>252</v>
      </c>
      <c r="H85" s="81"/>
      <c r="I85" s="81"/>
      <c r="J85" s="81"/>
      <c r="K85" s="81"/>
      <c r="L85" s="81"/>
      <c r="M85" s="81"/>
      <c r="N85" s="79"/>
    </row>
    <row r="86" spans="2:14">
      <c r="B86" s="85"/>
      <c r="C86" s="66"/>
      <c r="D86" s="66"/>
      <c r="E86" s="66"/>
      <c r="F86" s="66"/>
      <c r="G86" s="66" t="s">
        <v>253</v>
      </c>
      <c r="H86" s="66"/>
      <c r="I86" s="66"/>
      <c r="J86" s="66"/>
      <c r="K86" s="66"/>
      <c r="L86" s="66"/>
      <c r="M86" s="66"/>
      <c r="N86" s="73"/>
    </row>
    <row r="87" spans="2:14" ht="13.5">
      <c r="B87" s="92" t="s">
        <v>254</v>
      </c>
      <c r="C87" s="93"/>
      <c r="D87" s="93"/>
      <c r="E87" s="93"/>
      <c r="F87" s="93"/>
      <c r="G87" s="93"/>
      <c r="H87" s="93"/>
      <c r="I87" s="93"/>
      <c r="J87" s="93"/>
      <c r="K87" s="93"/>
      <c r="L87" s="93"/>
      <c r="M87" s="93"/>
      <c r="N87" s="94"/>
    </row>
    <row r="88" spans="2:14">
      <c r="B88" s="1874"/>
      <c r="C88" s="1875"/>
      <c r="D88" s="1875"/>
      <c r="E88" s="1875"/>
      <c r="F88" s="1875"/>
      <c r="G88" s="1875"/>
      <c r="H88" s="1875"/>
      <c r="I88" s="1875"/>
      <c r="J88" s="1875"/>
      <c r="K88" s="1875"/>
      <c r="L88" s="1875"/>
      <c r="M88" s="1875"/>
      <c r="N88" s="1876"/>
    </row>
    <row r="89" spans="2:14">
      <c r="B89" s="1874"/>
      <c r="C89" s="1875"/>
      <c r="D89" s="1875"/>
      <c r="E89" s="1875"/>
      <c r="F89" s="1875"/>
      <c r="G89" s="1875"/>
      <c r="H89" s="1875"/>
      <c r="I89" s="1875"/>
      <c r="J89" s="1875"/>
      <c r="K89" s="1875"/>
      <c r="L89" s="1875"/>
      <c r="M89" s="1875"/>
      <c r="N89" s="1876"/>
    </row>
    <row r="90" spans="2:14">
      <c r="B90" s="49"/>
      <c r="C90" s="81"/>
      <c r="D90" s="81"/>
      <c r="E90" s="81"/>
      <c r="F90" s="81"/>
      <c r="G90" s="81"/>
      <c r="H90" s="81"/>
      <c r="I90" s="81"/>
      <c r="J90" s="81"/>
      <c r="K90" s="81"/>
      <c r="L90" s="81"/>
      <c r="M90" s="81"/>
      <c r="N90" s="79"/>
    </row>
    <row r="91" spans="2:14">
      <c r="B91" s="406" t="s">
        <v>719</v>
      </c>
      <c r="C91" s="81"/>
      <c r="D91" s="81"/>
      <c r="E91" s="81"/>
      <c r="F91" s="81"/>
      <c r="G91" s="81"/>
      <c r="H91" s="81"/>
      <c r="I91" s="81"/>
      <c r="J91" s="81"/>
      <c r="K91" s="81"/>
      <c r="L91" s="81"/>
      <c r="M91" s="81"/>
      <c r="N91" s="79"/>
    </row>
    <row r="92" spans="2:14" ht="12.75" customHeight="1">
      <c r="B92" s="1871" t="s">
        <v>720</v>
      </c>
      <c r="C92" s="1872"/>
      <c r="D92" s="1872"/>
      <c r="E92" s="1872"/>
      <c r="F92" s="1872"/>
      <c r="G92" s="1872"/>
      <c r="H92" s="1872"/>
      <c r="I92" s="1872"/>
      <c r="J92" s="1872"/>
      <c r="K92" s="1872"/>
      <c r="L92" s="1872"/>
      <c r="M92" s="1872"/>
      <c r="N92" s="1873"/>
    </row>
    <row r="93" spans="2:14">
      <c r="B93" s="1871"/>
      <c r="C93" s="1872"/>
      <c r="D93" s="1872"/>
      <c r="E93" s="1872"/>
      <c r="F93" s="1872"/>
      <c r="G93" s="1872"/>
      <c r="H93" s="1872"/>
      <c r="I93" s="1872"/>
      <c r="J93" s="1872"/>
      <c r="K93" s="1872"/>
      <c r="L93" s="1872"/>
      <c r="M93" s="1872"/>
      <c r="N93" s="1873"/>
    </row>
    <row r="94" spans="2:14">
      <c r="B94" s="1871" t="s">
        <v>721</v>
      </c>
      <c r="C94" s="1872"/>
      <c r="D94" s="1872"/>
      <c r="E94" s="1872"/>
      <c r="F94" s="1872"/>
      <c r="G94" s="1872"/>
      <c r="H94" s="1872"/>
      <c r="I94" s="1872"/>
      <c r="J94" s="1872"/>
      <c r="K94" s="1872"/>
      <c r="L94" s="1872"/>
      <c r="M94" s="1872"/>
      <c r="N94" s="1873"/>
    </row>
    <row r="95" spans="2:14">
      <c r="B95" s="1871"/>
      <c r="C95" s="1872"/>
      <c r="D95" s="1872"/>
      <c r="E95" s="1872"/>
      <c r="F95" s="1872"/>
      <c r="G95" s="1872"/>
      <c r="H95" s="1872"/>
      <c r="I95" s="1872"/>
      <c r="J95" s="1872"/>
      <c r="K95" s="1872"/>
      <c r="L95" s="1872"/>
      <c r="M95" s="1872"/>
      <c r="N95" s="1873"/>
    </row>
    <row r="96" spans="2:14">
      <c r="B96" s="49"/>
      <c r="C96" s="81"/>
      <c r="D96" s="81"/>
      <c r="E96" s="81"/>
      <c r="F96" s="81"/>
      <c r="G96" s="81"/>
      <c r="H96" s="81"/>
      <c r="I96" s="81"/>
      <c r="J96" s="81"/>
      <c r="K96" s="81"/>
      <c r="L96" s="81"/>
      <c r="M96" s="81"/>
      <c r="N96" s="79"/>
    </row>
    <row r="97" spans="2:14">
      <c r="B97" s="85"/>
      <c r="C97" s="66"/>
      <c r="D97" s="66"/>
      <c r="E97" s="66"/>
      <c r="F97" s="66"/>
      <c r="G97" s="71" t="s">
        <v>249</v>
      </c>
      <c r="H97" s="66"/>
      <c r="I97" s="66"/>
      <c r="J97" s="66"/>
      <c r="K97" s="66"/>
      <c r="L97" s="66"/>
      <c r="M97" s="66"/>
      <c r="N97" s="73"/>
    </row>
    <row r="98" spans="2:14">
      <c r="B98" s="85"/>
      <c r="C98" s="66"/>
      <c r="D98" s="66"/>
      <c r="E98" s="66"/>
      <c r="F98" s="66"/>
      <c r="G98" s="66" t="s">
        <v>250</v>
      </c>
      <c r="H98" s="86"/>
      <c r="I98" s="86"/>
      <c r="J98" s="86"/>
      <c r="K98" s="66"/>
      <c r="L98" s="66"/>
      <c r="M98" s="66"/>
      <c r="N98" s="73"/>
    </row>
    <row r="99" spans="2:14">
      <c r="B99" s="85"/>
      <c r="C99" s="66"/>
      <c r="D99" s="66"/>
      <c r="E99" s="66"/>
      <c r="F99" s="66"/>
      <c r="G99" s="66" t="s">
        <v>255</v>
      </c>
      <c r="H99" s="80"/>
      <c r="I99" s="80"/>
      <c r="J99" s="80"/>
      <c r="M99" s="66"/>
      <c r="N99" s="73"/>
    </row>
    <row r="100" spans="2:14">
      <c r="B100" s="127"/>
      <c r="C100" s="81"/>
      <c r="D100" s="81"/>
      <c r="E100" s="81"/>
      <c r="F100" s="81"/>
      <c r="G100" s="66" t="s">
        <v>252</v>
      </c>
      <c r="K100" s="81"/>
      <c r="L100" s="81"/>
      <c r="M100" s="81"/>
      <c r="N100" s="79"/>
    </row>
    <row r="101" spans="2:14" ht="17.25" customHeight="1">
      <c r="B101" s="138" t="s">
        <v>722</v>
      </c>
      <c r="C101" s="128"/>
      <c r="D101" s="128"/>
      <c r="E101" s="66"/>
      <c r="F101" s="66"/>
      <c r="G101" s="66"/>
      <c r="H101" s="66"/>
      <c r="I101" s="66"/>
      <c r="J101" s="1863"/>
      <c r="K101" s="1863"/>
      <c r="L101" s="1863"/>
      <c r="M101" s="1863"/>
      <c r="N101" s="1864"/>
    </row>
    <row r="102" spans="2:14" ht="18.75" customHeight="1" thickBot="1">
      <c r="B102" s="1867" t="s">
        <v>723</v>
      </c>
      <c r="C102" s="1868"/>
      <c r="D102" s="1868"/>
      <c r="E102" s="87"/>
      <c r="F102" s="87"/>
      <c r="G102" s="87"/>
      <c r="H102" s="87"/>
      <c r="I102" s="87"/>
      <c r="J102" s="1865"/>
      <c r="K102" s="1865"/>
      <c r="L102" s="1865"/>
      <c r="M102" s="1865"/>
      <c r="N102" s="1866"/>
    </row>
  </sheetData>
  <mergeCells count="93">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N6:N8"/>
    <mergeCell ref="C8:J8"/>
    <mergeCell ref="B12:E12"/>
    <mergeCell ref="B2:B8"/>
    <mergeCell ref="C2:J2"/>
    <mergeCell ref="K2:K3"/>
    <mergeCell ref="L2:N3"/>
    <mergeCell ref="C3:J3"/>
    <mergeCell ref="C4:J4"/>
    <mergeCell ref="K4:K5"/>
    <mergeCell ref="L4:N5"/>
    <mergeCell ref="C5:J5"/>
    <mergeCell ref="C6:J7"/>
    <mergeCell ref="D23:M23"/>
    <mergeCell ref="K6:K8"/>
    <mergeCell ref="L6:L8"/>
    <mergeCell ref="M6:M8"/>
    <mergeCell ref="D13:G13"/>
    <mergeCell ref="J13:M13"/>
    <mergeCell ref="L14:N14"/>
    <mergeCell ref="H19:M19"/>
    <mergeCell ref="D20:M21"/>
  </mergeCells>
  <pageMargins left="0.7" right="0.7" top="0.75" bottom="0.75" header="0.3" footer="0.3"/>
  <drawing r:id="rId1"/>
  <legacyDrawing r:id="rId2"/>
  <oleObjects>
    <mc:AlternateContent xmlns:mc="http://schemas.openxmlformats.org/markup-compatibility/2006">
      <mc:Choice Requires="x14">
        <oleObject progId="PBrush" shapeId="16855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85505" r:id="rId3"/>
      </mc:Fallback>
    </mc:AlternateContent>
  </oleObjects>
  <mc:AlternateContent xmlns:mc="http://schemas.openxmlformats.org/markup-compatibility/2006">
    <mc:Choice Requires="x14">
      <controls>
        <mc:AlternateContent xmlns:mc="http://schemas.openxmlformats.org/markup-compatibility/2006">
          <mc:Choice Requires="x14">
            <control shapeId="1685506" r:id="rId5" name="Check Box 2">
              <controlPr defaultSize="0" autoFill="0" autoLine="0" autoPict="0">
                <anchor moveWithCells="1">
                  <from>
                    <xdr:col>5</xdr:col>
                    <xdr:colOff>152400</xdr:colOff>
                    <xdr:row>10</xdr:row>
                    <xdr:rowOff>142875</xdr:rowOff>
                  </from>
                  <to>
                    <xdr:col>5</xdr:col>
                    <xdr:colOff>457200</xdr:colOff>
                    <xdr:row>12</xdr:row>
                    <xdr:rowOff>95250</xdr:rowOff>
                  </to>
                </anchor>
              </controlPr>
            </control>
          </mc:Choice>
        </mc:AlternateContent>
        <mc:AlternateContent xmlns:mc="http://schemas.openxmlformats.org/markup-compatibility/2006">
          <mc:Choice Requires="x14">
            <control shapeId="1685507" r:id="rId6" name="Check Box 3">
              <controlPr defaultSize="0" autoFill="0" autoLine="0" autoPict="0">
                <anchor moveWithCells="1">
                  <from>
                    <xdr:col>9</xdr:col>
                    <xdr:colOff>152400</xdr:colOff>
                    <xdr:row>10</xdr:row>
                    <xdr:rowOff>142875</xdr:rowOff>
                  </from>
                  <to>
                    <xdr:col>9</xdr:col>
                    <xdr:colOff>457200</xdr:colOff>
                    <xdr:row>12</xdr:row>
                    <xdr:rowOff>95250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37" workbookViewId="0">
      <selection activeCell="O55" sqref="O55"/>
    </sheetView>
  </sheetViews>
  <sheetFormatPr baseColWidth="10" defaultColWidth="11.42578125" defaultRowHeight="12.75"/>
  <cols>
    <col min="1" max="1" width="3.140625" style="39" customWidth="1"/>
    <col min="2" max="8" width="11.42578125" style="39"/>
    <col min="9" max="12" width="11.5703125" style="39" bestFit="1" customWidth="1"/>
    <col min="13" max="13" width="11.42578125" style="39"/>
    <col min="14" max="14" width="15.42578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e">
        <f>+#REF!</f>
        <v>#REF!</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147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1464"/>
      <c r="D11" s="1464"/>
      <c r="E11" s="1464"/>
      <c r="F11" s="1464"/>
      <c r="G11" s="1464"/>
      <c r="H11" s="1464"/>
      <c r="I11" s="1464"/>
      <c r="J11" s="1464"/>
      <c r="K11" s="51"/>
      <c r="L11" s="52" t="e">
        <f>+#REF!</f>
        <v>#REF!</v>
      </c>
      <c r="M11" s="52" t="e">
        <f>+#REF!</f>
        <v>#REF!</v>
      </c>
      <c r="N11" s="53" t="e">
        <f>+#REF!</f>
        <v>#REF!</v>
      </c>
    </row>
    <row r="12" spans="2:14" ht="13.5">
      <c r="B12" s="1869" t="s">
        <v>717</v>
      </c>
      <c r="C12" s="1870"/>
      <c r="D12" s="1870"/>
      <c r="E12" s="1870"/>
      <c r="F12" s="1464"/>
      <c r="G12" s="1464"/>
      <c r="H12" s="1464" t="s">
        <v>718</v>
      </c>
      <c r="J12" s="1464"/>
      <c r="K12" s="51"/>
      <c r="N12" s="405"/>
    </row>
    <row r="13" spans="2:14" ht="13.5">
      <c r="B13" s="54" t="s">
        <v>239</v>
      </c>
      <c r="C13" s="55"/>
      <c r="D13" s="1810" t="e">
        <f>+#REF!</f>
        <v>#REF!</v>
      </c>
      <c r="E13" s="1810"/>
      <c r="F13" s="1810"/>
      <c r="G13" s="1810"/>
      <c r="H13" s="55"/>
      <c r="I13" s="55" t="s">
        <v>240</v>
      </c>
      <c r="J13" s="1810" t="e">
        <f>+#REF!</f>
        <v>#REF!</v>
      </c>
      <c r="K13" s="1810"/>
      <c r="L13" s="1810"/>
      <c r="M13" s="1810"/>
      <c r="N13" s="1466"/>
    </row>
    <row r="14" spans="2:14" ht="13.5">
      <c r="B14" s="54"/>
      <c r="C14" s="55"/>
      <c r="D14" s="1465"/>
      <c r="E14" s="1465"/>
      <c r="F14" s="1465"/>
      <c r="G14" s="1465"/>
      <c r="H14" s="55"/>
      <c r="I14" s="1465"/>
      <c r="J14" s="55"/>
      <c r="K14" s="1465"/>
      <c r="L14" s="1811"/>
      <c r="M14" s="1811"/>
      <c r="N14" s="1812"/>
    </row>
    <row r="15" spans="2:14" ht="13.5">
      <c r="B15" s="54"/>
      <c r="C15" s="55"/>
      <c r="D15" s="1465"/>
      <c r="E15" s="1465"/>
      <c r="F15" s="1465"/>
      <c r="G15" s="1465"/>
      <c r="H15" s="55"/>
      <c r="I15" s="1465"/>
      <c r="J15" s="55"/>
      <c r="K15" s="1465"/>
      <c r="L15" s="1465"/>
      <c r="M15" s="1465"/>
      <c r="N15" s="146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e">
        <f>+#REF!</f>
        <v>#REF!</v>
      </c>
      <c r="E19" s="71"/>
      <c r="F19" s="71"/>
      <c r="G19" s="1472" t="s">
        <v>233</v>
      </c>
      <c r="H19" s="1818" t="e">
        <f>+#REF!</f>
        <v>#REF!</v>
      </c>
      <c r="I19" s="1818"/>
      <c r="J19" s="1818"/>
      <c r="K19" s="1818"/>
      <c r="L19" s="1818"/>
      <c r="M19" s="1818"/>
      <c r="N19" s="73"/>
    </row>
    <row r="20" spans="2:14">
      <c r="B20" s="74" t="s">
        <v>242</v>
      </c>
      <c r="C20" s="75"/>
      <c r="D20" s="1819" t="e">
        <f>+#REF!</f>
        <v>#REF!</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1467"/>
      <c r="E22" s="1467"/>
      <c r="F22" s="1467"/>
      <c r="G22" s="1467"/>
      <c r="H22" s="1467"/>
      <c r="I22" s="1467"/>
      <c r="J22" s="1467"/>
      <c r="K22" s="1467"/>
      <c r="L22" s="1467"/>
      <c r="M22" s="78"/>
      <c r="N22" s="76"/>
    </row>
    <row r="23" spans="2:14">
      <c r="B23" s="74" t="s">
        <v>292</v>
      </c>
      <c r="C23" s="75"/>
      <c r="D23" s="1816" t="e">
        <f>+#REF!</f>
        <v>#REF!</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e">
        <f>+#REF!</f>
        <v>#REF!</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e">
        <f>+#REF!</f>
        <v>#REF!</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e">
        <f>+#REF!</f>
        <v>#REF!</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e">
        <f>+'PRESUPUESTO OFICIAL'!#REF!</f>
        <v>#REF!</v>
      </c>
      <c r="C34" s="1885" t="e">
        <f>VLOOKUP(B34,'PRESUPUESTO OFICIAL'!D15:D73: 'PRESUPUESTO OFICIAL'!G15:G73,4,FALSE)</f>
        <v>#REF!</v>
      </c>
      <c r="D34" s="1887"/>
      <c r="E34" s="1887"/>
      <c r="F34" s="1887"/>
      <c r="G34" s="1887"/>
      <c r="H34" s="1887"/>
      <c r="I34" s="1887"/>
      <c r="J34" s="1887"/>
      <c r="K34" s="1886"/>
      <c r="L34" s="1885" t="e">
        <f>VLOOKUP(B34,'PRESUPUESTO OFICIAL'!D15:D73: 'PRESUPUESTO OFICIAL'!H15:H73,5,FALSE)</f>
        <v>#REF!</v>
      </c>
      <c r="M34" s="1886"/>
      <c r="N34" s="177" t="e">
        <f>VLOOKUP(B34,'PRESUPUESTO OFICIAL'!D15:D73: 'PRESUPUESTO OFICIAL'!I15:I73,6,FALSE)</f>
        <v>#REF!</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663</v>
      </c>
      <c r="C39" s="1840"/>
      <c r="D39" s="1840"/>
      <c r="E39" s="1840"/>
      <c r="F39" s="1841"/>
      <c r="G39" s="1842"/>
      <c r="H39" s="1841"/>
      <c r="I39" s="1842"/>
      <c r="J39" s="1841"/>
      <c r="K39" s="88" t="e">
        <f>#REF!</f>
        <v>#REF!</v>
      </c>
      <c r="L39" s="1859">
        <v>4</v>
      </c>
      <c r="M39" s="1860"/>
      <c r="N39" s="89" t="e">
        <f>+K39/L39</f>
        <v>#REF!</v>
      </c>
    </row>
    <row r="40" spans="2:14">
      <c r="B40" s="1839" t="s">
        <v>77</v>
      </c>
      <c r="C40" s="1840"/>
      <c r="D40" s="1840"/>
      <c r="E40" s="1840"/>
      <c r="F40" s="1841"/>
      <c r="G40" s="1842"/>
      <c r="H40" s="1841"/>
      <c r="I40" s="1842"/>
      <c r="J40" s="1841"/>
      <c r="K40" s="88"/>
      <c r="L40" s="1859"/>
      <c r="M40" s="1860"/>
      <c r="N40" s="89" t="e">
        <f>+N65*0.02</f>
        <v>#REF!</v>
      </c>
    </row>
    <row r="41" spans="2:14" ht="13.5" thickBot="1">
      <c r="B41" s="1839"/>
      <c r="C41" s="1840"/>
      <c r="D41" s="1840"/>
      <c r="E41" s="1840"/>
      <c r="F41" s="1841"/>
      <c r="G41" s="1842"/>
      <c r="H41" s="1841"/>
      <c r="I41" s="1842"/>
      <c r="J41" s="1841"/>
      <c r="K41" s="88"/>
      <c r="L41" s="1859"/>
      <c r="M41" s="1860"/>
      <c r="N41" s="89"/>
    </row>
    <row r="42" spans="2:14" ht="14.25" thickBot="1">
      <c r="B42" s="1848" t="s">
        <v>188</v>
      </c>
      <c r="C42" s="1849"/>
      <c r="D42" s="1849"/>
      <c r="E42" s="1849"/>
      <c r="F42" s="1849"/>
      <c r="G42" s="1849"/>
      <c r="H42" s="1849"/>
      <c r="I42" s="1849"/>
      <c r="J42" s="1849"/>
      <c r="K42" s="1849"/>
      <c r="L42" s="1849"/>
      <c r="M42" s="1850"/>
      <c r="N42" s="91" t="e">
        <f>SUM(N39:N41)</f>
        <v>#REF!</v>
      </c>
    </row>
    <row r="43" spans="2:14">
      <c r="B43" s="1763" t="s">
        <v>189</v>
      </c>
      <c r="C43" s="1764"/>
      <c r="D43" s="1764"/>
      <c r="E43" s="1764"/>
      <c r="F43" s="1764"/>
      <c r="G43" s="1764"/>
      <c r="H43" s="1764"/>
      <c r="I43" s="1764"/>
      <c r="J43" s="1764"/>
      <c r="K43" s="1764"/>
      <c r="L43" s="1764"/>
      <c r="M43" s="1764"/>
      <c r="N43" s="1765"/>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463" t="s">
        <v>38</v>
      </c>
      <c r="K46" s="178" t="s">
        <v>115</v>
      </c>
      <c r="L46" s="1829" t="s">
        <v>190</v>
      </c>
      <c r="M46" s="1832"/>
      <c r="N46" s="179" t="s">
        <v>191</v>
      </c>
    </row>
    <row r="47" spans="2:14">
      <c r="B47" s="1839" t="s">
        <v>664</v>
      </c>
      <c r="C47" s="1840"/>
      <c r="D47" s="1840"/>
      <c r="E47" s="1840"/>
      <c r="F47" s="1840"/>
      <c r="G47" s="1840"/>
      <c r="H47" s="1840"/>
      <c r="I47" s="1841"/>
      <c r="J47" s="1458" t="s">
        <v>40</v>
      </c>
      <c r="K47" s="96">
        <v>1.3</v>
      </c>
      <c r="L47" s="1852" t="e">
        <f>+#REF!</f>
        <v>#REF!</v>
      </c>
      <c r="M47" s="1853"/>
      <c r="N47" s="89" t="e">
        <f>+L47*K47</f>
        <v>#REF!</v>
      </c>
    </row>
    <row r="48" spans="2:14" ht="13.5" thickBot="1">
      <c r="B48" s="1834" t="s">
        <v>73</v>
      </c>
      <c r="C48" s="1835"/>
      <c r="D48" s="1835"/>
      <c r="E48" s="1835"/>
      <c r="F48" s="1835"/>
      <c r="G48" s="1835"/>
      <c r="H48" s="1835"/>
      <c r="I48" s="1836"/>
      <c r="J48" s="1471" t="s">
        <v>34</v>
      </c>
      <c r="K48" s="398">
        <v>30</v>
      </c>
      <c r="L48" s="1896" t="e">
        <f>#REF!</f>
        <v>#REF!</v>
      </c>
      <c r="M48" s="1897"/>
      <c r="N48" s="89" t="e">
        <f>+L48*K48</f>
        <v>#REF!</v>
      </c>
    </row>
    <row r="49" spans="2:15" ht="14.25" thickBot="1">
      <c r="B49" s="1848" t="s">
        <v>188</v>
      </c>
      <c r="C49" s="1849"/>
      <c r="D49" s="1849"/>
      <c r="E49" s="1849"/>
      <c r="F49" s="1849"/>
      <c r="G49" s="1849"/>
      <c r="H49" s="1849"/>
      <c r="I49" s="1849"/>
      <c r="J49" s="1849"/>
      <c r="K49" s="1849"/>
      <c r="L49" s="1849"/>
      <c r="M49" s="1850"/>
      <c r="N49" s="99" t="e">
        <f>SUM(N47:N48)</f>
        <v>#REF!</v>
      </c>
    </row>
    <row r="50" spans="2:15">
      <c r="B50" s="1763" t="s">
        <v>51</v>
      </c>
      <c r="C50" s="1764"/>
      <c r="D50" s="1764"/>
      <c r="E50" s="1764"/>
      <c r="F50" s="1764"/>
      <c r="G50" s="1764"/>
      <c r="H50" s="1764"/>
      <c r="I50" s="1764"/>
      <c r="J50" s="1764"/>
      <c r="K50" s="1764"/>
      <c r="L50" s="1764"/>
      <c r="M50" s="1764"/>
      <c r="N50" s="1765"/>
    </row>
    <row r="51" spans="2:15">
      <c r="B51" s="1766"/>
      <c r="C51" s="1767"/>
      <c r="D51" s="1767"/>
      <c r="E51" s="1767"/>
      <c r="F51" s="1767"/>
      <c r="G51" s="1767"/>
      <c r="H51" s="1767"/>
      <c r="I51" s="1767"/>
      <c r="J51" s="1767"/>
      <c r="K51" s="1767"/>
      <c r="L51" s="1767"/>
      <c r="M51" s="1767"/>
      <c r="N51" s="1768"/>
    </row>
    <row r="52" spans="2:15" ht="13.5" thickBot="1">
      <c r="B52" s="1769"/>
      <c r="C52" s="1770"/>
      <c r="D52" s="1770"/>
      <c r="E52" s="1770"/>
      <c r="F52" s="1770"/>
      <c r="G52" s="1770"/>
      <c r="H52" s="1770"/>
      <c r="I52" s="1770"/>
      <c r="J52" s="1770"/>
      <c r="K52" s="1770"/>
      <c r="L52" s="1770"/>
      <c r="M52" s="1770"/>
      <c r="N52" s="1771"/>
    </row>
    <row r="53" spans="2:15" ht="13.5">
      <c r="B53" s="1826" t="s">
        <v>192</v>
      </c>
      <c r="C53" s="1851"/>
      <c r="D53" s="1851"/>
      <c r="E53" s="1851"/>
      <c r="F53" s="1851"/>
      <c r="G53" s="1851"/>
      <c r="H53" s="1851"/>
      <c r="I53" s="178" t="s">
        <v>193</v>
      </c>
      <c r="J53" s="1461" t="s">
        <v>194</v>
      </c>
      <c r="K53" s="182" t="s">
        <v>310</v>
      </c>
      <c r="L53" s="1829" t="s">
        <v>39</v>
      </c>
      <c r="M53" s="1832"/>
      <c r="N53" s="179" t="s">
        <v>191</v>
      </c>
    </row>
    <row r="54" spans="2:15">
      <c r="B54" s="1839" t="s">
        <v>260</v>
      </c>
      <c r="C54" s="1840"/>
      <c r="D54" s="1840"/>
      <c r="E54" s="1840"/>
      <c r="F54" s="1840"/>
      <c r="G54" s="1840"/>
      <c r="H54" s="1840"/>
      <c r="I54" s="100">
        <v>1</v>
      </c>
      <c r="J54" s="93" t="e">
        <f>#REF!</f>
        <v>#REF!</v>
      </c>
      <c r="K54" s="100" t="e">
        <f>+J54*I54</f>
        <v>#REF!</v>
      </c>
      <c r="L54" s="1843" t="e">
        <f>#REF!</f>
        <v>#REF!</v>
      </c>
      <c r="M54" s="1844"/>
      <c r="N54" s="101" t="e">
        <f>+L54*K54</f>
        <v>#REF!</v>
      </c>
      <c r="O54" s="1419" t="e">
        <f>L47+N54</f>
        <v>#REF!</v>
      </c>
    </row>
    <row r="55" spans="2:15" ht="13.5" thickBot="1">
      <c r="B55" s="1834"/>
      <c r="C55" s="1835"/>
      <c r="D55" s="1835"/>
      <c r="E55" s="1835"/>
      <c r="F55" s="1835"/>
      <c r="G55" s="1835"/>
      <c r="H55" s="1835"/>
      <c r="I55" s="102"/>
      <c r="J55" s="87"/>
      <c r="K55" s="102"/>
      <c r="L55" s="1837"/>
      <c r="M55" s="1838"/>
      <c r="N55" s="103"/>
    </row>
    <row r="56" spans="2:15" ht="14.25" thickBot="1">
      <c r="B56" s="1848" t="s">
        <v>188</v>
      </c>
      <c r="C56" s="1849"/>
      <c r="D56" s="1849"/>
      <c r="E56" s="1849"/>
      <c r="F56" s="1849"/>
      <c r="G56" s="1849"/>
      <c r="H56" s="1849"/>
      <c r="I56" s="1849"/>
      <c r="J56" s="1849"/>
      <c r="K56" s="1849"/>
      <c r="L56" s="1849"/>
      <c r="M56" s="1850"/>
      <c r="N56" s="104" t="e">
        <f>SUM(N54:N55)</f>
        <v>#REF!</v>
      </c>
    </row>
    <row r="57" spans="2:15">
      <c r="B57" s="1763" t="s">
        <v>52</v>
      </c>
      <c r="C57" s="1764"/>
      <c r="D57" s="1764"/>
      <c r="E57" s="1764"/>
      <c r="F57" s="1764"/>
      <c r="G57" s="1764"/>
      <c r="H57" s="1764"/>
      <c r="I57" s="1764"/>
      <c r="J57" s="1764"/>
      <c r="K57" s="1764"/>
      <c r="L57" s="1764"/>
      <c r="M57" s="1764"/>
      <c r="N57" s="1765"/>
    </row>
    <row r="58" spans="2:15">
      <c r="B58" s="1766"/>
      <c r="C58" s="1767"/>
      <c r="D58" s="1767"/>
      <c r="E58" s="1767"/>
      <c r="F58" s="1767"/>
      <c r="G58" s="1767"/>
      <c r="H58" s="1767"/>
      <c r="I58" s="1767"/>
      <c r="J58" s="1767"/>
      <c r="K58" s="1767"/>
      <c r="L58" s="1767"/>
      <c r="M58" s="1767"/>
      <c r="N58" s="1768"/>
    </row>
    <row r="59" spans="2:15" ht="13.5" thickBot="1">
      <c r="B59" s="1769"/>
      <c r="C59" s="1770"/>
      <c r="D59" s="1770"/>
      <c r="E59" s="1770"/>
      <c r="F59" s="1770"/>
      <c r="G59" s="1770"/>
      <c r="H59" s="1770"/>
      <c r="I59" s="1770"/>
      <c r="J59" s="1770"/>
      <c r="K59" s="1770"/>
      <c r="L59" s="1770"/>
      <c r="M59" s="1770"/>
      <c r="N59" s="1771"/>
    </row>
    <row r="60" spans="2:15" ht="13.5">
      <c r="B60" s="1826" t="s">
        <v>195</v>
      </c>
      <c r="C60" s="1851"/>
      <c r="D60" s="1851"/>
      <c r="E60" s="1851"/>
      <c r="F60" s="1851"/>
      <c r="G60" s="1851"/>
      <c r="H60" s="1851"/>
      <c r="I60" s="178" t="s">
        <v>196</v>
      </c>
      <c r="J60" s="1461" t="s">
        <v>46</v>
      </c>
      <c r="K60" s="182" t="s">
        <v>197</v>
      </c>
      <c r="L60" s="1829" t="s">
        <v>186</v>
      </c>
      <c r="M60" s="1832"/>
      <c r="N60" s="179" t="s">
        <v>191</v>
      </c>
    </row>
    <row r="61" spans="2:15">
      <c r="B61" s="1468" t="s">
        <v>61</v>
      </c>
      <c r="C61" s="1469"/>
      <c r="D61" s="1469"/>
      <c r="E61" s="1469"/>
      <c r="F61" s="1469"/>
      <c r="G61" s="1469"/>
      <c r="H61" s="1469"/>
      <c r="I61" s="107" t="e">
        <f>+#REF!*2</f>
        <v>#REF!</v>
      </c>
      <c r="J61" s="108" t="e">
        <f>+#REF!</f>
        <v>#REF!</v>
      </c>
      <c r="K61" s="109" t="e">
        <f>+J61*I61</f>
        <v>#REF!</v>
      </c>
      <c r="L61" s="1861">
        <f>L39*8</f>
        <v>32</v>
      </c>
      <c r="M61" s="1862"/>
      <c r="N61" s="110" t="e">
        <f>+K61/L61</f>
        <v>#REF!</v>
      </c>
    </row>
    <row r="62" spans="2:15">
      <c r="B62" s="1468"/>
      <c r="C62" s="1469"/>
      <c r="D62" s="1469"/>
      <c r="E62" s="1469"/>
      <c r="F62" s="1469"/>
      <c r="G62" s="1469"/>
      <c r="H62" s="1469"/>
      <c r="I62" s="107"/>
      <c r="J62" s="108"/>
      <c r="K62" s="109"/>
      <c r="L62" s="1861"/>
      <c r="M62" s="1862"/>
      <c r="N62" s="110"/>
    </row>
    <row r="63" spans="2:15">
      <c r="B63" s="1468"/>
      <c r="C63" s="1469"/>
      <c r="D63" s="1469"/>
      <c r="E63" s="1469"/>
      <c r="F63" s="1469"/>
      <c r="G63" s="1469"/>
      <c r="H63" s="1469"/>
      <c r="I63" s="107"/>
      <c r="J63" s="108"/>
      <c r="K63" s="109"/>
      <c r="L63" s="1859"/>
      <c r="M63" s="1860"/>
      <c r="N63" s="110"/>
    </row>
    <row r="64" spans="2:15" ht="13.5" thickBot="1">
      <c r="B64" s="1834"/>
      <c r="C64" s="1835"/>
      <c r="D64" s="1835"/>
      <c r="E64" s="1835"/>
      <c r="F64" s="1835"/>
      <c r="G64" s="1835"/>
      <c r="H64" s="1835"/>
      <c r="I64" s="102"/>
      <c r="J64" s="87"/>
      <c r="K64" s="102"/>
      <c r="L64" s="1837"/>
      <c r="M64" s="1838"/>
      <c r="N64" s="111"/>
    </row>
    <row r="65" spans="2:14" ht="14.25" thickBot="1">
      <c r="B65" s="1848" t="s">
        <v>188</v>
      </c>
      <c r="C65" s="1849"/>
      <c r="D65" s="1849"/>
      <c r="E65" s="1849"/>
      <c r="F65" s="1849"/>
      <c r="G65" s="1849"/>
      <c r="H65" s="1849"/>
      <c r="I65" s="1849"/>
      <c r="J65" s="1849"/>
      <c r="K65" s="1849"/>
      <c r="L65" s="1849"/>
      <c r="M65" s="1850"/>
      <c r="N65" s="112" t="e">
        <f>SUM(N61:N64)</f>
        <v>#REF!</v>
      </c>
    </row>
    <row r="66" spans="2:14" ht="13.5" thickBot="1">
      <c r="B66" s="85"/>
      <c r="C66" s="66"/>
      <c r="D66" s="66"/>
      <c r="E66" s="66"/>
      <c r="F66" s="66"/>
      <c r="G66" s="66"/>
      <c r="H66" s="66"/>
      <c r="I66" s="66"/>
      <c r="J66" s="66"/>
      <c r="K66" s="66"/>
      <c r="L66" s="66"/>
      <c r="M66" s="66"/>
      <c r="N66" s="73"/>
    </row>
    <row r="67" spans="2:14" ht="13.5" thickBot="1">
      <c r="B67" s="1854" t="s">
        <v>198</v>
      </c>
      <c r="C67" s="1855"/>
      <c r="D67" s="1855"/>
      <c r="E67" s="1855"/>
      <c r="F67" s="1855"/>
      <c r="G67" s="1855"/>
      <c r="H67" s="1855"/>
      <c r="I67" s="1855"/>
      <c r="J67" s="1855"/>
      <c r="K67" s="1855"/>
      <c r="L67" s="1855"/>
      <c r="M67" s="1856"/>
      <c r="N67" s="186" t="e">
        <f>+N65+N56+N49+N42</f>
        <v>#REF!</v>
      </c>
    </row>
    <row r="68" spans="2:14">
      <c r="B68" s="1763" t="s">
        <v>53</v>
      </c>
      <c r="C68" s="1764"/>
      <c r="D68" s="1764"/>
      <c r="E68" s="1764"/>
      <c r="F68" s="1764"/>
      <c r="G68" s="1764"/>
      <c r="H68" s="1764"/>
      <c r="I68" s="1764"/>
      <c r="J68" s="1764"/>
      <c r="K68" s="1764"/>
      <c r="L68" s="1764"/>
      <c r="M68" s="1764"/>
      <c r="N68" s="1765"/>
    </row>
    <row r="69" spans="2:14">
      <c r="B69" s="1766"/>
      <c r="C69" s="1767"/>
      <c r="D69" s="1767"/>
      <c r="E69" s="1767"/>
      <c r="F69" s="1767"/>
      <c r="G69" s="1767"/>
      <c r="H69" s="1767"/>
      <c r="I69" s="1767"/>
      <c r="J69" s="1767"/>
      <c r="K69" s="1767"/>
      <c r="L69" s="1767"/>
      <c r="M69" s="1767"/>
      <c r="N69" s="1768"/>
    </row>
    <row r="70" spans="2:14" ht="13.5" thickBot="1">
      <c r="B70" s="1769"/>
      <c r="C70" s="1770"/>
      <c r="D70" s="1770"/>
      <c r="E70" s="1770"/>
      <c r="F70" s="1770"/>
      <c r="G70" s="1770"/>
      <c r="H70" s="1770"/>
      <c r="I70" s="1770"/>
      <c r="J70" s="1770"/>
      <c r="K70" s="1770"/>
      <c r="L70" s="1770"/>
      <c r="M70" s="1770"/>
      <c r="N70" s="1771"/>
    </row>
    <row r="71" spans="2:14" ht="13.5">
      <c r="B71" s="1826" t="s">
        <v>50</v>
      </c>
      <c r="C71" s="1851"/>
      <c r="D71" s="1851"/>
      <c r="E71" s="1851"/>
      <c r="F71" s="1851"/>
      <c r="G71" s="1851"/>
      <c r="H71" s="1851"/>
      <c r="I71" s="1461"/>
      <c r="J71" s="1462"/>
      <c r="K71" s="184" t="s">
        <v>54</v>
      </c>
      <c r="L71" s="1857" t="s">
        <v>55</v>
      </c>
      <c r="M71" s="1858"/>
      <c r="N71" s="185"/>
    </row>
    <row r="72" spans="2:14">
      <c r="B72" s="1839" t="s">
        <v>44</v>
      </c>
      <c r="C72" s="1840"/>
      <c r="D72" s="1840"/>
      <c r="E72" s="1840"/>
      <c r="F72" s="1840"/>
      <c r="G72" s="1840"/>
      <c r="H72" s="1840"/>
      <c r="I72" s="113"/>
      <c r="J72" s="114"/>
      <c r="K72" s="192" t="e">
        <f>+#REF!</f>
        <v>#REF!</v>
      </c>
      <c r="L72" s="1877" t="e">
        <f>+N67*K72</f>
        <v>#REF!</v>
      </c>
      <c r="M72" s="1878"/>
      <c r="N72" s="115"/>
    </row>
    <row r="73" spans="2:14">
      <c r="B73" s="116" t="s">
        <v>56</v>
      </c>
      <c r="C73" s="117"/>
      <c r="D73" s="117"/>
      <c r="E73" s="117"/>
      <c r="F73" s="117"/>
      <c r="G73" s="117"/>
      <c r="H73" s="117"/>
      <c r="I73" s="113"/>
      <c r="J73" s="114"/>
      <c r="K73" s="192" t="e">
        <f>+#REF!</f>
        <v>#REF!</v>
      </c>
      <c r="L73" s="1877" t="e">
        <f>+N67*K73</f>
        <v>#REF!</v>
      </c>
      <c r="M73" s="1878"/>
      <c r="N73" s="115"/>
    </row>
    <row r="74" spans="2:14" ht="13.5" thickBot="1">
      <c r="B74" s="1459" t="s">
        <v>45</v>
      </c>
      <c r="C74" s="1460"/>
      <c r="D74" s="1460"/>
      <c r="E74" s="1460"/>
      <c r="F74" s="1460"/>
      <c r="G74" s="1460"/>
      <c r="H74" s="1460"/>
      <c r="I74" s="120"/>
      <c r="J74" s="121"/>
      <c r="K74" s="192" t="e">
        <f>+#REF!</f>
        <v>#REF!</v>
      </c>
      <c r="L74" s="1879" t="e">
        <f>+N67*K74</f>
        <v>#REF!</v>
      </c>
      <c r="M74" s="1880"/>
      <c r="N74" s="115"/>
    </row>
    <row r="75" spans="2:14" ht="14.25" thickBot="1">
      <c r="B75" s="1848" t="s">
        <v>188</v>
      </c>
      <c r="C75" s="1849"/>
      <c r="D75" s="1849"/>
      <c r="E75" s="1849"/>
      <c r="F75" s="1849"/>
      <c r="G75" s="1849"/>
      <c r="H75" s="1849"/>
      <c r="I75" s="1849"/>
      <c r="J75" s="1849"/>
      <c r="K75" s="1849"/>
      <c r="L75" s="1849"/>
      <c r="M75" s="1850"/>
      <c r="N75" s="122" t="e">
        <f>SUM(L72:M74)</f>
        <v>#REF!</v>
      </c>
    </row>
    <row r="76" spans="2:14" ht="13.5" thickBot="1">
      <c r="B76" s="85"/>
      <c r="C76" s="66"/>
      <c r="D76" s="66"/>
      <c r="E76" s="66"/>
      <c r="F76" s="66"/>
      <c r="G76" s="66"/>
      <c r="H76" s="66"/>
      <c r="I76" s="66"/>
      <c r="J76" s="66"/>
      <c r="K76" s="66"/>
      <c r="L76" s="66"/>
      <c r="M76" s="66"/>
      <c r="N76" s="73"/>
    </row>
    <row r="77" spans="2:14" ht="13.5" thickBot="1">
      <c r="B77" s="1854" t="s">
        <v>199</v>
      </c>
      <c r="C77" s="1855"/>
      <c r="D77" s="1855"/>
      <c r="E77" s="1855"/>
      <c r="F77" s="1855"/>
      <c r="G77" s="1855"/>
      <c r="H77" s="1855"/>
      <c r="I77" s="1855"/>
      <c r="J77" s="1855"/>
      <c r="K77" s="1855"/>
      <c r="L77" s="1855"/>
      <c r="M77" s="1856"/>
      <c r="N77" s="188" t="e">
        <f>ROUND(N67+N75,0)</f>
        <v>#REF!</v>
      </c>
    </row>
    <row r="78" spans="2:14">
      <c r="B78" s="64"/>
      <c r="C78" s="65"/>
      <c r="D78" s="65"/>
      <c r="E78" s="65"/>
      <c r="F78" s="65"/>
      <c r="G78" s="65"/>
      <c r="H78" s="65"/>
      <c r="I78" s="65"/>
      <c r="J78" s="65"/>
      <c r="K78" s="65"/>
      <c r="L78" s="65"/>
      <c r="M78" s="65"/>
      <c r="N78" s="67"/>
    </row>
    <row r="79" spans="2:14">
      <c r="B79" s="85"/>
      <c r="C79" s="66"/>
      <c r="D79" s="66"/>
      <c r="E79" s="66"/>
      <c r="F79" s="66"/>
      <c r="G79" s="66"/>
      <c r="H79" s="66"/>
      <c r="I79" s="66"/>
      <c r="J79" s="66"/>
      <c r="K79" s="66"/>
      <c r="L79" s="66"/>
      <c r="M79" s="66"/>
      <c r="N79" s="73"/>
    </row>
    <row r="80" spans="2:14">
      <c r="B80" s="85"/>
      <c r="C80" s="66"/>
      <c r="D80" s="66"/>
      <c r="E80" s="66"/>
      <c r="F80" s="66"/>
      <c r="G80" s="66"/>
      <c r="H80" s="66"/>
      <c r="I80" s="66"/>
      <c r="J80" s="66"/>
      <c r="K80" s="66"/>
      <c r="L80" s="66"/>
      <c r="M80" s="66"/>
      <c r="N80" s="73"/>
    </row>
    <row r="81" spans="2:14">
      <c r="B81" s="85"/>
      <c r="C81" s="66"/>
      <c r="D81" s="66"/>
      <c r="E81" s="66"/>
      <c r="F81" s="66"/>
      <c r="G81" s="71" t="s">
        <v>249</v>
      </c>
      <c r="H81" s="71"/>
      <c r="I81" s="71"/>
      <c r="J81" s="71"/>
      <c r="K81" s="66"/>
      <c r="L81" s="66"/>
      <c r="M81" s="66"/>
      <c r="N81" s="73"/>
    </row>
    <row r="82" spans="2:14" ht="13.5">
      <c r="B82" s="123"/>
      <c r="C82" s="124"/>
      <c r="D82" s="124"/>
      <c r="E82" s="124"/>
      <c r="F82" s="124"/>
      <c r="G82" s="71" t="s">
        <v>250</v>
      </c>
      <c r="H82" s="124"/>
      <c r="I82" s="124"/>
      <c r="J82" s="124"/>
      <c r="K82" s="124"/>
      <c r="L82" s="124"/>
      <c r="M82" s="124"/>
      <c r="N82" s="125"/>
    </row>
    <row r="83" spans="2:14" ht="13.5">
      <c r="B83" s="123"/>
      <c r="C83" s="124"/>
      <c r="D83" s="124"/>
      <c r="E83" s="124"/>
      <c r="F83" s="124"/>
      <c r="G83" s="71" t="s">
        <v>251</v>
      </c>
      <c r="J83" s="124"/>
      <c r="K83" s="124"/>
      <c r="L83" s="124"/>
      <c r="M83" s="124"/>
      <c r="N83" s="125"/>
    </row>
    <row r="84" spans="2:14">
      <c r="B84" s="49"/>
      <c r="C84" s="81"/>
      <c r="D84" s="81"/>
      <c r="E84" s="81"/>
      <c r="F84" s="81"/>
      <c r="G84" s="71" t="s">
        <v>252</v>
      </c>
      <c r="H84" s="81"/>
      <c r="I84" s="81"/>
      <c r="J84" s="81"/>
      <c r="K84" s="81"/>
      <c r="L84" s="81"/>
      <c r="M84" s="81"/>
      <c r="N84" s="79"/>
    </row>
    <row r="85" spans="2:14">
      <c r="B85" s="85"/>
      <c r="C85" s="66"/>
      <c r="D85" s="66"/>
      <c r="E85" s="66"/>
      <c r="F85" s="66"/>
      <c r="G85" s="66" t="s">
        <v>253</v>
      </c>
      <c r="H85" s="66"/>
      <c r="I85" s="66"/>
      <c r="J85" s="66"/>
      <c r="K85" s="66"/>
      <c r="L85" s="66"/>
      <c r="M85" s="66"/>
      <c r="N85" s="73"/>
    </row>
    <row r="86" spans="2:14" ht="13.5">
      <c r="B86" s="92" t="s">
        <v>254</v>
      </c>
      <c r="C86" s="93"/>
      <c r="D86" s="93"/>
      <c r="E86" s="93"/>
      <c r="F86" s="93"/>
      <c r="G86" s="93"/>
      <c r="H86" s="93"/>
      <c r="I86" s="93"/>
      <c r="J86" s="93"/>
      <c r="K86" s="93"/>
      <c r="L86" s="93"/>
      <c r="M86" s="93"/>
      <c r="N86" s="94"/>
    </row>
    <row r="87" spans="2:14">
      <c r="B87" s="1874"/>
      <c r="C87" s="1875"/>
      <c r="D87" s="1875"/>
      <c r="E87" s="1875"/>
      <c r="F87" s="1875"/>
      <c r="G87" s="1875"/>
      <c r="H87" s="1875"/>
      <c r="I87" s="1875"/>
      <c r="J87" s="1875"/>
      <c r="K87" s="1875"/>
      <c r="L87" s="1875"/>
      <c r="M87" s="1875"/>
      <c r="N87" s="1876"/>
    </row>
    <row r="88" spans="2:14">
      <c r="B88" s="1874"/>
      <c r="C88" s="1875"/>
      <c r="D88" s="1875"/>
      <c r="E88" s="1875"/>
      <c r="F88" s="1875"/>
      <c r="G88" s="1875"/>
      <c r="H88" s="1875"/>
      <c r="I88" s="1875"/>
      <c r="J88" s="1875"/>
      <c r="K88" s="1875"/>
      <c r="L88" s="1875"/>
      <c r="M88" s="1875"/>
      <c r="N88" s="1876"/>
    </row>
    <row r="89" spans="2:14">
      <c r="B89" s="49"/>
      <c r="C89" s="81"/>
      <c r="D89" s="81"/>
      <c r="E89" s="81"/>
      <c r="F89" s="81"/>
      <c r="G89" s="81"/>
      <c r="H89" s="81"/>
      <c r="I89" s="81"/>
      <c r="J89" s="81"/>
      <c r="K89" s="81"/>
      <c r="L89" s="81"/>
      <c r="M89" s="81"/>
      <c r="N89" s="79"/>
    </row>
    <row r="90" spans="2:14">
      <c r="B90" s="406" t="s">
        <v>719</v>
      </c>
      <c r="C90" s="81"/>
      <c r="D90" s="81"/>
      <c r="E90" s="81"/>
      <c r="F90" s="81"/>
      <c r="G90" s="81"/>
      <c r="H90" s="81"/>
      <c r="I90" s="81"/>
      <c r="J90" s="81"/>
      <c r="K90" s="81"/>
      <c r="L90" s="81"/>
      <c r="M90" s="81"/>
      <c r="N90" s="79"/>
    </row>
    <row r="91" spans="2:14" ht="12.75" customHeight="1">
      <c r="B91" s="1871" t="s">
        <v>720</v>
      </c>
      <c r="C91" s="1872"/>
      <c r="D91" s="1872"/>
      <c r="E91" s="1872"/>
      <c r="F91" s="1872"/>
      <c r="G91" s="1872"/>
      <c r="H91" s="1872"/>
      <c r="I91" s="1872"/>
      <c r="J91" s="1872"/>
      <c r="K91" s="1872"/>
      <c r="L91" s="1872"/>
      <c r="M91" s="1872"/>
      <c r="N91" s="1873"/>
    </row>
    <row r="92" spans="2:14">
      <c r="B92" s="1871"/>
      <c r="C92" s="1872"/>
      <c r="D92" s="1872"/>
      <c r="E92" s="1872"/>
      <c r="F92" s="1872"/>
      <c r="G92" s="1872"/>
      <c r="H92" s="1872"/>
      <c r="I92" s="1872"/>
      <c r="J92" s="1872"/>
      <c r="K92" s="1872"/>
      <c r="L92" s="1872"/>
      <c r="M92" s="1872"/>
      <c r="N92" s="1873"/>
    </row>
    <row r="93" spans="2:14">
      <c r="B93" s="1871" t="s">
        <v>721</v>
      </c>
      <c r="C93" s="1872"/>
      <c r="D93" s="1872"/>
      <c r="E93" s="1872"/>
      <c r="F93" s="1872"/>
      <c r="G93" s="1872"/>
      <c r="H93" s="1872"/>
      <c r="I93" s="1872"/>
      <c r="J93" s="1872"/>
      <c r="K93" s="1872"/>
      <c r="L93" s="1872"/>
      <c r="M93" s="1872"/>
      <c r="N93" s="1873"/>
    </row>
    <row r="94" spans="2:14">
      <c r="B94" s="1871"/>
      <c r="C94" s="1872"/>
      <c r="D94" s="1872"/>
      <c r="E94" s="1872"/>
      <c r="F94" s="1872"/>
      <c r="G94" s="1872"/>
      <c r="H94" s="1872"/>
      <c r="I94" s="1872"/>
      <c r="J94" s="1872"/>
      <c r="K94" s="1872"/>
      <c r="L94" s="1872"/>
      <c r="M94" s="1872"/>
      <c r="N94" s="1873"/>
    </row>
    <row r="95" spans="2:14">
      <c r="B95" s="49"/>
      <c r="C95" s="81"/>
      <c r="D95" s="81"/>
      <c r="E95" s="81"/>
      <c r="F95" s="81"/>
      <c r="G95" s="81"/>
      <c r="H95" s="81"/>
      <c r="I95" s="81"/>
      <c r="J95" s="81"/>
      <c r="K95" s="81"/>
      <c r="L95" s="81"/>
      <c r="M95" s="81"/>
      <c r="N95" s="79"/>
    </row>
    <row r="96" spans="2:14">
      <c r="B96" s="85"/>
      <c r="C96" s="66"/>
      <c r="D96" s="66"/>
      <c r="E96" s="66"/>
      <c r="F96" s="66"/>
      <c r="G96" s="71" t="s">
        <v>249</v>
      </c>
      <c r="H96" s="66"/>
      <c r="I96" s="66"/>
      <c r="J96" s="66"/>
      <c r="K96" s="66"/>
      <c r="L96" s="66"/>
      <c r="M96" s="66"/>
      <c r="N96" s="73"/>
    </row>
    <row r="97" spans="2:14">
      <c r="B97" s="85"/>
      <c r="C97" s="66"/>
      <c r="D97" s="66"/>
      <c r="E97" s="66"/>
      <c r="F97" s="66"/>
      <c r="G97" s="66" t="s">
        <v>250</v>
      </c>
      <c r="H97" s="86"/>
      <c r="I97" s="86"/>
      <c r="J97" s="86"/>
      <c r="K97" s="66"/>
      <c r="L97" s="66"/>
      <c r="M97" s="66"/>
      <c r="N97" s="73"/>
    </row>
    <row r="98" spans="2:14">
      <c r="B98" s="85"/>
      <c r="C98" s="66"/>
      <c r="D98" s="66"/>
      <c r="E98" s="66"/>
      <c r="F98" s="66"/>
      <c r="G98" s="66" t="s">
        <v>255</v>
      </c>
      <c r="H98" s="80"/>
      <c r="I98" s="80"/>
      <c r="J98" s="80"/>
      <c r="M98" s="66"/>
      <c r="N98" s="73"/>
    </row>
    <row r="99" spans="2:14">
      <c r="B99" s="127"/>
      <c r="C99" s="81"/>
      <c r="D99" s="81"/>
      <c r="E99" s="81"/>
      <c r="F99" s="81"/>
      <c r="G99" s="66" t="s">
        <v>252</v>
      </c>
      <c r="K99" s="81"/>
      <c r="L99" s="81"/>
      <c r="M99" s="81"/>
      <c r="N99" s="79"/>
    </row>
    <row r="100" spans="2:14" ht="17.25" customHeight="1">
      <c r="B100" s="138" t="s">
        <v>722</v>
      </c>
      <c r="C100" s="128"/>
      <c r="D100" s="128"/>
      <c r="E100" s="66"/>
      <c r="F100" s="66"/>
      <c r="G100" s="66"/>
      <c r="H100" s="66"/>
      <c r="I100" s="66"/>
      <c r="J100" s="1863"/>
      <c r="K100" s="1863"/>
      <c r="L100" s="1863"/>
      <c r="M100" s="1863"/>
      <c r="N100" s="1864"/>
    </row>
    <row r="101" spans="2:14" ht="18.75" customHeight="1" thickBot="1">
      <c r="B101" s="1867" t="s">
        <v>723</v>
      </c>
      <c r="C101" s="1868"/>
      <c r="D101" s="1868"/>
      <c r="E101" s="87"/>
      <c r="F101" s="87"/>
      <c r="G101" s="87"/>
      <c r="H101" s="87"/>
      <c r="I101" s="87"/>
      <c r="J101" s="1865"/>
      <c r="K101" s="1865"/>
      <c r="L101" s="1865"/>
      <c r="M101" s="1865"/>
      <c r="N101" s="1866"/>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C34:K34"/>
    <mergeCell ref="L34:M34"/>
    <mergeCell ref="B35:N37"/>
    <mergeCell ref="B38:F38"/>
    <mergeCell ref="G38:H38"/>
    <mergeCell ref="I38:J38"/>
    <mergeCell ref="L38:M38"/>
    <mergeCell ref="D25:M25"/>
    <mergeCell ref="E27:M27"/>
    <mergeCell ref="G29:M29"/>
    <mergeCell ref="B31:N31"/>
    <mergeCell ref="C33:K33"/>
    <mergeCell ref="L33:M33"/>
    <mergeCell ref="N6:N8"/>
    <mergeCell ref="C8:J8"/>
    <mergeCell ref="B12:E12"/>
    <mergeCell ref="B2:B8"/>
    <mergeCell ref="C2:J2"/>
    <mergeCell ref="K2:K3"/>
    <mergeCell ref="L2:N3"/>
    <mergeCell ref="C3:J3"/>
    <mergeCell ref="C4:J4"/>
    <mergeCell ref="K4:K5"/>
    <mergeCell ref="L4:N5"/>
    <mergeCell ref="C5:J5"/>
    <mergeCell ref="C6:J7"/>
    <mergeCell ref="D23:M23"/>
    <mergeCell ref="K6:K8"/>
    <mergeCell ref="L6:L8"/>
    <mergeCell ref="M6:M8"/>
    <mergeCell ref="D13:G13"/>
    <mergeCell ref="J13:M13"/>
    <mergeCell ref="L14:N14"/>
    <mergeCell ref="H19:M19"/>
    <mergeCell ref="D20:M21"/>
  </mergeCells>
  <pageMargins left="0.7" right="0.7" top="0.75" bottom="0.75" header="0.3" footer="0.3"/>
  <drawing r:id="rId1"/>
  <legacyDrawing r:id="rId2"/>
  <oleObjects>
    <mc:AlternateContent xmlns:mc="http://schemas.openxmlformats.org/markup-compatibility/2006">
      <mc:Choice Requires="x14">
        <oleObject progId="PBrush" shapeId="16896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89601" r:id="rId3"/>
      </mc:Fallback>
    </mc:AlternateContent>
  </oleObjects>
  <mc:AlternateContent xmlns:mc="http://schemas.openxmlformats.org/markup-compatibility/2006">
    <mc:Choice Requires="x14">
      <controls>
        <mc:AlternateContent xmlns:mc="http://schemas.openxmlformats.org/markup-compatibility/2006">
          <mc:Choice Requires="x14">
            <control shapeId="1689602"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89603"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3"/>
  <dimension ref="B1:N101"/>
  <sheetViews>
    <sheetView showGridLines="0" topLeftCell="A43" zoomScale="70" zoomScaleNormal="70" workbookViewId="0">
      <selection sqref="A1:XFD1048576"/>
    </sheetView>
  </sheetViews>
  <sheetFormatPr baseColWidth="10" defaultColWidth="11.42578125" defaultRowHeight="12.75"/>
  <cols>
    <col min="1" max="1" width="3.140625" style="168" customWidth="1"/>
    <col min="2" max="16384" width="11.42578125" style="168"/>
  </cols>
  <sheetData>
    <row r="1" spans="2:14" ht="13.5" thickBot="1"/>
    <row r="2" spans="2:14" s="39" customFormat="1">
      <c r="B2" s="1772"/>
      <c r="C2" s="1774"/>
      <c r="D2" s="1775"/>
      <c r="E2" s="1775"/>
      <c r="F2" s="1775"/>
      <c r="G2" s="1775"/>
      <c r="H2" s="1775"/>
      <c r="I2" s="1775"/>
      <c r="J2" s="1776"/>
      <c r="K2" s="1777" t="s">
        <v>228</v>
      </c>
      <c r="L2" s="1779" t="s">
        <v>716</v>
      </c>
      <c r="M2" s="1780"/>
      <c r="N2" s="1781"/>
    </row>
    <row r="3" spans="2:14" s="39" customFormat="1" ht="13.5">
      <c r="B3" s="1773"/>
      <c r="C3" s="1785" t="s">
        <v>69</v>
      </c>
      <c r="D3" s="1786"/>
      <c r="E3" s="1786"/>
      <c r="F3" s="1786"/>
      <c r="G3" s="1786"/>
      <c r="H3" s="1786"/>
      <c r="I3" s="1786"/>
      <c r="J3" s="1787"/>
      <c r="K3" s="1778"/>
      <c r="L3" s="1782"/>
      <c r="M3" s="1783"/>
      <c r="N3" s="1784"/>
    </row>
    <row r="4" spans="2:14" s="39" customFormat="1" ht="13.5">
      <c r="B4" s="1773"/>
      <c r="C4" s="1788" t="s">
        <v>303</v>
      </c>
      <c r="D4" s="1789"/>
      <c r="E4" s="1789"/>
      <c r="F4" s="1789"/>
      <c r="G4" s="1789"/>
      <c r="H4" s="1789"/>
      <c r="I4" s="1789"/>
      <c r="J4" s="1790"/>
      <c r="K4" s="1791" t="s">
        <v>230</v>
      </c>
      <c r="L4" s="1793">
        <v>2</v>
      </c>
      <c r="M4" s="1794"/>
      <c r="N4" s="1795"/>
    </row>
    <row r="5" spans="2:14" s="39" customFormat="1">
      <c r="B5" s="1773"/>
      <c r="C5" s="1799" t="s">
        <v>715</v>
      </c>
      <c r="D5" s="1800"/>
      <c r="E5" s="1800"/>
      <c r="F5" s="1800"/>
      <c r="G5" s="1800"/>
      <c r="H5" s="1800"/>
      <c r="I5" s="1800"/>
      <c r="J5" s="1801"/>
      <c r="K5" s="1792"/>
      <c r="L5" s="1796"/>
      <c r="M5" s="1797"/>
      <c r="N5" s="1798"/>
    </row>
    <row r="6" spans="2:14" s="39" customFormat="1" ht="12.75" customHeight="1">
      <c r="B6" s="1773"/>
      <c r="C6" s="1805" t="s">
        <v>304</v>
      </c>
      <c r="D6" s="1806"/>
      <c r="E6" s="1806"/>
      <c r="F6" s="1806"/>
      <c r="G6" s="1806"/>
      <c r="H6" s="1806"/>
      <c r="I6" s="1806"/>
      <c r="J6" s="1807"/>
      <c r="K6" s="1791" t="s">
        <v>232</v>
      </c>
      <c r="L6" s="1791">
        <v>1</v>
      </c>
      <c r="M6" s="1791" t="s">
        <v>233</v>
      </c>
      <c r="N6" s="1803">
        <v>1</v>
      </c>
    </row>
    <row r="7" spans="2:14" s="39" customFormat="1">
      <c r="B7" s="1773"/>
      <c r="C7" s="1805"/>
      <c r="D7" s="1806"/>
      <c r="E7" s="1806"/>
      <c r="F7" s="1806"/>
      <c r="G7" s="1806"/>
      <c r="H7" s="1806"/>
      <c r="I7" s="1806"/>
      <c r="J7" s="1807"/>
      <c r="K7" s="1802"/>
      <c r="L7" s="1802"/>
      <c r="M7" s="1802"/>
      <c r="N7" s="1804"/>
    </row>
    <row r="8" spans="2:14" s="39" customFormat="1">
      <c r="B8" s="1773"/>
      <c r="C8" s="1799" t="s">
        <v>234</v>
      </c>
      <c r="D8" s="1800"/>
      <c r="E8" s="1800"/>
      <c r="F8" s="1800"/>
      <c r="G8" s="1800"/>
      <c r="H8" s="1800"/>
      <c r="I8" s="1800"/>
      <c r="J8" s="1801"/>
      <c r="K8" s="1802"/>
      <c r="L8" s="1802"/>
      <c r="M8" s="1802"/>
      <c r="N8" s="1804"/>
    </row>
    <row r="9" spans="2:14" s="39" customFormat="1" ht="13.5" customHeight="1" thickBot="1">
      <c r="B9" s="40"/>
      <c r="C9" s="41"/>
      <c r="D9" s="41"/>
      <c r="E9" s="41"/>
      <c r="F9" s="41"/>
      <c r="G9" s="41"/>
      <c r="H9" s="41"/>
      <c r="I9" s="41"/>
      <c r="J9" s="41"/>
      <c r="K9" s="41"/>
      <c r="L9" s="42"/>
      <c r="M9" s="42"/>
      <c r="N9" s="43"/>
    </row>
    <row r="10" spans="2:14" s="39" customFormat="1" ht="13.5">
      <c r="B10" s="44"/>
      <c r="C10" s="45"/>
      <c r="D10" s="45"/>
      <c r="E10" s="45"/>
      <c r="F10" s="45"/>
      <c r="G10" s="45"/>
      <c r="H10" s="45"/>
      <c r="I10" s="45"/>
      <c r="J10" s="45"/>
      <c r="K10" s="46" t="s">
        <v>235</v>
      </c>
      <c r="L10" s="47" t="s">
        <v>236</v>
      </c>
      <c r="M10" s="47" t="s">
        <v>237</v>
      </c>
      <c r="N10" s="48" t="s">
        <v>238</v>
      </c>
    </row>
    <row r="11" spans="2:14" s="39" customFormat="1" ht="13.5">
      <c r="B11" s="49"/>
      <c r="C11" s="50"/>
      <c r="D11" s="50"/>
      <c r="E11" s="50"/>
      <c r="F11" s="50"/>
      <c r="G11" s="50"/>
      <c r="H11" s="50"/>
      <c r="I11" s="50"/>
      <c r="J11" s="50"/>
      <c r="K11" s="51"/>
      <c r="L11" s="52" t="s">
        <v>294</v>
      </c>
      <c r="M11" s="52" t="s">
        <v>294</v>
      </c>
      <c r="N11" s="53" t="s">
        <v>294</v>
      </c>
    </row>
    <row r="12" spans="2:14" s="39" customFormat="1"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v>351.12</v>
      </c>
      <c r="C34" s="1885" t="s">
        <v>1341</v>
      </c>
      <c r="D34" s="1887"/>
      <c r="E34" s="1887"/>
      <c r="F34" s="1887"/>
      <c r="G34" s="1887"/>
      <c r="H34" s="1887"/>
      <c r="I34" s="1887"/>
      <c r="J34" s="1887"/>
      <c r="K34" s="1886"/>
      <c r="L34" s="1885" t="s">
        <v>79</v>
      </c>
      <c r="M34" s="1886"/>
      <c r="N34" s="177">
        <v>2156754</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c r="L38" s="1829"/>
      <c r="M38" s="1832"/>
      <c r="N38" s="179"/>
    </row>
    <row r="39" spans="2:14">
      <c r="B39" s="1839"/>
      <c r="C39" s="1840"/>
      <c r="D39" s="1840"/>
      <c r="E39" s="1840"/>
      <c r="F39" s="1841"/>
      <c r="G39" s="1842"/>
      <c r="H39" s="1841"/>
      <c r="I39" s="1842"/>
      <c r="J39" s="1841"/>
      <c r="K39" s="88"/>
      <c r="L39" s="1859"/>
      <c r="M39" s="1860"/>
      <c r="N39" s="89"/>
    </row>
    <row r="40" spans="2:14">
      <c r="B40" s="1839"/>
      <c r="C40" s="1840"/>
      <c r="D40" s="1840"/>
      <c r="E40" s="1840"/>
      <c r="F40" s="1841"/>
      <c r="G40" s="1842"/>
      <c r="H40" s="1841"/>
      <c r="I40" s="1842"/>
      <c r="J40" s="1841"/>
      <c r="K40" s="88"/>
      <c r="L40" s="1859"/>
      <c r="M40" s="1860"/>
      <c r="N40" s="89"/>
    </row>
    <row r="41" spans="2:14" ht="13.5" thickBot="1">
      <c r="B41" s="1839"/>
      <c r="C41" s="1840"/>
      <c r="D41" s="1840"/>
      <c r="E41" s="1840"/>
      <c r="F41" s="1841"/>
      <c r="G41" s="1842"/>
      <c r="H41" s="1841"/>
      <c r="I41" s="1842"/>
      <c r="J41" s="1841"/>
      <c r="K41" s="88"/>
      <c r="L41" s="1859"/>
      <c r="M41" s="1860"/>
      <c r="N41" s="89"/>
    </row>
    <row r="42" spans="2:14" ht="14.25" thickBot="1">
      <c r="B42" s="1848" t="s">
        <v>188</v>
      </c>
      <c r="C42" s="1849"/>
      <c r="D42" s="1849"/>
      <c r="E42" s="1849"/>
      <c r="F42" s="1849"/>
      <c r="G42" s="1849"/>
      <c r="H42" s="1849"/>
      <c r="I42" s="1849"/>
      <c r="J42" s="1849"/>
      <c r="K42" s="1849"/>
      <c r="L42" s="1849"/>
      <c r="M42" s="1850"/>
      <c r="N42" s="91">
        <v>0</v>
      </c>
    </row>
    <row r="43" spans="2:14">
      <c r="B43" s="1763" t="s">
        <v>189</v>
      </c>
      <c r="C43" s="1764"/>
      <c r="D43" s="1764"/>
      <c r="E43" s="1764"/>
      <c r="F43" s="1764"/>
      <c r="G43" s="1764"/>
      <c r="H43" s="1764"/>
      <c r="I43" s="1764"/>
      <c r="J43" s="1764"/>
      <c r="K43" s="1764"/>
      <c r="L43" s="1764"/>
      <c r="M43" s="1764"/>
      <c r="N43" s="1765"/>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c r="B47" s="1839" t="s">
        <v>261</v>
      </c>
      <c r="C47" s="1840"/>
      <c r="D47" s="1840"/>
      <c r="E47" s="1840"/>
      <c r="F47" s="1840"/>
      <c r="G47" s="1840"/>
      <c r="H47" s="1840"/>
      <c r="I47" s="1841"/>
      <c r="J47" s="126" t="s">
        <v>33</v>
      </c>
      <c r="K47" s="96">
        <v>1</v>
      </c>
      <c r="L47" s="1852">
        <v>520</v>
      </c>
      <c r="M47" s="1853"/>
      <c r="N47" s="89">
        <v>520</v>
      </c>
    </row>
    <row r="48" spans="2:14" ht="13.5" thickBot="1">
      <c r="B48" s="1834"/>
      <c r="C48" s="1835"/>
      <c r="D48" s="1835"/>
      <c r="E48" s="1835"/>
      <c r="F48" s="1835"/>
      <c r="G48" s="1835"/>
      <c r="H48" s="1835"/>
      <c r="I48" s="1836"/>
      <c r="J48" s="86"/>
      <c r="K48" s="97"/>
      <c r="L48" s="1837"/>
      <c r="M48" s="1838"/>
      <c r="N48" s="98"/>
    </row>
    <row r="49" spans="2:14" ht="14.25" thickBot="1">
      <c r="B49" s="1848" t="s">
        <v>188</v>
      </c>
      <c r="C49" s="1849"/>
      <c r="D49" s="1849"/>
      <c r="E49" s="1849"/>
      <c r="F49" s="1849"/>
      <c r="G49" s="1849"/>
      <c r="H49" s="1849"/>
      <c r="I49" s="1849"/>
      <c r="J49" s="1849"/>
      <c r="K49" s="1849"/>
      <c r="L49" s="1849"/>
      <c r="M49" s="1850"/>
      <c r="N49" s="99">
        <v>520</v>
      </c>
    </row>
    <row r="50" spans="2:14">
      <c r="B50" s="1763" t="s">
        <v>51</v>
      </c>
      <c r="C50" s="1764"/>
      <c r="D50" s="1764"/>
      <c r="E50" s="1764"/>
      <c r="F50" s="1764"/>
      <c r="G50" s="1764"/>
      <c r="H50" s="1764"/>
      <c r="I50" s="1764"/>
      <c r="J50" s="1764"/>
      <c r="K50" s="1764"/>
      <c r="L50" s="1764"/>
      <c r="M50" s="1764"/>
      <c r="N50" s="1765"/>
    </row>
    <row r="51" spans="2:14">
      <c r="B51" s="1766"/>
      <c r="C51" s="1767"/>
      <c r="D51" s="1767"/>
      <c r="E51" s="1767"/>
      <c r="F51" s="1767"/>
      <c r="G51" s="1767"/>
      <c r="H51" s="1767"/>
      <c r="I51" s="1767"/>
      <c r="J51" s="1767"/>
      <c r="K51" s="1767"/>
      <c r="L51" s="1767"/>
      <c r="M51" s="1767"/>
      <c r="N51" s="1768"/>
    </row>
    <row r="52" spans="2:14" ht="13.5" thickBot="1">
      <c r="B52" s="1769"/>
      <c r="C52" s="1770"/>
      <c r="D52" s="1770"/>
      <c r="E52" s="1770"/>
      <c r="F52" s="1770"/>
      <c r="G52" s="1770"/>
      <c r="H52" s="1770"/>
      <c r="I52" s="1770"/>
      <c r="J52" s="1770"/>
      <c r="K52" s="1770"/>
      <c r="L52" s="1770"/>
      <c r="M52" s="1770"/>
      <c r="N52" s="1771"/>
    </row>
    <row r="53" spans="2:14" ht="13.5">
      <c r="B53" s="1826" t="s">
        <v>192</v>
      </c>
      <c r="C53" s="1851"/>
      <c r="D53" s="1851"/>
      <c r="E53" s="1851"/>
      <c r="F53" s="1851"/>
      <c r="G53" s="1851"/>
      <c r="H53" s="1851"/>
      <c r="I53" s="178" t="s">
        <v>193</v>
      </c>
      <c r="J53" s="181" t="s">
        <v>194</v>
      </c>
      <c r="K53" s="182" t="s">
        <v>310</v>
      </c>
      <c r="L53" s="1829" t="s">
        <v>39</v>
      </c>
      <c r="M53" s="1832"/>
      <c r="N53" s="179" t="s">
        <v>191</v>
      </c>
    </row>
    <row r="54" spans="2:14">
      <c r="B54" s="1839"/>
      <c r="C54" s="1840"/>
      <c r="D54" s="1840"/>
      <c r="E54" s="1840"/>
      <c r="F54" s="1840"/>
      <c r="G54" s="1840"/>
      <c r="H54" s="1840"/>
      <c r="I54" s="100"/>
      <c r="J54" s="93"/>
      <c r="K54" s="100"/>
      <c r="L54" s="1843"/>
      <c r="M54" s="1844"/>
      <c r="N54" s="101">
        <v>0</v>
      </c>
    </row>
    <row r="55" spans="2:14" s="169" customFormat="1" ht="16.5" thickBot="1">
      <c r="B55" s="1834"/>
      <c r="C55" s="1835"/>
      <c r="D55" s="1835"/>
      <c r="E55" s="1835"/>
      <c r="F55" s="1835"/>
      <c r="G55" s="1835"/>
      <c r="H55" s="1835"/>
      <c r="I55" s="102"/>
      <c r="J55" s="87"/>
      <c r="K55" s="102"/>
      <c r="L55" s="1837"/>
      <c r="M55" s="1838"/>
      <c r="N55" s="103"/>
    </row>
    <row r="56" spans="2:14" ht="14.25" thickBot="1">
      <c r="B56" s="1848" t="s">
        <v>188</v>
      </c>
      <c r="C56" s="1849"/>
      <c r="D56" s="1849"/>
      <c r="E56" s="1849"/>
      <c r="F56" s="1849"/>
      <c r="G56" s="1849"/>
      <c r="H56" s="1849"/>
      <c r="I56" s="1849"/>
      <c r="J56" s="1849"/>
      <c r="K56" s="1849"/>
      <c r="L56" s="1849"/>
      <c r="M56" s="1850"/>
      <c r="N56" s="104">
        <v>0</v>
      </c>
    </row>
    <row r="57" spans="2:14">
      <c r="B57" s="1763" t="s">
        <v>52</v>
      </c>
      <c r="C57" s="1764"/>
      <c r="D57" s="1764"/>
      <c r="E57" s="1764"/>
      <c r="F57" s="1764"/>
      <c r="G57" s="1764"/>
      <c r="H57" s="1764"/>
      <c r="I57" s="1764"/>
      <c r="J57" s="1764"/>
      <c r="K57" s="1764"/>
      <c r="L57" s="1764"/>
      <c r="M57" s="1764"/>
      <c r="N57" s="1765"/>
    </row>
    <row r="58" spans="2:14">
      <c r="B58" s="1766"/>
      <c r="C58" s="1767"/>
      <c r="D58" s="1767"/>
      <c r="E58" s="1767"/>
      <c r="F58" s="1767"/>
      <c r="G58" s="1767"/>
      <c r="H58" s="1767"/>
      <c r="I58" s="1767"/>
      <c r="J58" s="1767"/>
      <c r="K58" s="1767"/>
      <c r="L58" s="1767"/>
      <c r="M58" s="1767"/>
      <c r="N58" s="1768"/>
    </row>
    <row r="59" spans="2:14" ht="13.5" thickBot="1">
      <c r="B59" s="1769"/>
      <c r="C59" s="1770"/>
      <c r="D59" s="1770"/>
      <c r="E59" s="1770"/>
      <c r="F59" s="1770"/>
      <c r="G59" s="1770"/>
      <c r="H59" s="1770"/>
      <c r="I59" s="1770"/>
      <c r="J59" s="1770"/>
      <c r="K59" s="1770"/>
      <c r="L59" s="1770"/>
      <c r="M59" s="1770"/>
      <c r="N59" s="1771"/>
    </row>
    <row r="60" spans="2:14" ht="13.5">
      <c r="B60" s="1826" t="s">
        <v>195</v>
      </c>
      <c r="C60" s="1851"/>
      <c r="D60" s="1851"/>
      <c r="E60" s="1851"/>
      <c r="F60" s="1851"/>
      <c r="G60" s="1851"/>
      <c r="H60" s="1851"/>
      <c r="I60" s="178" t="s">
        <v>196</v>
      </c>
      <c r="J60" s="181" t="s">
        <v>46</v>
      </c>
      <c r="K60" s="182" t="s">
        <v>197</v>
      </c>
      <c r="L60" s="1829" t="s">
        <v>186</v>
      </c>
      <c r="M60" s="1832"/>
      <c r="N60" s="179" t="s">
        <v>191</v>
      </c>
    </row>
    <row r="61" spans="2:14">
      <c r="B61" s="149" t="s">
        <v>61</v>
      </c>
      <c r="C61" s="150"/>
      <c r="D61" s="150"/>
      <c r="E61" s="150"/>
      <c r="F61" s="150"/>
      <c r="G61" s="150"/>
      <c r="H61" s="150"/>
      <c r="I61" s="107">
        <v>54800</v>
      </c>
      <c r="J61" s="108">
        <v>1.85</v>
      </c>
      <c r="K61" s="109">
        <v>101380</v>
      </c>
      <c r="L61" s="1861">
        <v>28000</v>
      </c>
      <c r="M61" s="1862"/>
      <c r="N61" s="110">
        <v>3.6207142857142856</v>
      </c>
    </row>
    <row r="62" spans="2:14">
      <c r="B62" s="149"/>
      <c r="C62" s="150"/>
      <c r="D62" s="150"/>
      <c r="E62" s="150"/>
      <c r="F62" s="150"/>
      <c r="G62" s="150"/>
      <c r="H62" s="150"/>
      <c r="I62" s="107"/>
      <c r="J62" s="108"/>
      <c r="K62" s="109"/>
      <c r="L62" s="1861"/>
      <c r="M62" s="1862"/>
      <c r="N62" s="110"/>
    </row>
    <row r="63" spans="2:14">
      <c r="B63" s="149"/>
      <c r="C63" s="150"/>
      <c r="D63" s="150"/>
      <c r="E63" s="150"/>
      <c r="F63" s="150"/>
      <c r="G63" s="150"/>
      <c r="H63" s="150"/>
      <c r="I63" s="107"/>
      <c r="J63" s="108"/>
      <c r="K63" s="109"/>
      <c r="L63" s="1859"/>
      <c r="M63" s="1860"/>
      <c r="N63" s="110"/>
    </row>
    <row r="64" spans="2:14" ht="13.5" thickBot="1">
      <c r="B64" s="1834"/>
      <c r="C64" s="1835"/>
      <c r="D64" s="1835"/>
      <c r="E64" s="1835"/>
      <c r="F64" s="1835"/>
      <c r="G64" s="1835"/>
      <c r="H64" s="1835"/>
      <c r="I64" s="102"/>
      <c r="J64" s="87"/>
      <c r="K64" s="102"/>
      <c r="L64" s="1837"/>
      <c r="M64" s="1838"/>
      <c r="N64" s="111"/>
    </row>
    <row r="65" spans="2:14" ht="14.25" thickBot="1">
      <c r="B65" s="1848" t="s">
        <v>188</v>
      </c>
      <c r="C65" s="1849"/>
      <c r="D65" s="1849"/>
      <c r="E65" s="1849"/>
      <c r="F65" s="1849"/>
      <c r="G65" s="1849"/>
      <c r="H65" s="1849"/>
      <c r="I65" s="1849"/>
      <c r="J65" s="1849"/>
      <c r="K65" s="1849"/>
      <c r="L65" s="1849"/>
      <c r="M65" s="1850"/>
      <c r="N65" s="112">
        <v>3.6207142857142856</v>
      </c>
    </row>
    <row r="66" spans="2:14" ht="13.5" thickBot="1">
      <c r="B66" s="85"/>
      <c r="C66" s="66"/>
      <c r="D66" s="66"/>
      <c r="E66" s="66"/>
      <c r="F66" s="66"/>
      <c r="G66" s="66"/>
      <c r="H66" s="66"/>
      <c r="I66" s="66"/>
      <c r="J66" s="66"/>
      <c r="K66" s="66"/>
      <c r="L66" s="66"/>
      <c r="M66" s="66"/>
      <c r="N66" s="73"/>
    </row>
    <row r="67" spans="2:14" ht="13.5" thickBot="1">
      <c r="B67" s="1854" t="s">
        <v>198</v>
      </c>
      <c r="C67" s="1855"/>
      <c r="D67" s="1855"/>
      <c r="E67" s="1855"/>
      <c r="F67" s="1855"/>
      <c r="G67" s="1855"/>
      <c r="H67" s="1855"/>
      <c r="I67" s="1855"/>
      <c r="J67" s="1855"/>
      <c r="K67" s="1855"/>
      <c r="L67" s="1855"/>
      <c r="M67" s="1856"/>
      <c r="N67" s="186">
        <v>523.62071428571426</v>
      </c>
    </row>
    <row r="68" spans="2:14">
      <c r="B68" s="1763" t="s">
        <v>53</v>
      </c>
      <c r="C68" s="1764"/>
      <c r="D68" s="1764"/>
      <c r="E68" s="1764"/>
      <c r="F68" s="1764"/>
      <c r="G68" s="1764"/>
      <c r="H68" s="1764"/>
      <c r="I68" s="1764"/>
      <c r="J68" s="1764"/>
      <c r="K68" s="1764"/>
      <c r="L68" s="1764"/>
      <c r="M68" s="1764"/>
      <c r="N68" s="1765"/>
    </row>
    <row r="69" spans="2:14">
      <c r="B69" s="1766"/>
      <c r="C69" s="1767"/>
      <c r="D69" s="1767"/>
      <c r="E69" s="1767"/>
      <c r="F69" s="1767"/>
      <c r="G69" s="1767"/>
      <c r="H69" s="1767"/>
      <c r="I69" s="1767"/>
      <c r="J69" s="1767"/>
      <c r="K69" s="1767"/>
      <c r="L69" s="1767"/>
      <c r="M69" s="1767"/>
      <c r="N69" s="1768"/>
    </row>
    <row r="70" spans="2:14" ht="13.5" thickBot="1">
      <c r="B70" s="1769"/>
      <c r="C70" s="1770"/>
      <c r="D70" s="1770"/>
      <c r="E70" s="1770"/>
      <c r="F70" s="1770"/>
      <c r="G70" s="1770"/>
      <c r="H70" s="1770"/>
      <c r="I70" s="1770"/>
      <c r="J70" s="1770"/>
      <c r="K70" s="1770"/>
      <c r="L70" s="1770"/>
      <c r="M70" s="1770"/>
      <c r="N70" s="1771"/>
    </row>
    <row r="71" spans="2:14" ht="13.5">
      <c r="B71" s="1826" t="s">
        <v>50</v>
      </c>
      <c r="C71" s="1851"/>
      <c r="D71" s="1851"/>
      <c r="E71" s="1851"/>
      <c r="F71" s="1851"/>
      <c r="G71" s="1851"/>
      <c r="H71" s="1851"/>
      <c r="I71" s="181"/>
      <c r="J71" s="187"/>
      <c r="K71" s="184" t="s">
        <v>54</v>
      </c>
      <c r="L71" s="1857" t="s">
        <v>55</v>
      </c>
      <c r="M71" s="1858"/>
      <c r="N71" s="185"/>
    </row>
    <row r="72" spans="2:14">
      <c r="B72" s="1839" t="s">
        <v>44</v>
      </c>
      <c r="C72" s="1840"/>
      <c r="D72" s="1840"/>
      <c r="E72" s="1840"/>
      <c r="F72" s="1840"/>
      <c r="G72" s="1840"/>
      <c r="H72" s="1840"/>
      <c r="I72" s="113"/>
      <c r="J72" s="114"/>
      <c r="K72" s="192">
        <v>0.22</v>
      </c>
      <c r="L72" s="1877">
        <v>115.19655714285713</v>
      </c>
      <c r="M72" s="1878"/>
      <c r="N72" s="115"/>
    </row>
    <row r="73" spans="2:14">
      <c r="B73" s="116" t="s">
        <v>56</v>
      </c>
      <c r="C73" s="117"/>
      <c r="D73" s="117"/>
      <c r="E73" s="117"/>
      <c r="F73" s="117"/>
      <c r="G73" s="117"/>
      <c r="H73" s="117"/>
      <c r="I73" s="113"/>
      <c r="J73" s="114"/>
      <c r="K73" s="192">
        <v>0.05</v>
      </c>
      <c r="L73" s="1877">
        <v>26.181035714285713</v>
      </c>
      <c r="M73" s="1878"/>
      <c r="N73" s="115"/>
    </row>
    <row r="74" spans="2:14" ht="13.5" thickBot="1">
      <c r="B74" s="118" t="s">
        <v>45</v>
      </c>
      <c r="C74" s="119"/>
      <c r="D74" s="119"/>
      <c r="E74" s="119"/>
      <c r="F74" s="119"/>
      <c r="G74" s="119"/>
      <c r="H74" s="119"/>
      <c r="I74" s="120"/>
      <c r="J74" s="121"/>
      <c r="K74" s="192">
        <v>0.05</v>
      </c>
      <c r="L74" s="1879">
        <v>26.181035714285713</v>
      </c>
      <c r="M74" s="1880"/>
      <c r="N74" s="115"/>
    </row>
    <row r="75" spans="2:14" ht="14.25" thickBot="1">
      <c r="B75" s="1848" t="s">
        <v>188</v>
      </c>
      <c r="C75" s="1849"/>
      <c r="D75" s="1849"/>
      <c r="E75" s="1849"/>
      <c r="F75" s="1849"/>
      <c r="G75" s="1849"/>
      <c r="H75" s="1849"/>
      <c r="I75" s="1849"/>
      <c r="J75" s="1849"/>
      <c r="K75" s="1849"/>
      <c r="L75" s="1849"/>
      <c r="M75" s="1850"/>
      <c r="N75" s="122">
        <v>167.55862857142856</v>
      </c>
    </row>
    <row r="76" spans="2:14" ht="13.5" thickBot="1">
      <c r="B76" s="85"/>
      <c r="C76" s="66"/>
      <c r="D76" s="66"/>
      <c r="E76" s="66"/>
      <c r="F76" s="66"/>
      <c r="G76" s="66"/>
      <c r="H76" s="66"/>
      <c r="I76" s="66"/>
      <c r="J76" s="66"/>
      <c r="K76" s="66"/>
      <c r="L76" s="66"/>
      <c r="M76" s="66"/>
      <c r="N76" s="73"/>
    </row>
    <row r="77" spans="2:14" ht="13.5" thickBot="1">
      <c r="B77" s="1854" t="s">
        <v>199</v>
      </c>
      <c r="C77" s="1855"/>
      <c r="D77" s="1855"/>
      <c r="E77" s="1855"/>
      <c r="F77" s="1855"/>
      <c r="G77" s="1855"/>
      <c r="H77" s="1855"/>
      <c r="I77" s="1855"/>
      <c r="J77" s="1855"/>
      <c r="K77" s="1855"/>
      <c r="L77" s="1855"/>
      <c r="M77" s="1856"/>
      <c r="N77" s="188">
        <v>691</v>
      </c>
    </row>
    <row r="78" spans="2:14" s="39" customFormat="1">
      <c r="B78" s="64"/>
      <c r="C78" s="65"/>
      <c r="D78" s="65"/>
      <c r="E78" s="65"/>
      <c r="F78" s="65"/>
      <c r="G78" s="65"/>
      <c r="H78" s="65"/>
      <c r="I78" s="65"/>
      <c r="J78" s="65"/>
      <c r="K78" s="65"/>
      <c r="L78" s="65"/>
      <c r="M78" s="65"/>
      <c r="N78" s="67"/>
    </row>
    <row r="79" spans="2:14" s="39" customFormat="1">
      <c r="B79" s="85"/>
      <c r="C79" s="66"/>
      <c r="D79" s="66"/>
      <c r="E79" s="66"/>
      <c r="F79" s="66"/>
      <c r="G79" s="66"/>
      <c r="H79" s="66"/>
      <c r="I79" s="66"/>
      <c r="J79" s="66"/>
      <c r="K79" s="66"/>
      <c r="L79" s="66"/>
      <c r="M79" s="66"/>
      <c r="N79" s="73"/>
    </row>
    <row r="80" spans="2:14" s="39" customFormat="1">
      <c r="B80" s="85"/>
      <c r="C80" s="66"/>
      <c r="D80" s="66"/>
      <c r="E80" s="66"/>
      <c r="F80" s="66"/>
      <c r="G80" s="66"/>
      <c r="H80" s="66"/>
      <c r="I80" s="66"/>
      <c r="J80" s="66"/>
      <c r="K80" s="66"/>
      <c r="L80" s="66"/>
      <c r="M80" s="66"/>
      <c r="N80" s="73"/>
    </row>
    <row r="81" spans="2:14" s="39" customFormat="1">
      <c r="B81" s="85"/>
      <c r="C81" s="66"/>
      <c r="D81" s="66"/>
      <c r="E81" s="66"/>
      <c r="F81" s="66"/>
      <c r="G81" s="71" t="s">
        <v>249</v>
      </c>
      <c r="H81" s="71"/>
      <c r="I81" s="71"/>
      <c r="J81" s="71"/>
      <c r="K81" s="66"/>
      <c r="L81" s="66"/>
      <c r="M81" s="66"/>
      <c r="N81" s="73"/>
    </row>
    <row r="82" spans="2:14" s="39" customFormat="1" ht="13.5">
      <c r="B82" s="123"/>
      <c r="C82" s="124"/>
      <c r="D82" s="124"/>
      <c r="E82" s="124"/>
      <c r="F82" s="124"/>
      <c r="G82" s="71" t="s">
        <v>250</v>
      </c>
      <c r="H82" s="124"/>
      <c r="I82" s="124"/>
      <c r="J82" s="124"/>
      <c r="K82" s="124"/>
      <c r="L82" s="124"/>
      <c r="M82" s="124"/>
      <c r="N82" s="125"/>
    </row>
    <row r="83" spans="2:14" s="39" customFormat="1" ht="13.5">
      <c r="B83" s="123"/>
      <c r="C83" s="124"/>
      <c r="D83" s="124"/>
      <c r="E83" s="124"/>
      <c r="F83" s="124"/>
      <c r="G83" s="71" t="s">
        <v>251</v>
      </c>
      <c r="J83" s="124"/>
      <c r="K83" s="124"/>
      <c r="L83" s="124"/>
      <c r="M83" s="124"/>
      <c r="N83" s="125"/>
    </row>
    <row r="84" spans="2:14" s="39" customFormat="1">
      <c r="B84" s="49"/>
      <c r="C84" s="81"/>
      <c r="D84" s="81"/>
      <c r="E84" s="81"/>
      <c r="F84" s="81"/>
      <c r="G84" s="71" t="s">
        <v>252</v>
      </c>
      <c r="H84" s="81"/>
      <c r="I84" s="81"/>
      <c r="J84" s="81"/>
      <c r="K84" s="81"/>
      <c r="L84" s="81"/>
      <c r="M84" s="81"/>
      <c r="N84" s="79"/>
    </row>
    <row r="85" spans="2:14" s="39" customFormat="1">
      <c r="B85" s="85"/>
      <c r="C85" s="66"/>
      <c r="D85" s="66"/>
      <c r="E85" s="66"/>
      <c r="F85" s="66"/>
      <c r="G85" s="66" t="s">
        <v>253</v>
      </c>
      <c r="H85" s="66"/>
      <c r="I85" s="66"/>
      <c r="J85" s="66"/>
      <c r="K85" s="66"/>
      <c r="L85" s="66"/>
      <c r="M85" s="66"/>
      <c r="N85" s="73"/>
    </row>
    <row r="86" spans="2:14" s="39" customFormat="1" ht="13.5">
      <c r="B86" s="92" t="s">
        <v>254</v>
      </c>
      <c r="C86" s="93"/>
      <c r="D86" s="93"/>
      <c r="E86" s="93"/>
      <c r="F86" s="93"/>
      <c r="G86" s="93"/>
      <c r="H86" s="93"/>
      <c r="I86" s="93"/>
      <c r="J86" s="93"/>
      <c r="K86" s="93"/>
      <c r="L86" s="93"/>
      <c r="M86" s="93"/>
      <c r="N86" s="94"/>
    </row>
    <row r="87" spans="2:14" s="39" customFormat="1">
      <c r="B87" s="1874"/>
      <c r="C87" s="1875"/>
      <c r="D87" s="1875"/>
      <c r="E87" s="1875"/>
      <c r="F87" s="1875"/>
      <c r="G87" s="1875"/>
      <c r="H87" s="1875"/>
      <c r="I87" s="1875"/>
      <c r="J87" s="1875"/>
      <c r="K87" s="1875"/>
      <c r="L87" s="1875"/>
      <c r="M87" s="1875"/>
      <c r="N87" s="1876"/>
    </row>
    <row r="88" spans="2:14" s="39" customFormat="1">
      <c r="B88" s="1874"/>
      <c r="C88" s="1875"/>
      <c r="D88" s="1875"/>
      <c r="E88" s="1875"/>
      <c r="F88" s="1875"/>
      <c r="G88" s="1875"/>
      <c r="H88" s="1875"/>
      <c r="I88" s="1875"/>
      <c r="J88" s="1875"/>
      <c r="K88" s="1875"/>
      <c r="L88" s="1875"/>
      <c r="M88" s="1875"/>
      <c r="N88" s="1876"/>
    </row>
    <row r="89" spans="2:14" s="39" customFormat="1">
      <c r="B89" s="49"/>
      <c r="C89" s="81"/>
      <c r="D89" s="81"/>
      <c r="E89" s="81"/>
      <c r="F89" s="81"/>
      <c r="G89" s="81"/>
      <c r="H89" s="81"/>
      <c r="I89" s="81"/>
      <c r="J89" s="81"/>
      <c r="K89" s="81"/>
      <c r="L89" s="81"/>
      <c r="M89" s="81"/>
      <c r="N89" s="79"/>
    </row>
    <row r="90" spans="2:14" s="39" customFormat="1">
      <c r="B90" s="406" t="s">
        <v>719</v>
      </c>
      <c r="C90" s="81"/>
      <c r="D90" s="81"/>
      <c r="E90" s="81"/>
      <c r="F90" s="81"/>
      <c r="G90" s="81"/>
      <c r="H90" s="81"/>
      <c r="I90" s="81"/>
      <c r="J90" s="81"/>
      <c r="K90" s="81"/>
      <c r="L90" s="81"/>
      <c r="M90" s="81"/>
      <c r="N90" s="79"/>
    </row>
    <row r="91" spans="2:14" s="39" customFormat="1" ht="12.75" customHeight="1">
      <c r="B91" s="1871" t="s">
        <v>720</v>
      </c>
      <c r="C91" s="1872"/>
      <c r="D91" s="1872"/>
      <c r="E91" s="1872"/>
      <c r="F91" s="1872"/>
      <c r="G91" s="1872"/>
      <c r="H91" s="1872"/>
      <c r="I91" s="1872"/>
      <c r="J91" s="1872"/>
      <c r="K91" s="1872"/>
      <c r="L91" s="1872"/>
      <c r="M91" s="1872"/>
      <c r="N91" s="1873"/>
    </row>
    <row r="92" spans="2:14" s="39" customFormat="1">
      <c r="B92" s="1871"/>
      <c r="C92" s="1872"/>
      <c r="D92" s="1872"/>
      <c r="E92" s="1872"/>
      <c r="F92" s="1872"/>
      <c r="G92" s="1872"/>
      <c r="H92" s="1872"/>
      <c r="I92" s="1872"/>
      <c r="J92" s="1872"/>
      <c r="K92" s="1872"/>
      <c r="L92" s="1872"/>
      <c r="M92" s="1872"/>
      <c r="N92" s="1873"/>
    </row>
    <row r="93" spans="2:14" s="39" customFormat="1">
      <c r="B93" s="1871" t="s">
        <v>721</v>
      </c>
      <c r="C93" s="1872"/>
      <c r="D93" s="1872"/>
      <c r="E93" s="1872"/>
      <c r="F93" s="1872"/>
      <c r="G93" s="1872"/>
      <c r="H93" s="1872"/>
      <c r="I93" s="1872"/>
      <c r="J93" s="1872"/>
      <c r="K93" s="1872"/>
      <c r="L93" s="1872"/>
      <c r="M93" s="1872"/>
      <c r="N93" s="1873"/>
    </row>
    <row r="94" spans="2:14" s="39" customFormat="1">
      <c r="B94" s="1871"/>
      <c r="C94" s="1872"/>
      <c r="D94" s="1872"/>
      <c r="E94" s="1872"/>
      <c r="F94" s="1872"/>
      <c r="G94" s="1872"/>
      <c r="H94" s="1872"/>
      <c r="I94" s="1872"/>
      <c r="J94" s="1872"/>
      <c r="K94" s="1872"/>
      <c r="L94" s="1872"/>
      <c r="M94" s="1872"/>
      <c r="N94" s="1873"/>
    </row>
    <row r="95" spans="2:14" s="39" customFormat="1">
      <c r="B95" s="49"/>
      <c r="C95" s="81"/>
      <c r="D95" s="81"/>
      <c r="E95" s="81"/>
      <c r="F95" s="81"/>
      <c r="G95" s="81"/>
      <c r="H95" s="81"/>
      <c r="I95" s="81"/>
      <c r="J95" s="81"/>
      <c r="K95" s="81"/>
      <c r="L95" s="81"/>
      <c r="M95" s="81"/>
      <c r="N95" s="79"/>
    </row>
    <row r="96" spans="2:14" s="39" customFormat="1">
      <c r="B96" s="85"/>
      <c r="C96" s="66"/>
      <c r="D96" s="66"/>
      <c r="E96" s="66"/>
      <c r="F96" s="66"/>
      <c r="G96" s="71" t="s">
        <v>249</v>
      </c>
      <c r="H96" s="66"/>
      <c r="I96" s="66"/>
      <c r="J96" s="66"/>
      <c r="K96" s="66"/>
      <c r="L96" s="66"/>
      <c r="M96" s="66"/>
      <c r="N96" s="73"/>
    </row>
    <row r="97" spans="2:14" s="39" customFormat="1">
      <c r="B97" s="85"/>
      <c r="C97" s="66"/>
      <c r="D97" s="66"/>
      <c r="E97" s="66"/>
      <c r="F97" s="66"/>
      <c r="G97" s="66" t="s">
        <v>250</v>
      </c>
      <c r="H97" s="86"/>
      <c r="I97" s="86"/>
      <c r="J97" s="86"/>
      <c r="K97" s="66"/>
      <c r="L97" s="66"/>
      <c r="M97" s="66"/>
      <c r="N97" s="73"/>
    </row>
    <row r="98" spans="2:14" s="39" customFormat="1">
      <c r="B98" s="85"/>
      <c r="C98" s="66"/>
      <c r="D98" s="66"/>
      <c r="E98" s="66"/>
      <c r="F98" s="66"/>
      <c r="G98" s="66" t="s">
        <v>255</v>
      </c>
      <c r="H98" s="80"/>
      <c r="I98" s="80"/>
      <c r="J98" s="80"/>
      <c r="M98" s="66"/>
      <c r="N98" s="73"/>
    </row>
    <row r="99" spans="2:14" s="39" customFormat="1">
      <c r="B99" s="127"/>
      <c r="C99" s="81"/>
      <c r="D99" s="81"/>
      <c r="E99" s="81"/>
      <c r="F99" s="81"/>
      <c r="G99" s="66" t="s">
        <v>252</v>
      </c>
      <c r="K99" s="81"/>
      <c r="L99" s="81"/>
      <c r="M99" s="81"/>
      <c r="N99" s="79"/>
    </row>
    <row r="100" spans="2:14" s="39" customFormat="1" ht="17.25" customHeight="1">
      <c r="B100" s="138" t="s">
        <v>722</v>
      </c>
      <c r="C100" s="128"/>
      <c r="D100" s="128"/>
      <c r="E100" s="66"/>
      <c r="F100" s="66"/>
      <c r="G100" s="66"/>
      <c r="H100" s="66"/>
      <c r="I100" s="66"/>
      <c r="J100" s="1863"/>
      <c r="K100" s="1863"/>
      <c r="L100" s="1863"/>
      <c r="M100" s="1863"/>
      <c r="N100" s="1864"/>
    </row>
    <row r="101" spans="2:14" s="39" customFormat="1" ht="18.75" customHeight="1" thickBot="1">
      <c r="B101" s="1867" t="s">
        <v>723</v>
      </c>
      <c r="C101" s="1868"/>
      <c r="D101" s="1868"/>
      <c r="E101" s="87"/>
      <c r="F101" s="87"/>
      <c r="G101" s="87"/>
      <c r="H101" s="87"/>
      <c r="I101" s="87"/>
      <c r="J101" s="1865"/>
      <c r="K101" s="1865"/>
      <c r="L101" s="1865"/>
      <c r="M101" s="1865"/>
      <c r="N101" s="1866"/>
    </row>
  </sheetData>
  <mergeCells count="89">
    <mergeCell ref="J100:N101"/>
    <mergeCell ref="B101:D101"/>
    <mergeCell ref="B57:N59"/>
    <mergeCell ref="B68:N70"/>
    <mergeCell ref="C33:K33"/>
    <mergeCell ref="C34:K34"/>
    <mergeCell ref="B35:N37"/>
    <mergeCell ref="B43:N45"/>
    <mergeCell ref="B50:N52"/>
    <mergeCell ref="B64:H64"/>
    <mergeCell ref="L64:M64"/>
    <mergeCell ref="B65:M65"/>
    <mergeCell ref="B67:M67"/>
    <mergeCell ref="L61:M61"/>
    <mergeCell ref="L62:M62"/>
    <mergeCell ref="B39:F39"/>
    <mergeCell ref="B60:H60"/>
    <mergeCell ref="L60:M60"/>
    <mergeCell ref="L39:M39"/>
    <mergeCell ref="B48:I48"/>
    <mergeCell ref="L48:M48"/>
    <mergeCell ref="B40:F40"/>
    <mergeCell ref="B42:M42"/>
    <mergeCell ref="B46:I46"/>
    <mergeCell ref="B41:F41"/>
    <mergeCell ref="G41:H41"/>
    <mergeCell ref="I41:J41"/>
    <mergeCell ref="L41:M41"/>
    <mergeCell ref="B87:N87"/>
    <mergeCell ref="B88:N88"/>
    <mergeCell ref="B72:H72"/>
    <mergeCell ref="L72:M72"/>
    <mergeCell ref="L73:M73"/>
    <mergeCell ref="L74:M74"/>
    <mergeCell ref="B75:M75"/>
    <mergeCell ref="B77:M77"/>
    <mergeCell ref="B91:N92"/>
    <mergeCell ref="B93:N94"/>
    <mergeCell ref="B71:H71"/>
    <mergeCell ref="L71:M71"/>
    <mergeCell ref="L46:M46"/>
    <mergeCell ref="B47:I47"/>
    <mergeCell ref="L47:M47"/>
    <mergeCell ref="L63:M63"/>
    <mergeCell ref="B49:M49"/>
    <mergeCell ref="B53:H53"/>
    <mergeCell ref="L53:M53"/>
    <mergeCell ref="B54:H54"/>
    <mergeCell ref="L54:M54"/>
    <mergeCell ref="B55:H55"/>
    <mergeCell ref="L55:M55"/>
    <mergeCell ref="B56:M56"/>
    <mergeCell ref="B38:F38"/>
    <mergeCell ref="G38:H38"/>
    <mergeCell ref="I38:J38"/>
    <mergeCell ref="L38:M38"/>
    <mergeCell ref="G40:H40"/>
    <mergeCell ref="I40:J40"/>
    <mergeCell ref="L40:M40"/>
    <mergeCell ref="G39:H39"/>
    <mergeCell ref="I39:J39"/>
    <mergeCell ref="L34:M34"/>
    <mergeCell ref="C5:J5"/>
    <mergeCell ref="K6:K8"/>
    <mergeCell ref="L6:L8"/>
    <mergeCell ref="M6:M8"/>
    <mergeCell ref="L4:N5"/>
    <mergeCell ref="D25:M25"/>
    <mergeCell ref="E27:M27"/>
    <mergeCell ref="G29:M29"/>
    <mergeCell ref="C8:J8"/>
    <mergeCell ref="B31:N31"/>
    <mergeCell ref="B12:E12"/>
    <mergeCell ref="N6:N8"/>
    <mergeCell ref="L33:M33"/>
    <mergeCell ref="B2:B8"/>
    <mergeCell ref="L14:N14"/>
    <mergeCell ref="D23:M23"/>
    <mergeCell ref="C6:J7"/>
    <mergeCell ref="H19:M19"/>
    <mergeCell ref="D20:M21"/>
    <mergeCell ref="C2:J2"/>
    <mergeCell ref="D13:G13"/>
    <mergeCell ref="J13:M13"/>
    <mergeCell ref="K2:K3"/>
    <mergeCell ref="L2:N3"/>
    <mergeCell ref="C3:J3"/>
    <mergeCell ref="C4:J4"/>
    <mergeCell ref="K4:K5"/>
  </mergeCells>
  <pageMargins left="0.7" right="0.7" top="0.75" bottom="0.75" header="0.3" footer="0.3"/>
  <drawing r:id="rId1"/>
  <legacyDrawing r:id="rId2"/>
  <oleObjects>
    <mc:AlternateContent xmlns:mc="http://schemas.openxmlformats.org/markup-compatibility/2006">
      <mc:Choice Requires="x14">
        <oleObject progId="PBrush" shapeId="19865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8657" r:id="rId3"/>
      </mc:Fallback>
    </mc:AlternateContent>
  </oleObjects>
  <mc:AlternateContent xmlns:mc="http://schemas.openxmlformats.org/markup-compatibility/2006">
    <mc:Choice Requires="x14">
      <controls>
        <mc:AlternateContent xmlns:mc="http://schemas.openxmlformats.org/markup-compatibility/2006">
          <mc:Choice Requires="x14">
            <control shapeId="19866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866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dimension ref="B1:N101"/>
  <sheetViews>
    <sheetView showGridLines="0" topLeftCell="A38" zoomScale="70" zoomScaleNormal="70" workbookViewId="0">
      <selection sqref="A1:XFD1048576"/>
    </sheetView>
  </sheetViews>
  <sheetFormatPr baseColWidth="10" defaultColWidth="11.42578125" defaultRowHeight="12.75"/>
  <cols>
    <col min="1" max="1" width="3.140625" style="168" customWidth="1"/>
    <col min="2" max="16384" width="11.42578125" style="168"/>
  </cols>
  <sheetData>
    <row r="1" spans="2:14" ht="13.5" thickBot="1"/>
    <row r="2" spans="2:14" s="39" customFormat="1">
      <c r="B2" s="1772"/>
      <c r="C2" s="1774"/>
      <c r="D2" s="1775"/>
      <c r="E2" s="1775"/>
      <c r="F2" s="1775"/>
      <c r="G2" s="1775"/>
      <c r="H2" s="1775"/>
      <c r="I2" s="1775"/>
      <c r="J2" s="1776"/>
      <c r="K2" s="1777" t="s">
        <v>228</v>
      </c>
      <c r="L2" s="1779" t="s">
        <v>716</v>
      </c>
      <c r="M2" s="1780"/>
      <c r="N2" s="1781"/>
    </row>
    <row r="3" spans="2:14" s="39" customFormat="1" ht="13.5">
      <c r="B3" s="1773"/>
      <c r="C3" s="1785" t="s">
        <v>69</v>
      </c>
      <c r="D3" s="1786"/>
      <c r="E3" s="1786"/>
      <c r="F3" s="1786"/>
      <c r="G3" s="1786"/>
      <c r="H3" s="1786"/>
      <c r="I3" s="1786"/>
      <c r="J3" s="1787"/>
      <c r="K3" s="1778"/>
      <c r="L3" s="1782"/>
      <c r="M3" s="1783"/>
      <c r="N3" s="1784"/>
    </row>
    <row r="4" spans="2:14" s="39" customFormat="1" ht="13.5">
      <c r="B4" s="1773"/>
      <c r="C4" s="1788" t="s">
        <v>303</v>
      </c>
      <c r="D4" s="1789"/>
      <c r="E4" s="1789"/>
      <c r="F4" s="1789"/>
      <c r="G4" s="1789"/>
      <c r="H4" s="1789"/>
      <c r="I4" s="1789"/>
      <c r="J4" s="1790"/>
      <c r="K4" s="1791" t="s">
        <v>230</v>
      </c>
      <c r="L4" s="1793">
        <v>2</v>
      </c>
      <c r="M4" s="1794"/>
      <c r="N4" s="1795"/>
    </row>
    <row r="5" spans="2:14" s="39" customFormat="1">
      <c r="B5" s="1773"/>
      <c r="C5" s="1799" t="s">
        <v>715</v>
      </c>
      <c r="D5" s="1800"/>
      <c r="E5" s="1800"/>
      <c r="F5" s="1800"/>
      <c r="G5" s="1800"/>
      <c r="H5" s="1800"/>
      <c r="I5" s="1800"/>
      <c r="J5" s="1801"/>
      <c r="K5" s="1792"/>
      <c r="L5" s="1796"/>
      <c r="M5" s="1797"/>
      <c r="N5" s="1798"/>
    </row>
    <row r="6" spans="2:14" s="39" customFormat="1" ht="12.75" customHeight="1">
      <c r="B6" s="1773"/>
      <c r="C6" s="1805" t="s">
        <v>304</v>
      </c>
      <c r="D6" s="1806"/>
      <c r="E6" s="1806"/>
      <c r="F6" s="1806"/>
      <c r="G6" s="1806"/>
      <c r="H6" s="1806"/>
      <c r="I6" s="1806"/>
      <c r="J6" s="1807"/>
      <c r="K6" s="1791" t="s">
        <v>232</v>
      </c>
      <c r="L6" s="1791">
        <v>1</v>
      </c>
      <c r="M6" s="1791" t="s">
        <v>233</v>
      </c>
      <c r="N6" s="1803">
        <v>1</v>
      </c>
    </row>
    <row r="7" spans="2:14" s="39" customFormat="1">
      <c r="B7" s="1773"/>
      <c r="C7" s="1805"/>
      <c r="D7" s="1806"/>
      <c r="E7" s="1806"/>
      <c r="F7" s="1806"/>
      <c r="G7" s="1806"/>
      <c r="H7" s="1806"/>
      <c r="I7" s="1806"/>
      <c r="J7" s="1807"/>
      <c r="K7" s="1802"/>
      <c r="L7" s="1802"/>
      <c r="M7" s="1802"/>
      <c r="N7" s="1804"/>
    </row>
    <row r="8" spans="2:14" s="39" customFormat="1">
      <c r="B8" s="1773"/>
      <c r="C8" s="1799" t="s">
        <v>234</v>
      </c>
      <c r="D8" s="1800"/>
      <c r="E8" s="1800"/>
      <c r="F8" s="1800"/>
      <c r="G8" s="1800"/>
      <c r="H8" s="1800"/>
      <c r="I8" s="1800"/>
      <c r="J8" s="1801"/>
      <c r="K8" s="1802"/>
      <c r="L8" s="1802"/>
      <c r="M8" s="1802"/>
      <c r="N8" s="1804"/>
    </row>
    <row r="9" spans="2:14" s="39" customFormat="1" ht="14.25" thickBot="1">
      <c r="B9" s="40"/>
      <c r="C9" s="41"/>
      <c r="D9" s="41"/>
      <c r="E9" s="41"/>
      <c r="F9" s="41"/>
      <c r="G9" s="41"/>
      <c r="H9" s="41"/>
      <c r="I9" s="41"/>
      <c r="J9" s="41"/>
      <c r="K9" s="41"/>
      <c r="L9" s="42"/>
      <c r="M9" s="42"/>
      <c r="N9" s="43"/>
    </row>
    <row r="10" spans="2:14" s="39" customFormat="1" ht="13.5">
      <c r="B10" s="44"/>
      <c r="C10" s="45"/>
      <c r="D10" s="45"/>
      <c r="E10" s="45"/>
      <c r="F10" s="45"/>
      <c r="G10" s="45"/>
      <c r="H10" s="45"/>
      <c r="I10" s="45"/>
      <c r="J10" s="45"/>
      <c r="K10" s="46" t="s">
        <v>235</v>
      </c>
      <c r="L10" s="47" t="s">
        <v>236</v>
      </c>
      <c r="M10" s="47" t="s">
        <v>237</v>
      </c>
      <c r="N10" s="48" t="s">
        <v>238</v>
      </c>
    </row>
    <row r="11" spans="2:14" s="39" customFormat="1" ht="13.5">
      <c r="B11" s="49"/>
      <c r="C11" s="50"/>
      <c r="D11" s="50"/>
      <c r="E11" s="50"/>
      <c r="F11" s="50"/>
      <c r="G11" s="50"/>
      <c r="H11" s="50"/>
      <c r="I11" s="50"/>
      <c r="J11" s="50"/>
      <c r="K11" s="51"/>
      <c r="L11" s="52" t="s">
        <v>294</v>
      </c>
      <c r="M11" s="52" t="s">
        <v>294</v>
      </c>
      <c r="N11" s="53" t="s">
        <v>294</v>
      </c>
    </row>
    <row r="12" spans="2:14" s="39" customFormat="1"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411</v>
      </c>
      <c r="C34" s="1885" t="s">
        <v>410</v>
      </c>
      <c r="D34" s="1887"/>
      <c r="E34" s="1887"/>
      <c r="F34" s="1887"/>
      <c r="G34" s="1887"/>
      <c r="H34" s="1887"/>
      <c r="I34" s="1887"/>
      <c r="J34" s="1887"/>
      <c r="K34" s="1886"/>
      <c r="L34" s="1885" t="s">
        <v>28</v>
      </c>
      <c r="M34" s="1886"/>
      <c r="N34" s="177">
        <v>621355</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c r="L38" s="1829"/>
      <c r="M38" s="1832"/>
      <c r="N38" s="179"/>
    </row>
    <row r="39" spans="2:14">
      <c r="B39" s="1839" t="s">
        <v>76</v>
      </c>
      <c r="C39" s="1840"/>
      <c r="D39" s="1840"/>
      <c r="E39" s="1840"/>
      <c r="F39" s="1841"/>
      <c r="G39" s="1842"/>
      <c r="H39" s="1841"/>
      <c r="I39" s="1842"/>
      <c r="J39" s="1841"/>
      <c r="K39" s="88">
        <v>84000</v>
      </c>
      <c r="L39" s="1859">
        <v>500</v>
      </c>
      <c r="M39" s="1860"/>
      <c r="N39" s="89">
        <v>168</v>
      </c>
    </row>
    <row r="40" spans="2:14">
      <c r="B40" s="1839" t="s">
        <v>262</v>
      </c>
      <c r="C40" s="1840"/>
      <c r="D40" s="1840"/>
      <c r="E40" s="1840"/>
      <c r="F40" s="1841"/>
      <c r="G40" s="1842"/>
      <c r="H40" s="1841"/>
      <c r="I40" s="1842"/>
      <c r="J40" s="1841"/>
      <c r="K40" s="88">
        <v>63000</v>
      </c>
      <c r="L40" s="1859">
        <v>500</v>
      </c>
      <c r="M40" s="1860"/>
      <c r="N40" s="89">
        <v>126</v>
      </c>
    </row>
    <row r="41" spans="2:14" ht="13.5" thickBot="1">
      <c r="B41" s="1839" t="s">
        <v>208</v>
      </c>
      <c r="C41" s="1840"/>
      <c r="D41" s="1840"/>
      <c r="E41" s="1840"/>
      <c r="F41" s="1841"/>
      <c r="G41" s="1842"/>
      <c r="H41" s="1841"/>
      <c r="I41" s="1842"/>
      <c r="J41" s="1841"/>
      <c r="K41" s="88"/>
      <c r="L41" s="1859"/>
      <c r="M41" s="1860"/>
      <c r="N41" s="89">
        <v>0.50690000000000002</v>
      </c>
    </row>
    <row r="42" spans="2:14" ht="14.25" thickBot="1">
      <c r="B42" s="1848" t="s">
        <v>188</v>
      </c>
      <c r="C42" s="1849"/>
      <c r="D42" s="1849"/>
      <c r="E42" s="1849"/>
      <c r="F42" s="1849"/>
      <c r="G42" s="1849"/>
      <c r="H42" s="1849"/>
      <c r="I42" s="1849"/>
      <c r="J42" s="1849"/>
      <c r="K42" s="1849"/>
      <c r="L42" s="1849"/>
      <c r="M42" s="1850"/>
      <c r="N42" s="91">
        <v>294.50689999999997</v>
      </c>
    </row>
    <row r="43" spans="2:14">
      <c r="B43" s="1763" t="s">
        <v>189</v>
      </c>
      <c r="C43" s="1764"/>
      <c r="D43" s="1764"/>
      <c r="E43" s="1764"/>
      <c r="F43" s="1764"/>
      <c r="G43" s="1764"/>
      <c r="H43" s="1764"/>
      <c r="I43" s="1764"/>
      <c r="J43" s="1764"/>
      <c r="K43" s="1764"/>
      <c r="L43" s="1764"/>
      <c r="M43" s="1764"/>
      <c r="N43" s="1765"/>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c r="B47" s="1839" t="s">
        <v>157</v>
      </c>
      <c r="C47" s="1840"/>
      <c r="D47" s="1840"/>
      <c r="E47" s="1840"/>
      <c r="F47" s="1840"/>
      <c r="G47" s="1840"/>
      <c r="H47" s="1840"/>
      <c r="I47" s="1841"/>
      <c r="J47" s="126" t="s">
        <v>34</v>
      </c>
      <c r="K47" s="96">
        <v>1</v>
      </c>
      <c r="L47" s="1852">
        <v>1904</v>
      </c>
      <c r="M47" s="1853"/>
      <c r="N47" s="89">
        <v>1904</v>
      </c>
    </row>
    <row r="48" spans="2:14" ht="13.5" thickBot="1">
      <c r="B48" s="1834" t="s">
        <v>73</v>
      </c>
      <c r="C48" s="1835"/>
      <c r="D48" s="1835"/>
      <c r="E48" s="1835"/>
      <c r="F48" s="1835"/>
      <c r="G48" s="1835"/>
      <c r="H48" s="1835"/>
      <c r="I48" s="1836"/>
      <c r="J48" s="396" t="s">
        <v>34</v>
      </c>
      <c r="K48" s="398">
        <v>0.15</v>
      </c>
      <c r="L48" s="1896">
        <v>55</v>
      </c>
      <c r="M48" s="1897"/>
      <c r="N48" s="89">
        <v>8.25</v>
      </c>
    </row>
    <row r="49" spans="2:14" ht="14.25" thickBot="1">
      <c r="B49" s="1848" t="s">
        <v>188</v>
      </c>
      <c r="C49" s="1849"/>
      <c r="D49" s="1849"/>
      <c r="E49" s="1849"/>
      <c r="F49" s="1849"/>
      <c r="G49" s="1849"/>
      <c r="H49" s="1849"/>
      <c r="I49" s="1849"/>
      <c r="J49" s="1849"/>
      <c r="K49" s="1849"/>
      <c r="L49" s="1849"/>
      <c r="M49" s="1850"/>
      <c r="N49" s="99">
        <v>1912.25</v>
      </c>
    </row>
    <row r="50" spans="2:14">
      <c r="B50" s="1763" t="s">
        <v>51</v>
      </c>
      <c r="C50" s="1764"/>
      <c r="D50" s="1764"/>
      <c r="E50" s="1764"/>
      <c r="F50" s="1764"/>
      <c r="G50" s="1764"/>
      <c r="H50" s="1764"/>
      <c r="I50" s="1764"/>
      <c r="J50" s="1764"/>
      <c r="K50" s="1764"/>
      <c r="L50" s="1764"/>
      <c r="M50" s="1764"/>
      <c r="N50" s="1765"/>
    </row>
    <row r="51" spans="2:14">
      <c r="B51" s="1766"/>
      <c r="C51" s="1767"/>
      <c r="D51" s="1767"/>
      <c r="E51" s="1767"/>
      <c r="F51" s="1767"/>
      <c r="G51" s="1767"/>
      <c r="H51" s="1767"/>
      <c r="I51" s="1767"/>
      <c r="J51" s="1767"/>
      <c r="K51" s="1767"/>
      <c r="L51" s="1767"/>
      <c r="M51" s="1767"/>
      <c r="N51" s="1768"/>
    </row>
    <row r="52" spans="2:14" ht="13.5" thickBot="1">
      <c r="B52" s="1769"/>
      <c r="C52" s="1770"/>
      <c r="D52" s="1770"/>
      <c r="E52" s="1770"/>
      <c r="F52" s="1770"/>
      <c r="G52" s="1770"/>
      <c r="H52" s="1770"/>
      <c r="I52" s="1770"/>
      <c r="J52" s="1770"/>
      <c r="K52" s="1770"/>
      <c r="L52" s="1770"/>
      <c r="M52" s="1770"/>
      <c r="N52" s="1771"/>
    </row>
    <row r="53" spans="2:14" ht="13.5">
      <c r="B53" s="1826" t="s">
        <v>192</v>
      </c>
      <c r="C53" s="1851"/>
      <c r="D53" s="1851"/>
      <c r="E53" s="1851"/>
      <c r="F53" s="1851"/>
      <c r="G53" s="1851"/>
      <c r="H53" s="1851"/>
      <c r="I53" s="178" t="s">
        <v>193</v>
      </c>
      <c r="J53" s="181" t="s">
        <v>194</v>
      </c>
      <c r="K53" s="182" t="s">
        <v>310</v>
      </c>
      <c r="L53" s="1829" t="s">
        <v>39</v>
      </c>
      <c r="M53" s="1832"/>
      <c r="N53" s="179" t="s">
        <v>191</v>
      </c>
    </row>
    <row r="54" spans="2:14">
      <c r="B54" s="1839"/>
      <c r="C54" s="1840"/>
      <c r="D54" s="1840"/>
      <c r="E54" s="1840"/>
      <c r="F54" s="1840"/>
      <c r="G54" s="1840"/>
      <c r="H54" s="1840"/>
      <c r="I54" s="100"/>
      <c r="J54" s="93"/>
      <c r="K54" s="100"/>
      <c r="L54" s="1843"/>
      <c r="M54" s="1844"/>
      <c r="N54" s="101">
        <v>0</v>
      </c>
    </row>
    <row r="55" spans="2:14" s="169" customFormat="1" ht="16.5" thickBot="1">
      <c r="B55" s="1834"/>
      <c r="C55" s="1835"/>
      <c r="D55" s="1835"/>
      <c r="E55" s="1835"/>
      <c r="F55" s="1835"/>
      <c r="G55" s="1835"/>
      <c r="H55" s="1835"/>
      <c r="I55" s="102"/>
      <c r="J55" s="87"/>
      <c r="K55" s="102"/>
      <c r="L55" s="1837"/>
      <c r="M55" s="1838"/>
      <c r="N55" s="103"/>
    </row>
    <row r="56" spans="2:14" ht="14.25" thickBot="1">
      <c r="B56" s="1848" t="s">
        <v>188</v>
      </c>
      <c r="C56" s="1849"/>
      <c r="D56" s="1849"/>
      <c r="E56" s="1849"/>
      <c r="F56" s="1849"/>
      <c r="G56" s="1849"/>
      <c r="H56" s="1849"/>
      <c r="I56" s="1849"/>
      <c r="J56" s="1849"/>
      <c r="K56" s="1849"/>
      <c r="L56" s="1849"/>
      <c r="M56" s="1850"/>
      <c r="N56" s="104">
        <v>0</v>
      </c>
    </row>
    <row r="57" spans="2:14">
      <c r="B57" s="1763" t="s">
        <v>52</v>
      </c>
      <c r="C57" s="1764"/>
      <c r="D57" s="1764"/>
      <c r="E57" s="1764"/>
      <c r="F57" s="1764"/>
      <c r="G57" s="1764"/>
      <c r="H57" s="1764"/>
      <c r="I57" s="1764"/>
      <c r="J57" s="1764"/>
      <c r="K57" s="1764"/>
      <c r="L57" s="1764"/>
      <c r="M57" s="1764"/>
      <c r="N57" s="1765"/>
    </row>
    <row r="58" spans="2:14">
      <c r="B58" s="1766"/>
      <c r="C58" s="1767"/>
      <c r="D58" s="1767"/>
      <c r="E58" s="1767"/>
      <c r="F58" s="1767"/>
      <c r="G58" s="1767"/>
      <c r="H58" s="1767"/>
      <c r="I58" s="1767"/>
      <c r="J58" s="1767"/>
      <c r="K58" s="1767"/>
      <c r="L58" s="1767"/>
      <c r="M58" s="1767"/>
      <c r="N58" s="1768"/>
    </row>
    <row r="59" spans="2:14" ht="13.5" thickBot="1">
      <c r="B59" s="1769"/>
      <c r="C59" s="1770"/>
      <c r="D59" s="1770"/>
      <c r="E59" s="1770"/>
      <c r="F59" s="1770"/>
      <c r="G59" s="1770"/>
      <c r="H59" s="1770"/>
      <c r="I59" s="1770"/>
      <c r="J59" s="1770"/>
      <c r="K59" s="1770"/>
      <c r="L59" s="1770"/>
      <c r="M59" s="1770"/>
      <c r="N59" s="1771"/>
    </row>
    <row r="60" spans="2:14" ht="13.5">
      <c r="B60" s="1826" t="s">
        <v>195</v>
      </c>
      <c r="C60" s="1851"/>
      <c r="D60" s="1851"/>
      <c r="E60" s="1851"/>
      <c r="F60" s="1851"/>
      <c r="G60" s="1851"/>
      <c r="H60" s="1851"/>
      <c r="I60" s="178" t="s">
        <v>196</v>
      </c>
      <c r="J60" s="181" t="s">
        <v>46</v>
      </c>
      <c r="K60" s="182" t="s">
        <v>197</v>
      </c>
      <c r="L60" s="1829" t="s">
        <v>186</v>
      </c>
      <c r="M60" s="1832"/>
      <c r="N60" s="179" t="s">
        <v>191</v>
      </c>
    </row>
    <row r="61" spans="2:14">
      <c r="B61" s="149" t="s">
        <v>61</v>
      </c>
      <c r="C61" s="150"/>
      <c r="D61" s="150"/>
      <c r="E61" s="150"/>
      <c r="F61" s="150"/>
      <c r="G61" s="150"/>
      <c r="H61" s="150"/>
      <c r="I61" s="107">
        <v>54800</v>
      </c>
      <c r="J61" s="108">
        <v>1.85</v>
      </c>
      <c r="K61" s="109">
        <v>101380</v>
      </c>
      <c r="L61" s="1861">
        <v>4000</v>
      </c>
      <c r="M61" s="1862"/>
      <c r="N61" s="110">
        <v>25.344999999999999</v>
      </c>
    </row>
    <row r="62" spans="2:14">
      <c r="B62" s="149"/>
      <c r="C62" s="150"/>
      <c r="D62" s="150"/>
      <c r="E62" s="150"/>
      <c r="F62" s="150"/>
      <c r="G62" s="150"/>
      <c r="H62" s="150"/>
      <c r="I62" s="107"/>
      <c r="J62" s="108"/>
      <c r="K62" s="109"/>
      <c r="L62" s="1861"/>
      <c r="M62" s="1862"/>
      <c r="N62" s="110"/>
    </row>
    <row r="63" spans="2:14">
      <c r="B63" s="149"/>
      <c r="C63" s="150"/>
      <c r="D63" s="150"/>
      <c r="E63" s="150"/>
      <c r="F63" s="150"/>
      <c r="G63" s="150"/>
      <c r="H63" s="150"/>
      <c r="I63" s="107"/>
      <c r="J63" s="108"/>
      <c r="K63" s="109"/>
      <c r="L63" s="1859"/>
      <c r="M63" s="1860"/>
      <c r="N63" s="110"/>
    </row>
    <row r="64" spans="2:14" ht="13.5" thickBot="1">
      <c r="B64" s="1834"/>
      <c r="C64" s="1835"/>
      <c r="D64" s="1835"/>
      <c r="E64" s="1835"/>
      <c r="F64" s="1835"/>
      <c r="G64" s="1835"/>
      <c r="H64" s="1835"/>
      <c r="I64" s="102"/>
      <c r="J64" s="87"/>
      <c r="K64" s="102"/>
      <c r="L64" s="1837"/>
      <c r="M64" s="1838"/>
      <c r="N64" s="111"/>
    </row>
    <row r="65" spans="2:14" ht="14.25" thickBot="1">
      <c r="B65" s="1848" t="s">
        <v>188</v>
      </c>
      <c r="C65" s="1849"/>
      <c r="D65" s="1849"/>
      <c r="E65" s="1849"/>
      <c r="F65" s="1849"/>
      <c r="G65" s="1849"/>
      <c r="H65" s="1849"/>
      <c r="I65" s="1849"/>
      <c r="J65" s="1849"/>
      <c r="K65" s="1849"/>
      <c r="L65" s="1849"/>
      <c r="M65" s="1850"/>
      <c r="N65" s="112">
        <v>25.344999999999999</v>
      </c>
    </row>
    <row r="66" spans="2:14" ht="13.5" thickBot="1">
      <c r="B66" s="85"/>
      <c r="C66" s="66"/>
      <c r="D66" s="66"/>
      <c r="E66" s="66"/>
      <c r="F66" s="66"/>
      <c r="G66" s="66"/>
      <c r="H66" s="66"/>
      <c r="I66" s="66"/>
      <c r="J66" s="66"/>
      <c r="K66" s="66"/>
      <c r="L66" s="66"/>
      <c r="M66" s="66"/>
      <c r="N66" s="73"/>
    </row>
    <row r="67" spans="2:14" ht="13.5" thickBot="1">
      <c r="B67" s="1854" t="s">
        <v>198</v>
      </c>
      <c r="C67" s="1855"/>
      <c r="D67" s="1855"/>
      <c r="E67" s="1855"/>
      <c r="F67" s="1855"/>
      <c r="G67" s="1855"/>
      <c r="H67" s="1855"/>
      <c r="I67" s="1855"/>
      <c r="J67" s="1855"/>
      <c r="K67" s="1855"/>
      <c r="L67" s="1855"/>
      <c r="M67" s="1856"/>
      <c r="N67" s="186">
        <v>2232.1019000000001</v>
      </c>
    </row>
    <row r="68" spans="2:14">
      <c r="B68" s="1763" t="s">
        <v>53</v>
      </c>
      <c r="C68" s="1764"/>
      <c r="D68" s="1764"/>
      <c r="E68" s="1764"/>
      <c r="F68" s="1764"/>
      <c r="G68" s="1764"/>
      <c r="H68" s="1764"/>
      <c r="I68" s="1764"/>
      <c r="J68" s="1764"/>
      <c r="K68" s="1764"/>
      <c r="L68" s="1764"/>
      <c r="M68" s="1764"/>
      <c r="N68" s="1765"/>
    </row>
    <row r="69" spans="2:14">
      <c r="B69" s="1766"/>
      <c r="C69" s="1767"/>
      <c r="D69" s="1767"/>
      <c r="E69" s="1767"/>
      <c r="F69" s="1767"/>
      <c r="G69" s="1767"/>
      <c r="H69" s="1767"/>
      <c r="I69" s="1767"/>
      <c r="J69" s="1767"/>
      <c r="K69" s="1767"/>
      <c r="L69" s="1767"/>
      <c r="M69" s="1767"/>
      <c r="N69" s="1768"/>
    </row>
    <row r="70" spans="2:14" ht="13.5" thickBot="1">
      <c r="B70" s="1769"/>
      <c r="C70" s="1770"/>
      <c r="D70" s="1770"/>
      <c r="E70" s="1770"/>
      <c r="F70" s="1770"/>
      <c r="G70" s="1770"/>
      <c r="H70" s="1770"/>
      <c r="I70" s="1770"/>
      <c r="J70" s="1770"/>
      <c r="K70" s="1770"/>
      <c r="L70" s="1770"/>
      <c r="M70" s="1770"/>
      <c r="N70" s="1771"/>
    </row>
    <row r="71" spans="2:14" ht="13.5">
      <c r="B71" s="1826" t="s">
        <v>50</v>
      </c>
      <c r="C71" s="1851"/>
      <c r="D71" s="1851"/>
      <c r="E71" s="1851"/>
      <c r="F71" s="1851"/>
      <c r="G71" s="1851"/>
      <c r="H71" s="1851"/>
      <c r="I71" s="181"/>
      <c r="J71" s="187"/>
      <c r="K71" s="184" t="s">
        <v>54</v>
      </c>
      <c r="L71" s="1857" t="s">
        <v>55</v>
      </c>
      <c r="M71" s="1858"/>
      <c r="N71" s="185"/>
    </row>
    <row r="72" spans="2:14">
      <c r="B72" s="1839" t="s">
        <v>44</v>
      </c>
      <c r="C72" s="1840"/>
      <c r="D72" s="1840"/>
      <c r="E72" s="1840"/>
      <c r="F72" s="1840"/>
      <c r="G72" s="1840"/>
      <c r="H72" s="1840"/>
      <c r="I72" s="113"/>
      <c r="J72" s="114"/>
      <c r="K72" s="192">
        <v>0.22</v>
      </c>
      <c r="L72" s="1877">
        <v>491.06241800000004</v>
      </c>
      <c r="M72" s="1878"/>
      <c r="N72" s="115"/>
    </row>
    <row r="73" spans="2:14">
      <c r="B73" s="116" t="s">
        <v>56</v>
      </c>
      <c r="C73" s="117"/>
      <c r="D73" s="117"/>
      <c r="E73" s="117"/>
      <c r="F73" s="117"/>
      <c r="G73" s="117"/>
      <c r="H73" s="117"/>
      <c r="I73" s="113"/>
      <c r="J73" s="114"/>
      <c r="K73" s="192">
        <v>0.05</v>
      </c>
      <c r="L73" s="1877">
        <v>111.60509500000001</v>
      </c>
      <c r="M73" s="1878"/>
      <c r="N73" s="115"/>
    </row>
    <row r="74" spans="2:14" ht="13.5" thickBot="1">
      <c r="B74" s="118" t="s">
        <v>45</v>
      </c>
      <c r="C74" s="119"/>
      <c r="D74" s="119"/>
      <c r="E74" s="119"/>
      <c r="F74" s="119"/>
      <c r="G74" s="119"/>
      <c r="H74" s="119"/>
      <c r="I74" s="120"/>
      <c r="J74" s="121"/>
      <c r="K74" s="192">
        <v>0.05</v>
      </c>
      <c r="L74" s="1879">
        <v>111.60509500000001</v>
      </c>
      <c r="M74" s="1880"/>
      <c r="N74" s="115"/>
    </row>
    <row r="75" spans="2:14" ht="14.25" thickBot="1">
      <c r="B75" s="1848" t="s">
        <v>188</v>
      </c>
      <c r="C75" s="1849"/>
      <c r="D75" s="1849"/>
      <c r="E75" s="1849"/>
      <c r="F75" s="1849"/>
      <c r="G75" s="1849"/>
      <c r="H75" s="1849"/>
      <c r="I75" s="1849"/>
      <c r="J75" s="1849"/>
      <c r="K75" s="1849"/>
      <c r="L75" s="1849"/>
      <c r="M75" s="1850"/>
      <c r="N75" s="122">
        <v>714.2726080000001</v>
      </c>
    </row>
    <row r="76" spans="2:14" ht="13.5" thickBot="1">
      <c r="B76" s="85"/>
      <c r="C76" s="66"/>
      <c r="D76" s="66"/>
      <c r="E76" s="66"/>
      <c r="F76" s="66"/>
      <c r="G76" s="66"/>
      <c r="H76" s="66"/>
      <c r="I76" s="66"/>
      <c r="J76" s="66"/>
      <c r="K76" s="66"/>
      <c r="L76" s="66"/>
      <c r="M76" s="66"/>
      <c r="N76" s="73"/>
    </row>
    <row r="77" spans="2:14" ht="13.5" thickBot="1">
      <c r="B77" s="1854" t="s">
        <v>199</v>
      </c>
      <c r="C77" s="1855"/>
      <c r="D77" s="1855"/>
      <c r="E77" s="1855"/>
      <c r="F77" s="1855"/>
      <c r="G77" s="1855"/>
      <c r="H77" s="1855"/>
      <c r="I77" s="1855"/>
      <c r="J77" s="1855"/>
      <c r="K77" s="1855"/>
      <c r="L77" s="1855"/>
      <c r="M77" s="1856"/>
      <c r="N77" s="188">
        <v>2946</v>
      </c>
    </row>
    <row r="78" spans="2:14" s="39" customFormat="1">
      <c r="B78" s="64"/>
      <c r="C78" s="65"/>
      <c r="D78" s="65"/>
      <c r="E78" s="65"/>
      <c r="F78" s="65"/>
      <c r="G78" s="65"/>
      <c r="H78" s="65"/>
      <c r="I78" s="65"/>
      <c r="J78" s="65"/>
      <c r="K78" s="65"/>
      <c r="L78" s="65"/>
      <c r="M78" s="65"/>
      <c r="N78" s="67"/>
    </row>
    <row r="79" spans="2:14" s="39" customFormat="1">
      <c r="B79" s="85"/>
      <c r="C79" s="66"/>
      <c r="D79" s="66"/>
      <c r="E79" s="66"/>
      <c r="F79" s="66"/>
      <c r="G79" s="66"/>
      <c r="H79" s="66"/>
      <c r="I79" s="66"/>
      <c r="J79" s="66"/>
      <c r="K79" s="66"/>
      <c r="L79" s="66"/>
      <c r="M79" s="66"/>
      <c r="N79" s="73"/>
    </row>
    <row r="80" spans="2:14" s="39" customFormat="1">
      <c r="B80" s="85"/>
      <c r="C80" s="66"/>
      <c r="D80" s="66"/>
      <c r="E80" s="66"/>
      <c r="F80" s="66"/>
      <c r="G80" s="66"/>
      <c r="H80" s="66"/>
      <c r="I80" s="66"/>
      <c r="J80" s="66"/>
      <c r="K80" s="66"/>
      <c r="L80" s="66"/>
      <c r="M80" s="66"/>
      <c r="N80" s="73"/>
    </row>
    <row r="81" spans="2:14" s="39" customFormat="1">
      <c r="B81" s="85"/>
      <c r="C81" s="66"/>
      <c r="D81" s="66"/>
      <c r="E81" s="66"/>
      <c r="F81" s="66"/>
      <c r="G81" s="71" t="s">
        <v>249</v>
      </c>
      <c r="H81" s="71"/>
      <c r="I81" s="71"/>
      <c r="J81" s="71"/>
      <c r="K81" s="66"/>
      <c r="L81" s="66"/>
      <c r="M81" s="66"/>
      <c r="N81" s="73"/>
    </row>
    <row r="82" spans="2:14" s="39" customFormat="1" ht="13.5">
      <c r="B82" s="123"/>
      <c r="C82" s="124"/>
      <c r="D82" s="124"/>
      <c r="E82" s="124"/>
      <c r="F82" s="124"/>
      <c r="G82" s="71" t="s">
        <v>250</v>
      </c>
      <c r="H82" s="124"/>
      <c r="I82" s="124"/>
      <c r="J82" s="124"/>
      <c r="K82" s="124"/>
      <c r="L82" s="124"/>
      <c r="M82" s="124"/>
      <c r="N82" s="125"/>
    </row>
    <row r="83" spans="2:14" s="39" customFormat="1" ht="13.5">
      <c r="B83" s="123"/>
      <c r="C83" s="124"/>
      <c r="D83" s="124"/>
      <c r="E83" s="124"/>
      <c r="F83" s="124"/>
      <c r="G83" s="71" t="s">
        <v>251</v>
      </c>
      <c r="J83" s="124"/>
      <c r="K83" s="124"/>
      <c r="L83" s="124"/>
      <c r="M83" s="124"/>
      <c r="N83" s="125"/>
    </row>
    <row r="84" spans="2:14" s="39" customFormat="1">
      <c r="B84" s="49"/>
      <c r="C84" s="81"/>
      <c r="D84" s="81"/>
      <c r="E84" s="81"/>
      <c r="F84" s="81"/>
      <c r="G84" s="71" t="s">
        <v>252</v>
      </c>
      <c r="H84" s="81"/>
      <c r="I84" s="81"/>
      <c r="J84" s="81"/>
      <c r="K84" s="81"/>
      <c r="L84" s="81"/>
      <c r="M84" s="81"/>
      <c r="N84" s="79"/>
    </row>
    <row r="85" spans="2:14" s="39" customFormat="1">
      <c r="B85" s="85"/>
      <c r="C85" s="66"/>
      <c r="D85" s="66"/>
      <c r="E85" s="66"/>
      <c r="F85" s="66"/>
      <c r="G85" s="66" t="s">
        <v>253</v>
      </c>
      <c r="H85" s="66"/>
      <c r="I85" s="66"/>
      <c r="J85" s="66"/>
      <c r="K85" s="66"/>
      <c r="L85" s="66"/>
      <c r="M85" s="66"/>
      <c r="N85" s="73"/>
    </row>
    <row r="86" spans="2:14" s="39" customFormat="1" ht="13.5">
      <c r="B86" s="92" t="s">
        <v>254</v>
      </c>
      <c r="C86" s="93"/>
      <c r="D86" s="93"/>
      <c r="E86" s="93"/>
      <c r="F86" s="93"/>
      <c r="G86" s="93"/>
      <c r="H86" s="93"/>
      <c r="I86" s="93"/>
      <c r="J86" s="93"/>
      <c r="K86" s="93"/>
      <c r="L86" s="93"/>
      <c r="M86" s="93"/>
      <c r="N86" s="94"/>
    </row>
    <row r="87" spans="2:14" s="39" customFormat="1">
      <c r="B87" s="1874"/>
      <c r="C87" s="1875"/>
      <c r="D87" s="1875"/>
      <c r="E87" s="1875"/>
      <c r="F87" s="1875"/>
      <c r="G87" s="1875"/>
      <c r="H87" s="1875"/>
      <c r="I87" s="1875"/>
      <c r="J87" s="1875"/>
      <c r="K87" s="1875"/>
      <c r="L87" s="1875"/>
      <c r="M87" s="1875"/>
      <c r="N87" s="1876"/>
    </row>
    <row r="88" spans="2:14" s="39" customFormat="1">
      <c r="B88" s="1874"/>
      <c r="C88" s="1875"/>
      <c r="D88" s="1875"/>
      <c r="E88" s="1875"/>
      <c r="F88" s="1875"/>
      <c r="G88" s="1875"/>
      <c r="H88" s="1875"/>
      <c r="I88" s="1875"/>
      <c r="J88" s="1875"/>
      <c r="K88" s="1875"/>
      <c r="L88" s="1875"/>
      <c r="M88" s="1875"/>
      <c r="N88" s="1876"/>
    </row>
    <row r="89" spans="2:14" s="39" customFormat="1">
      <c r="B89" s="49"/>
      <c r="C89" s="81"/>
      <c r="D89" s="81"/>
      <c r="E89" s="81"/>
      <c r="F89" s="81"/>
      <c r="G89" s="81"/>
      <c r="H89" s="81"/>
      <c r="I89" s="81"/>
      <c r="J89" s="81"/>
      <c r="K89" s="81"/>
      <c r="L89" s="81"/>
      <c r="M89" s="81"/>
      <c r="N89" s="79"/>
    </row>
    <row r="90" spans="2:14" s="39" customFormat="1">
      <c r="B90" s="406" t="s">
        <v>719</v>
      </c>
      <c r="C90" s="81"/>
      <c r="D90" s="81"/>
      <c r="E90" s="81"/>
      <c r="F90" s="81"/>
      <c r="G90" s="81"/>
      <c r="H90" s="81"/>
      <c r="I90" s="81"/>
      <c r="J90" s="81"/>
      <c r="K90" s="81"/>
      <c r="L90" s="81"/>
      <c r="M90" s="81"/>
      <c r="N90" s="79"/>
    </row>
    <row r="91" spans="2:14" s="39" customFormat="1" ht="12.75" customHeight="1">
      <c r="B91" s="1871" t="s">
        <v>720</v>
      </c>
      <c r="C91" s="1872"/>
      <c r="D91" s="1872"/>
      <c r="E91" s="1872"/>
      <c r="F91" s="1872"/>
      <c r="G91" s="1872"/>
      <c r="H91" s="1872"/>
      <c r="I91" s="1872"/>
      <c r="J91" s="1872"/>
      <c r="K91" s="1872"/>
      <c r="L91" s="1872"/>
      <c r="M91" s="1872"/>
      <c r="N91" s="1873"/>
    </row>
    <row r="92" spans="2:14" s="39" customFormat="1">
      <c r="B92" s="1871"/>
      <c r="C92" s="1872"/>
      <c r="D92" s="1872"/>
      <c r="E92" s="1872"/>
      <c r="F92" s="1872"/>
      <c r="G92" s="1872"/>
      <c r="H92" s="1872"/>
      <c r="I92" s="1872"/>
      <c r="J92" s="1872"/>
      <c r="K92" s="1872"/>
      <c r="L92" s="1872"/>
      <c r="M92" s="1872"/>
      <c r="N92" s="1873"/>
    </row>
    <row r="93" spans="2:14" s="39" customFormat="1">
      <c r="B93" s="1871" t="s">
        <v>721</v>
      </c>
      <c r="C93" s="1872"/>
      <c r="D93" s="1872"/>
      <c r="E93" s="1872"/>
      <c r="F93" s="1872"/>
      <c r="G93" s="1872"/>
      <c r="H93" s="1872"/>
      <c r="I93" s="1872"/>
      <c r="J93" s="1872"/>
      <c r="K93" s="1872"/>
      <c r="L93" s="1872"/>
      <c r="M93" s="1872"/>
      <c r="N93" s="1873"/>
    </row>
    <row r="94" spans="2:14" s="39" customFormat="1">
      <c r="B94" s="1871"/>
      <c r="C94" s="1872"/>
      <c r="D94" s="1872"/>
      <c r="E94" s="1872"/>
      <c r="F94" s="1872"/>
      <c r="G94" s="1872"/>
      <c r="H94" s="1872"/>
      <c r="I94" s="1872"/>
      <c r="J94" s="1872"/>
      <c r="K94" s="1872"/>
      <c r="L94" s="1872"/>
      <c r="M94" s="1872"/>
      <c r="N94" s="1873"/>
    </row>
    <row r="95" spans="2:14" s="39" customFormat="1">
      <c r="B95" s="49"/>
      <c r="C95" s="81"/>
      <c r="D95" s="81"/>
      <c r="E95" s="81"/>
      <c r="F95" s="81"/>
      <c r="G95" s="81"/>
      <c r="H95" s="81"/>
      <c r="I95" s="81"/>
      <c r="J95" s="81"/>
      <c r="K95" s="81"/>
      <c r="L95" s="81"/>
      <c r="M95" s="81"/>
      <c r="N95" s="79"/>
    </row>
    <row r="96" spans="2:14" s="39" customFormat="1">
      <c r="B96" s="85"/>
      <c r="C96" s="66"/>
      <c r="D96" s="66"/>
      <c r="E96" s="66"/>
      <c r="F96" s="66"/>
      <c r="G96" s="71" t="s">
        <v>249</v>
      </c>
      <c r="H96" s="66"/>
      <c r="I96" s="66"/>
      <c r="J96" s="66"/>
      <c r="K96" s="66"/>
      <c r="L96" s="66"/>
      <c r="M96" s="66"/>
      <c r="N96" s="73"/>
    </row>
    <row r="97" spans="2:14" s="39" customFormat="1">
      <c r="B97" s="85"/>
      <c r="C97" s="66"/>
      <c r="D97" s="66"/>
      <c r="E97" s="66"/>
      <c r="F97" s="66"/>
      <c r="G97" s="66" t="s">
        <v>250</v>
      </c>
      <c r="H97" s="86"/>
      <c r="I97" s="86"/>
      <c r="J97" s="86"/>
      <c r="K97" s="66"/>
      <c r="L97" s="66"/>
      <c r="M97" s="66"/>
      <c r="N97" s="73"/>
    </row>
    <row r="98" spans="2:14" s="39" customFormat="1">
      <c r="B98" s="85"/>
      <c r="C98" s="66"/>
      <c r="D98" s="66"/>
      <c r="E98" s="66"/>
      <c r="F98" s="66"/>
      <c r="G98" s="66" t="s">
        <v>255</v>
      </c>
      <c r="H98" s="80"/>
      <c r="I98" s="80"/>
      <c r="J98" s="80"/>
      <c r="M98" s="66"/>
      <c r="N98" s="73"/>
    </row>
    <row r="99" spans="2:14" s="39" customFormat="1">
      <c r="B99" s="127"/>
      <c r="C99" s="81"/>
      <c r="D99" s="81"/>
      <c r="E99" s="81"/>
      <c r="F99" s="81"/>
      <c r="G99" s="66" t="s">
        <v>252</v>
      </c>
      <c r="K99" s="81"/>
      <c r="L99" s="81"/>
      <c r="M99" s="81"/>
      <c r="N99" s="79"/>
    </row>
    <row r="100" spans="2:14" s="39" customFormat="1" ht="17.25" customHeight="1">
      <c r="B100" s="138" t="s">
        <v>722</v>
      </c>
      <c r="C100" s="128"/>
      <c r="D100" s="128"/>
      <c r="E100" s="66"/>
      <c r="F100" s="66"/>
      <c r="G100" s="66"/>
      <c r="H100" s="66"/>
      <c r="I100" s="66"/>
      <c r="J100" s="1863"/>
      <c r="K100" s="1863"/>
      <c r="L100" s="1863"/>
      <c r="M100" s="1863"/>
      <c r="N100" s="1864"/>
    </row>
    <row r="101" spans="2:14" s="39" customFormat="1" ht="18.75" customHeight="1" thickBot="1">
      <c r="B101" s="1867" t="s">
        <v>723</v>
      </c>
      <c r="C101" s="1868"/>
      <c r="D101" s="1868"/>
      <c r="E101" s="87"/>
      <c r="F101" s="87"/>
      <c r="G101" s="87"/>
      <c r="H101" s="87"/>
      <c r="I101" s="87"/>
      <c r="J101" s="1865"/>
      <c r="K101" s="1865"/>
      <c r="L101" s="1865"/>
      <c r="M101" s="1865"/>
      <c r="N101" s="1866"/>
    </row>
  </sheetData>
  <mergeCells count="89">
    <mergeCell ref="J100:N101"/>
    <mergeCell ref="B101:D101"/>
    <mergeCell ref="B12:E12"/>
    <mergeCell ref="B91:N92"/>
    <mergeCell ref="B93:N94"/>
    <mergeCell ref="B68:N70"/>
    <mergeCell ref="B71:H71"/>
    <mergeCell ref="L71:M71"/>
    <mergeCell ref="B87:N87"/>
    <mergeCell ref="B88:N88"/>
    <mergeCell ref="B72:H72"/>
    <mergeCell ref="L72:M72"/>
    <mergeCell ref="L73:M73"/>
    <mergeCell ref="L74:M74"/>
    <mergeCell ref="B75:M75"/>
    <mergeCell ref="B77:M77"/>
    <mergeCell ref="B65:M65"/>
    <mergeCell ref="B67:M67"/>
    <mergeCell ref="B54:H54"/>
    <mergeCell ref="L54:M54"/>
    <mergeCell ref="B55:H55"/>
    <mergeCell ref="L55:M55"/>
    <mergeCell ref="B56:M56"/>
    <mergeCell ref="B60:H60"/>
    <mergeCell ref="L60:M60"/>
    <mergeCell ref="L61:M61"/>
    <mergeCell ref="L62:M62"/>
    <mergeCell ref="L63:M63"/>
    <mergeCell ref="B64:H64"/>
    <mergeCell ref="L64:M64"/>
    <mergeCell ref="B57:N59"/>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K6:K8"/>
    <mergeCell ref="L2:N3"/>
    <mergeCell ref="C3:J3"/>
    <mergeCell ref="C4:J4"/>
    <mergeCell ref="K4:K5"/>
    <mergeCell ref="L4:N5"/>
    <mergeCell ref="C5:J5"/>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82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2273" r:id="rId3"/>
      </mc:Fallback>
    </mc:AlternateContent>
  </oleObjects>
  <mc:AlternateContent xmlns:mc="http://schemas.openxmlformats.org/markup-compatibility/2006">
    <mc:Choice Requires="x14">
      <controls>
        <mc:AlternateContent xmlns:mc="http://schemas.openxmlformats.org/markup-compatibility/2006">
          <mc:Choice Requires="x14">
            <control shapeId="1822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22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dimension ref="B1:N101"/>
  <sheetViews>
    <sheetView showGridLines="0" topLeftCell="A32" zoomScale="70" zoomScaleNormal="70" workbookViewId="0">
      <selection sqref="A1:XFD1048576"/>
    </sheetView>
  </sheetViews>
  <sheetFormatPr baseColWidth="10" defaultColWidth="11.42578125" defaultRowHeight="12.75"/>
  <cols>
    <col min="1" max="1" width="3.140625" style="168" customWidth="1"/>
    <col min="2" max="16384" width="11.42578125" style="168"/>
  </cols>
  <sheetData>
    <row r="1" spans="2:14" ht="13.5" thickBot="1"/>
    <row r="2" spans="2:14" s="39" customFormat="1">
      <c r="B2" s="1772"/>
      <c r="C2" s="1774"/>
      <c r="D2" s="1775"/>
      <c r="E2" s="1775"/>
      <c r="F2" s="1775"/>
      <c r="G2" s="1775"/>
      <c r="H2" s="1775"/>
      <c r="I2" s="1775"/>
      <c r="J2" s="1776"/>
      <c r="K2" s="1777" t="s">
        <v>228</v>
      </c>
      <c r="L2" s="1779" t="s">
        <v>716</v>
      </c>
      <c r="M2" s="1780"/>
      <c r="N2" s="1781"/>
    </row>
    <row r="3" spans="2:14" s="39" customFormat="1" ht="13.5">
      <c r="B3" s="1773"/>
      <c r="C3" s="1785" t="s">
        <v>69</v>
      </c>
      <c r="D3" s="1786"/>
      <c r="E3" s="1786"/>
      <c r="F3" s="1786"/>
      <c r="G3" s="1786"/>
      <c r="H3" s="1786"/>
      <c r="I3" s="1786"/>
      <c r="J3" s="1787"/>
      <c r="K3" s="1778"/>
      <c r="L3" s="1782"/>
      <c r="M3" s="1783"/>
      <c r="N3" s="1784"/>
    </row>
    <row r="4" spans="2:14" s="39" customFormat="1" ht="13.5">
      <c r="B4" s="1773"/>
      <c r="C4" s="1788" t="s">
        <v>303</v>
      </c>
      <c r="D4" s="1789"/>
      <c r="E4" s="1789"/>
      <c r="F4" s="1789"/>
      <c r="G4" s="1789"/>
      <c r="H4" s="1789"/>
      <c r="I4" s="1789"/>
      <c r="J4" s="1790"/>
      <c r="K4" s="1791" t="s">
        <v>230</v>
      </c>
      <c r="L4" s="1793">
        <v>2</v>
      </c>
      <c r="M4" s="1794"/>
      <c r="N4" s="1795"/>
    </row>
    <row r="5" spans="2:14" s="39" customFormat="1">
      <c r="B5" s="1773"/>
      <c r="C5" s="1799" t="s">
        <v>715</v>
      </c>
      <c r="D5" s="1800"/>
      <c r="E5" s="1800"/>
      <c r="F5" s="1800"/>
      <c r="G5" s="1800"/>
      <c r="H5" s="1800"/>
      <c r="I5" s="1800"/>
      <c r="J5" s="1801"/>
      <c r="K5" s="1792"/>
      <c r="L5" s="1796"/>
      <c r="M5" s="1797"/>
      <c r="N5" s="1798"/>
    </row>
    <row r="6" spans="2:14" s="39" customFormat="1" ht="12.75" customHeight="1">
      <c r="B6" s="1773"/>
      <c r="C6" s="1805" t="s">
        <v>304</v>
      </c>
      <c r="D6" s="1806"/>
      <c r="E6" s="1806"/>
      <c r="F6" s="1806"/>
      <c r="G6" s="1806"/>
      <c r="H6" s="1806"/>
      <c r="I6" s="1806"/>
      <c r="J6" s="1807"/>
      <c r="K6" s="1791" t="s">
        <v>232</v>
      </c>
      <c r="L6" s="1791">
        <v>1</v>
      </c>
      <c r="M6" s="1791" t="s">
        <v>233</v>
      </c>
      <c r="N6" s="1803">
        <v>1</v>
      </c>
    </row>
    <row r="7" spans="2:14" s="39" customFormat="1">
      <c r="B7" s="1773"/>
      <c r="C7" s="1805"/>
      <c r="D7" s="1806"/>
      <c r="E7" s="1806"/>
      <c r="F7" s="1806"/>
      <c r="G7" s="1806"/>
      <c r="H7" s="1806"/>
      <c r="I7" s="1806"/>
      <c r="J7" s="1807"/>
      <c r="K7" s="1802"/>
      <c r="L7" s="1802"/>
      <c r="M7" s="1802"/>
      <c r="N7" s="1804"/>
    </row>
    <row r="8" spans="2:14" s="39" customFormat="1">
      <c r="B8" s="1773"/>
      <c r="C8" s="1799" t="s">
        <v>234</v>
      </c>
      <c r="D8" s="1800"/>
      <c r="E8" s="1800"/>
      <c r="F8" s="1800"/>
      <c r="G8" s="1800"/>
      <c r="H8" s="1800"/>
      <c r="I8" s="1800"/>
      <c r="J8" s="1801"/>
      <c r="K8" s="1802"/>
      <c r="L8" s="1802"/>
      <c r="M8" s="1802"/>
      <c r="N8" s="1804"/>
    </row>
    <row r="9" spans="2:14" s="39" customFormat="1" ht="14.25" thickBot="1">
      <c r="B9" s="40"/>
      <c r="C9" s="41"/>
      <c r="D9" s="41"/>
      <c r="E9" s="41"/>
      <c r="F9" s="41"/>
      <c r="G9" s="41"/>
      <c r="H9" s="41"/>
      <c r="I9" s="41"/>
      <c r="J9" s="41"/>
      <c r="K9" s="41"/>
      <c r="L9" s="42"/>
      <c r="M9" s="42"/>
      <c r="N9" s="43"/>
    </row>
    <row r="10" spans="2:14" s="39" customFormat="1" ht="13.5">
      <c r="B10" s="44"/>
      <c r="C10" s="45"/>
      <c r="D10" s="45"/>
      <c r="E10" s="45"/>
      <c r="F10" s="45"/>
      <c r="G10" s="45"/>
      <c r="H10" s="45"/>
      <c r="I10" s="45"/>
      <c r="J10" s="45"/>
      <c r="K10" s="46" t="s">
        <v>235</v>
      </c>
      <c r="L10" s="47" t="s">
        <v>236</v>
      </c>
      <c r="M10" s="47" t="s">
        <v>237</v>
      </c>
      <c r="N10" s="48" t="s">
        <v>238</v>
      </c>
    </row>
    <row r="11" spans="2:14" s="39" customFormat="1" ht="13.5">
      <c r="B11" s="49"/>
      <c r="C11" s="50"/>
      <c r="D11" s="50"/>
      <c r="E11" s="50"/>
      <c r="F11" s="50"/>
      <c r="G11" s="50"/>
      <c r="H11" s="50"/>
      <c r="I11" s="50"/>
      <c r="J11" s="50"/>
      <c r="K11" s="51"/>
      <c r="L11" s="52" t="s">
        <v>294</v>
      </c>
      <c r="M11" s="52" t="s">
        <v>294</v>
      </c>
      <c r="N11" s="53" t="s">
        <v>294</v>
      </c>
    </row>
    <row r="12" spans="2:14" s="39" customFormat="1"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325</v>
      </c>
      <c r="C34" s="1885" t="s">
        <v>326</v>
      </c>
      <c r="D34" s="1887"/>
      <c r="E34" s="1887"/>
      <c r="F34" s="1887"/>
      <c r="G34" s="1887"/>
      <c r="H34" s="1887"/>
      <c r="I34" s="1887"/>
      <c r="J34" s="1887"/>
      <c r="K34" s="1886"/>
      <c r="L34" s="1885" t="s">
        <v>28</v>
      </c>
      <c r="M34" s="1886"/>
      <c r="N34" s="177">
        <v>618388</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c r="L38" s="1829"/>
      <c r="M38" s="1832"/>
      <c r="N38" s="179"/>
    </row>
    <row r="39" spans="2:14">
      <c r="B39" s="1839" t="s">
        <v>76</v>
      </c>
      <c r="C39" s="1840"/>
      <c r="D39" s="1840"/>
      <c r="E39" s="1840"/>
      <c r="F39" s="1841"/>
      <c r="G39" s="1842"/>
      <c r="H39" s="1841"/>
      <c r="I39" s="1842"/>
      <c r="J39" s="1841"/>
      <c r="K39" s="88">
        <v>84000</v>
      </c>
      <c r="L39" s="1859">
        <v>500</v>
      </c>
      <c r="M39" s="1860"/>
      <c r="N39" s="89">
        <v>168</v>
      </c>
    </row>
    <row r="40" spans="2:14">
      <c r="B40" s="1839" t="s">
        <v>262</v>
      </c>
      <c r="C40" s="1840"/>
      <c r="D40" s="1840"/>
      <c r="E40" s="1840"/>
      <c r="F40" s="1841"/>
      <c r="G40" s="1842"/>
      <c r="H40" s="1841"/>
      <c r="I40" s="1842"/>
      <c r="J40" s="1841"/>
      <c r="K40" s="88">
        <v>63000</v>
      </c>
      <c r="L40" s="1859">
        <v>500</v>
      </c>
      <c r="M40" s="1860"/>
      <c r="N40" s="89">
        <v>126</v>
      </c>
    </row>
    <row r="41" spans="2:14" ht="13.5" thickBot="1">
      <c r="B41" s="1839" t="s">
        <v>208</v>
      </c>
      <c r="C41" s="1840"/>
      <c r="D41" s="1840"/>
      <c r="E41" s="1840"/>
      <c r="F41" s="1841"/>
      <c r="G41" s="1842"/>
      <c r="H41" s="1841"/>
      <c r="I41" s="1842"/>
      <c r="J41" s="1841"/>
      <c r="K41" s="88"/>
      <c r="L41" s="1859"/>
      <c r="M41" s="1860"/>
      <c r="N41" s="89">
        <v>0.50690000000000002</v>
      </c>
    </row>
    <row r="42" spans="2:14" ht="14.25" thickBot="1">
      <c r="B42" s="1848" t="s">
        <v>188</v>
      </c>
      <c r="C42" s="1849"/>
      <c r="D42" s="1849"/>
      <c r="E42" s="1849"/>
      <c r="F42" s="1849"/>
      <c r="G42" s="1849"/>
      <c r="H42" s="1849"/>
      <c r="I42" s="1849"/>
      <c r="J42" s="1849"/>
      <c r="K42" s="1849"/>
      <c r="L42" s="1849"/>
      <c r="M42" s="1850"/>
      <c r="N42" s="91">
        <v>294.50689999999997</v>
      </c>
    </row>
    <row r="43" spans="2:14">
      <c r="B43" s="1763" t="s">
        <v>189</v>
      </c>
      <c r="C43" s="1764"/>
      <c r="D43" s="1764"/>
      <c r="E43" s="1764"/>
      <c r="F43" s="1764"/>
      <c r="G43" s="1764"/>
      <c r="H43" s="1764"/>
      <c r="I43" s="1764"/>
      <c r="J43" s="1764"/>
      <c r="K43" s="1764"/>
      <c r="L43" s="1764"/>
      <c r="M43" s="1764"/>
      <c r="N43" s="1765"/>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c r="B47" s="1839" t="s">
        <v>598</v>
      </c>
      <c r="C47" s="1840"/>
      <c r="D47" s="1840"/>
      <c r="E47" s="1840"/>
      <c r="F47" s="1840"/>
      <c r="G47" s="1840"/>
      <c r="H47" s="1840"/>
      <c r="I47" s="1841"/>
      <c r="J47" s="126" t="s">
        <v>34</v>
      </c>
      <c r="K47" s="96">
        <v>0.5</v>
      </c>
      <c r="L47" s="1852">
        <v>2100</v>
      </c>
      <c r="M47" s="1853"/>
      <c r="N47" s="89">
        <v>1050</v>
      </c>
    </row>
    <row r="48" spans="2:14" ht="13.5" thickBot="1">
      <c r="B48" s="1834" t="s">
        <v>73</v>
      </c>
      <c r="C48" s="1835"/>
      <c r="D48" s="1835"/>
      <c r="E48" s="1835"/>
      <c r="F48" s="1835"/>
      <c r="G48" s="1835"/>
      <c r="H48" s="1835"/>
      <c r="I48" s="1836"/>
      <c r="J48" s="396" t="s">
        <v>34</v>
      </c>
      <c r="K48" s="398">
        <v>0.15</v>
      </c>
      <c r="L48" s="1896">
        <v>55</v>
      </c>
      <c r="M48" s="1897"/>
      <c r="N48" s="89">
        <v>8.25</v>
      </c>
    </row>
    <row r="49" spans="2:14" ht="14.25" thickBot="1">
      <c r="B49" s="1848" t="s">
        <v>188</v>
      </c>
      <c r="C49" s="1849"/>
      <c r="D49" s="1849"/>
      <c r="E49" s="1849"/>
      <c r="F49" s="1849"/>
      <c r="G49" s="1849"/>
      <c r="H49" s="1849"/>
      <c r="I49" s="1849"/>
      <c r="J49" s="1849"/>
      <c r="K49" s="1849"/>
      <c r="L49" s="1849"/>
      <c r="M49" s="1850"/>
      <c r="N49" s="99">
        <v>1058.25</v>
      </c>
    </row>
    <row r="50" spans="2:14">
      <c r="B50" s="1763" t="s">
        <v>51</v>
      </c>
      <c r="C50" s="1764"/>
      <c r="D50" s="1764"/>
      <c r="E50" s="1764"/>
      <c r="F50" s="1764"/>
      <c r="G50" s="1764"/>
      <c r="H50" s="1764"/>
      <c r="I50" s="1764"/>
      <c r="J50" s="1764"/>
      <c r="K50" s="1764"/>
      <c r="L50" s="1764"/>
      <c r="M50" s="1764"/>
      <c r="N50" s="1765"/>
    </row>
    <row r="51" spans="2:14">
      <c r="B51" s="1766"/>
      <c r="C51" s="1767"/>
      <c r="D51" s="1767"/>
      <c r="E51" s="1767"/>
      <c r="F51" s="1767"/>
      <c r="G51" s="1767"/>
      <c r="H51" s="1767"/>
      <c r="I51" s="1767"/>
      <c r="J51" s="1767"/>
      <c r="K51" s="1767"/>
      <c r="L51" s="1767"/>
      <c r="M51" s="1767"/>
      <c r="N51" s="1768"/>
    </row>
    <row r="52" spans="2:14" ht="13.5" thickBot="1">
      <c r="B52" s="1769"/>
      <c r="C52" s="1770"/>
      <c r="D52" s="1770"/>
      <c r="E52" s="1770"/>
      <c r="F52" s="1770"/>
      <c r="G52" s="1770"/>
      <c r="H52" s="1770"/>
      <c r="I52" s="1770"/>
      <c r="J52" s="1770"/>
      <c r="K52" s="1770"/>
      <c r="L52" s="1770"/>
      <c r="M52" s="1770"/>
      <c r="N52" s="1771"/>
    </row>
    <row r="53" spans="2:14" ht="13.5">
      <c r="B53" s="1826" t="s">
        <v>192</v>
      </c>
      <c r="C53" s="1851"/>
      <c r="D53" s="1851"/>
      <c r="E53" s="1851"/>
      <c r="F53" s="1851"/>
      <c r="G53" s="1851"/>
      <c r="H53" s="1851"/>
      <c r="I53" s="178" t="s">
        <v>193</v>
      </c>
      <c r="J53" s="181" t="s">
        <v>194</v>
      </c>
      <c r="K53" s="182" t="s">
        <v>310</v>
      </c>
      <c r="L53" s="1829" t="s">
        <v>39</v>
      </c>
      <c r="M53" s="1832"/>
      <c r="N53" s="179" t="s">
        <v>191</v>
      </c>
    </row>
    <row r="54" spans="2:14">
      <c r="B54" s="1839"/>
      <c r="C54" s="1840"/>
      <c r="D54" s="1840"/>
      <c r="E54" s="1840"/>
      <c r="F54" s="1840"/>
      <c r="G54" s="1840"/>
      <c r="H54" s="1840"/>
      <c r="I54" s="100"/>
      <c r="J54" s="93"/>
      <c r="K54" s="100"/>
      <c r="L54" s="1843"/>
      <c r="M54" s="1844"/>
      <c r="N54" s="101">
        <v>0</v>
      </c>
    </row>
    <row r="55" spans="2:14" s="169" customFormat="1" ht="16.5" thickBot="1">
      <c r="B55" s="1834"/>
      <c r="C55" s="1835"/>
      <c r="D55" s="1835"/>
      <c r="E55" s="1835"/>
      <c r="F55" s="1835"/>
      <c r="G55" s="1835"/>
      <c r="H55" s="1835"/>
      <c r="I55" s="102"/>
      <c r="J55" s="87"/>
      <c r="K55" s="102"/>
      <c r="L55" s="1837"/>
      <c r="M55" s="1838"/>
      <c r="N55" s="103"/>
    </row>
    <row r="56" spans="2:14" ht="14.25" thickBot="1">
      <c r="B56" s="1848" t="s">
        <v>188</v>
      </c>
      <c r="C56" s="1849"/>
      <c r="D56" s="1849"/>
      <c r="E56" s="1849"/>
      <c r="F56" s="1849"/>
      <c r="G56" s="1849"/>
      <c r="H56" s="1849"/>
      <c r="I56" s="1849"/>
      <c r="J56" s="1849"/>
      <c r="K56" s="1849"/>
      <c r="L56" s="1849"/>
      <c r="M56" s="1850"/>
      <c r="N56" s="104">
        <v>0</v>
      </c>
    </row>
    <row r="57" spans="2:14">
      <c r="B57" s="1763" t="s">
        <v>52</v>
      </c>
      <c r="C57" s="1764"/>
      <c r="D57" s="1764"/>
      <c r="E57" s="1764"/>
      <c r="F57" s="1764"/>
      <c r="G57" s="1764"/>
      <c r="H57" s="1764"/>
      <c r="I57" s="1764"/>
      <c r="J57" s="1764"/>
      <c r="K57" s="1764"/>
      <c r="L57" s="1764"/>
      <c r="M57" s="1764"/>
      <c r="N57" s="1765"/>
    </row>
    <row r="58" spans="2:14">
      <c r="B58" s="1766"/>
      <c r="C58" s="1767"/>
      <c r="D58" s="1767"/>
      <c r="E58" s="1767"/>
      <c r="F58" s="1767"/>
      <c r="G58" s="1767"/>
      <c r="H58" s="1767"/>
      <c r="I58" s="1767"/>
      <c r="J58" s="1767"/>
      <c r="K58" s="1767"/>
      <c r="L58" s="1767"/>
      <c r="M58" s="1767"/>
      <c r="N58" s="1768"/>
    </row>
    <row r="59" spans="2:14" ht="13.5" thickBot="1">
      <c r="B59" s="1769"/>
      <c r="C59" s="1770"/>
      <c r="D59" s="1770"/>
      <c r="E59" s="1770"/>
      <c r="F59" s="1770"/>
      <c r="G59" s="1770"/>
      <c r="H59" s="1770"/>
      <c r="I59" s="1770"/>
      <c r="J59" s="1770"/>
      <c r="K59" s="1770"/>
      <c r="L59" s="1770"/>
      <c r="M59" s="1770"/>
      <c r="N59" s="1771"/>
    </row>
    <row r="60" spans="2:14" ht="13.5">
      <c r="B60" s="1826" t="s">
        <v>195</v>
      </c>
      <c r="C60" s="1851"/>
      <c r="D60" s="1851"/>
      <c r="E60" s="1851"/>
      <c r="F60" s="1851"/>
      <c r="G60" s="1851"/>
      <c r="H60" s="1851"/>
      <c r="I60" s="178" t="s">
        <v>196</v>
      </c>
      <c r="J60" s="181" t="s">
        <v>46</v>
      </c>
      <c r="K60" s="182" t="s">
        <v>197</v>
      </c>
      <c r="L60" s="1829" t="s">
        <v>186</v>
      </c>
      <c r="M60" s="1832"/>
      <c r="N60" s="179" t="s">
        <v>191</v>
      </c>
    </row>
    <row r="61" spans="2:14">
      <c r="B61" s="149" t="s">
        <v>61</v>
      </c>
      <c r="C61" s="150"/>
      <c r="D61" s="150"/>
      <c r="E61" s="150"/>
      <c r="F61" s="150"/>
      <c r="G61" s="150"/>
      <c r="H61" s="150"/>
      <c r="I61" s="107">
        <v>54800</v>
      </c>
      <c r="J61" s="108">
        <v>1.85</v>
      </c>
      <c r="K61" s="109">
        <v>101380</v>
      </c>
      <c r="L61" s="1861">
        <v>4000</v>
      </c>
      <c r="M61" s="1862"/>
      <c r="N61" s="110">
        <v>25.344999999999999</v>
      </c>
    </row>
    <row r="62" spans="2:14">
      <c r="B62" s="149"/>
      <c r="C62" s="150"/>
      <c r="D62" s="150"/>
      <c r="E62" s="150"/>
      <c r="F62" s="150"/>
      <c r="G62" s="150"/>
      <c r="H62" s="150"/>
      <c r="I62" s="107"/>
      <c r="J62" s="108"/>
      <c r="K62" s="109"/>
      <c r="L62" s="1861"/>
      <c r="M62" s="1862"/>
      <c r="N62" s="110"/>
    </row>
    <row r="63" spans="2:14">
      <c r="B63" s="149"/>
      <c r="C63" s="150"/>
      <c r="D63" s="150"/>
      <c r="E63" s="150"/>
      <c r="F63" s="150"/>
      <c r="G63" s="150"/>
      <c r="H63" s="150"/>
      <c r="I63" s="107"/>
      <c r="J63" s="108"/>
      <c r="K63" s="109"/>
      <c r="L63" s="1859"/>
      <c r="M63" s="1860"/>
      <c r="N63" s="110"/>
    </row>
    <row r="64" spans="2:14" ht="13.5" thickBot="1">
      <c r="B64" s="1834"/>
      <c r="C64" s="1835"/>
      <c r="D64" s="1835"/>
      <c r="E64" s="1835"/>
      <c r="F64" s="1835"/>
      <c r="G64" s="1835"/>
      <c r="H64" s="1835"/>
      <c r="I64" s="102"/>
      <c r="J64" s="87"/>
      <c r="K64" s="102"/>
      <c r="L64" s="1837"/>
      <c r="M64" s="1838"/>
      <c r="N64" s="111"/>
    </row>
    <row r="65" spans="2:14" ht="14.25" thickBot="1">
      <c r="B65" s="1848" t="s">
        <v>188</v>
      </c>
      <c r="C65" s="1849"/>
      <c r="D65" s="1849"/>
      <c r="E65" s="1849"/>
      <c r="F65" s="1849"/>
      <c r="G65" s="1849"/>
      <c r="H65" s="1849"/>
      <c r="I65" s="1849"/>
      <c r="J65" s="1849"/>
      <c r="K65" s="1849"/>
      <c r="L65" s="1849"/>
      <c r="M65" s="1850"/>
      <c r="N65" s="112">
        <v>25.344999999999999</v>
      </c>
    </row>
    <row r="66" spans="2:14" ht="13.5" thickBot="1">
      <c r="B66" s="85"/>
      <c r="C66" s="66"/>
      <c r="D66" s="66"/>
      <c r="E66" s="66"/>
      <c r="F66" s="66"/>
      <c r="G66" s="66"/>
      <c r="H66" s="66"/>
      <c r="I66" s="66"/>
      <c r="J66" s="66"/>
      <c r="K66" s="66"/>
      <c r="L66" s="66"/>
      <c r="M66" s="66"/>
      <c r="N66" s="73"/>
    </row>
    <row r="67" spans="2:14" ht="13.5" thickBot="1">
      <c r="B67" s="1854" t="s">
        <v>198</v>
      </c>
      <c r="C67" s="1855"/>
      <c r="D67" s="1855"/>
      <c r="E67" s="1855"/>
      <c r="F67" s="1855"/>
      <c r="G67" s="1855"/>
      <c r="H67" s="1855"/>
      <c r="I67" s="1855"/>
      <c r="J67" s="1855"/>
      <c r="K67" s="1855"/>
      <c r="L67" s="1855"/>
      <c r="M67" s="1856"/>
      <c r="N67" s="186">
        <v>1378.1019000000001</v>
      </c>
    </row>
    <row r="68" spans="2:14">
      <c r="B68" s="1763" t="s">
        <v>53</v>
      </c>
      <c r="C68" s="1764"/>
      <c r="D68" s="1764"/>
      <c r="E68" s="1764"/>
      <c r="F68" s="1764"/>
      <c r="G68" s="1764"/>
      <c r="H68" s="1764"/>
      <c r="I68" s="1764"/>
      <c r="J68" s="1764"/>
      <c r="K68" s="1764"/>
      <c r="L68" s="1764"/>
      <c r="M68" s="1764"/>
      <c r="N68" s="1765"/>
    </row>
    <row r="69" spans="2:14">
      <c r="B69" s="1766"/>
      <c r="C69" s="1767"/>
      <c r="D69" s="1767"/>
      <c r="E69" s="1767"/>
      <c r="F69" s="1767"/>
      <c r="G69" s="1767"/>
      <c r="H69" s="1767"/>
      <c r="I69" s="1767"/>
      <c r="J69" s="1767"/>
      <c r="K69" s="1767"/>
      <c r="L69" s="1767"/>
      <c r="M69" s="1767"/>
      <c r="N69" s="1768"/>
    </row>
    <row r="70" spans="2:14" ht="13.5" thickBot="1">
      <c r="B70" s="1769"/>
      <c r="C70" s="1770"/>
      <c r="D70" s="1770"/>
      <c r="E70" s="1770"/>
      <c r="F70" s="1770"/>
      <c r="G70" s="1770"/>
      <c r="H70" s="1770"/>
      <c r="I70" s="1770"/>
      <c r="J70" s="1770"/>
      <c r="K70" s="1770"/>
      <c r="L70" s="1770"/>
      <c r="M70" s="1770"/>
      <c r="N70" s="1771"/>
    </row>
    <row r="71" spans="2:14" ht="13.5">
      <c r="B71" s="1826" t="s">
        <v>50</v>
      </c>
      <c r="C71" s="1851"/>
      <c r="D71" s="1851"/>
      <c r="E71" s="1851"/>
      <c r="F71" s="1851"/>
      <c r="G71" s="1851"/>
      <c r="H71" s="1851"/>
      <c r="I71" s="181"/>
      <c r="J71" s="187"/>
      <c r="K71" s="184" t="s">
        <v>54</v>
      </c>
      <c r="L71" s="1857" t="s">
        <v>55</v>
      </c>
      <c r="M71" s="1858"/>
      <c r="N71" s="185"/>
    </row>
    <row r="72" spans="2:14">
      <c r="B72" s="1839" t="s">
        <v>44</v>
      </c>
      <c r="C72" s="1840"/>
      <c r="D72" s="1840"/>
      <c r="E72" s="1840"/>
      <c r="F72" s="1840"/>
      <c r="G72" s="1840"/>
      <c r="H72" s="1840"/>
      <c r="I72" s="113"/>
      <c r="J72" s="114"/>
      <c r="K72" s="192">
        <v>0.22</v>
      </c>
      <c r="L72" s="1877">
        <v>303.18241800000004</v>
      </c>
      <c r="M72" s="1878"/>
      <c r="N72" s="115"/>
    </row>
    <row r="73" spans="2:14">
      <c r="B73" s="116" t="s">
        <v>56</v>
      </c>
      <c r="C73" s="117"/>
      <c r="D73" s="117"/>
      <c r="E73" s="117"/>
      <c r="F73" s="117"/>
      <c r="G73" s="117"/>
      <c r="H73" s="117"/>
      <c r="I73" s="113"/>
      <c r="J73" s="114"/>
      <c r="K73" s="192">
        <v>0.05</v>
      </c>
      <c r="L73" s="1877">
        <v>68.905095000000003</v>
      </c>
      <c r="M73" s="1878"/>
      <c r="N73" s="115"/>
    </row>
    <row r="74" spans="2:14" ht="13.5" thickBot="1">
      <c r="B74" s="118" t="s">
        <v>45</v>
      </c>
      <c r="C74" s="119"/>
      <c r="D74" s="119"/>
      <c r="E74" s="119"/>
      <c r="F74" s="119"/>
      <c r="G74" s="119"/>
      <c r="H74" s="119"/>
      <c r="I74" s="120"/>
      <c r="J74" s="121"/>
      <c r="K74" s="192">
        <v>0.05</v>
      </c>
      <c r="L74" s="1879">
        <v>68.905095000000003</v>
      </c>
      <c r="M74" s="1880"/>
      <c r="N74" s="115"/>
    </row>
    <row r="75" spans="2:14" ht="14.25" thickBot="1">
      <c r="B75" s="1848" t="s">
        <v>188</v>
      </c>
      <c r="C75" s="1849"/>
      <c r="D75" s="1849"/>
      <c r="E75" s="1849"/>
      <c r="F75" s="1849"/>
      <c r="G75" s="1849"/>
      <c r="H75" s="1849"/>
      <c r="I75" s="1849"/>
      <c r="J75" s="1849"/>
      <c r="K75" s="1849"/>
      <c r="L75" s="1849"/>
      <c r="M75" s="1850"/>
      <c r="N75" s="122">
        <v>440.99260800000008</v>
      </c>
    </row>
    <row r="76" spans="2:14" ht="13.5" thickBot="1">
      <c r="B76" s="85"/>
      <c r="C76" s="66"/>
      <c r="D76" s="66"/>
      <c r="E76" s="66"/>
      <c r="F76" s="66"/>
      <c r="G76" s="66"/>
      <c r="H76" s="66"/>
      <c r="I76" s="66"/>
      <c r="J76" s="66"/>
      <c r="K76" s="66"/>
      <c r="L76" s="66"/>
      <c r="M76" s="66"/>
      <c r="N76" s="73"/>
    </row>
    <row r="77" spans="2:14" ht="13.5" thickBot="1">
      <c r="B77" s="1854" t="s">
        <v>199</v>
      </c>
      <c r="C77" s="1855"/>
      <c r="D77" s="1855"/>
      <c r="E77" s="1855"/>
      <c r="F77" s="1855"/>
      <c r="G77" s="1855"/>
      <c r="H77" s="1855"/>
      <c r="I77" s="1855"/>
      <c r="J77" s="1855"/>
      <c r="K77" s="1855"/>
      <c r="L77" s="1855"/>
      <c r="M77" s="1856"/>
      <c r="N77" s="188">
        <v>1819</v>
      </c>
    </row>
    <row r="78" spans="2:14" s="39" customFormat="1">
      <c r="B78" s="64"/>
      <c r="C78" s="65"/>
      <c r="D78" s="65"/>
      <c r="E78" s="65"/>
      <c r="F78" s="65"/>
      <c r="G78" s="65"/>
      <c r="H78" s="65"/>
      <c r="I78" s="65"/>
      <c r="J78" s="65"/>
      <c r="K78" s="65"/>
      <c r="L78" s="65"/>
      <c r="M78" s="65"/>
      <c r="N78" s="67"/>
    </row>
    <row r="79" spans="2:14" s="39" customFormat="1">
      <c r="B79" s="85"/>
      <c r="C79" s="66"/>
      <c r="D79" s="66"/>
      <c r="E79" s="66"/>
      <c r="F79" s="66"/>
      <c r="G79" s="66"/>
      <c r="H79" s="66"/>
      <c r="I79" s="66"/>
      <c r="J79" s="66"/>
      <c r="K79" s="66"/>
      <c r="L79" s="66"/>
      <c r="M79" s="66"/>
      <c r="N79" s="73"/>
    </row>
    <row r="80" spans="2:14" s="39" customFormat="1">
      <c r="B80" s="85"/>
      <c r="C80" s="66"/>
      <c r="D80" s="66"/>
      <c r="E80" s="66"/>
      <c r="F80" s="66"/>
      <c r="G80" s="66"/>
      <c r="H80" s="66"/>
      <c r="I80" s="66"/>
      <c r="J80" s="66"/>
      <c r="K80" s="66"/>
      <c r="L80" s="66"/>
      <c r="M80" s="66"/>
      <c r="N80" s="73"/>
    </row>
    <row r="81" spans="2:14" s="39" customFormat="1">
      <c r="B81" s="85"/>
      <c r="C81" s="66"/>
      <c r="D81" s="66"/>
      <c r="E81" s="66"/>
      <c r="F81" s="66"/>
      <c r="G81" s="71" t="s">
        <v>249</v>
      </c>
      <c r="H81" s="71"/>
      <c r="I81" s="71"/>
      <c r="J81" s="71"/>
      <c r="K81" s="66"/>
      <c r="L81" s="66"/>
      <c r="M81" s="66"/>
      <c r="N81" s="73"/>
    </row>
    <row r="82" spans="2:14" s="39" customFormat="1" ht="13.5">
      <c r="B82" s="123"/>
      <c r="C82" s="124"/>
      <c r="D82" s="124"/>
      <c r="E82" s="124"/>
      <c r="F82" s="124"/>
      <c r="G82" s="71" t="s">
        <v>250</v>
      </c>
      <c r="H82" s="124"/>
      <c r="I82" s="124"/>
      <c r="J82" s="124"/>
      <c r="K82" s="124"/>
      <c r="L82" s="124"/>
      <c r="M82" s="124"/>
      <c r="N82" s="125"/>
    </row>
    <row r="83" spans="2:14" s="39" customFormat="1" ht="13.5">
      <c r="B83" s="123"/>
      <c r="C83" s="124"/>
      <c r="D83" s="124"/>
      <c r="E83" s="124"/>
      <c r="F83" s="124"/>
      <c r="G83" s="71" t="s">
        <v>251</v>
      </c>
      <c r="J83" s="124"/>
      <c r="K83" s="124"/>
      <c r="L83" s="124"/>
      <c r="M83" s="124"/>
      <c r="N83" s="125"/>
    </row>
    <row r="84" spans="2:14" s="39" customFormat="1">
      <c r="B84" s="49"/>
      <c r="C84" s="81"/>
      <c r="D84" s="81"/>
      <c r="E84" s="81"/>
      <c r="F84" s="81"/>
      <c r="G84" s="71" t="s">
        <v>252</v>
      </c>
      <c r="H84" s="81"/>
      <c r="I84" s="81"/>
      <c r="J84" s="81"/>
      <c r="K84" s="81"/>
      <c r="L84" s="81"/>
      <c r="M84" s="81"/>
      <c r="N84" s="79"/>
    </row>
    <row r="85" spans="2:14" s="39" customFormat="1">
      <c r="B85" s="85"/>
      <c r="C85" s="66"/>
      <c r="D85" s="66"/>
      <c r="E85" s="66"/>
      <c r="F85" s="66"/>
      <c r="G85" s="66" t="s">
        <v>253</v>
      </c>
      <c r="H85" s="66"/>
      <c r="I85" s="66"/>
      <c r="J85" s="66"/>
      <c r="K85" s="66"/>
      <c r="L85" s="66"/>
      <c r="M85" s="66"/>
      <c r="N85" s="73"/>
    </row>
    <row r="86" spans="2:14" s="39" customFormat="1" ht="13.5">
      <c r="B86" s="92" t="s">
        <v>254</v>
      </c>
      <c r="C86" s="93"/>
      <c r="D86" s="93"/>
      <c r="E86" s="93"/>
      <c r="F86" s="93"/>
      <c r="G86" s="93"/>
      <c r="H86" s="93"/>
      <c r="I86" s="93"/>
      <c r="J86" s="93"/>
      <c r="K86" s="93"/>
      <c r="L86" s="93"/>
      <c r="M86" s="93"/>
      <c r="N86" s="94"/>
    </row>
    <row r="87" spans="2:14" s="39" customFormat="1">
      <c r="B87" s="1874"/>
      <c r="C87" s="1875"/>
      <c r="D87" s="1875"/>
      <c r="E87" s="1875"/>
      <c r="F87" s="1875"/>
      <c r="G87" s="1875"/>
      <c r="H87" s="1875"/>
      <c r="I87" s="1875"/>
      <c r="J87" s="1875"/>
      <c r="K87" s="1875"/>
      <c r="L87" s="1875"/>
      <c r="M87" s="1875"/>
      <c r="N87" s="1876"/>
    </row>
    <row r="88" spans="2:14" s="39" customFormat="1">
      <c r="B88" s="1874"/>
      <c r="C88" s="1875"/>
      <c r="D88" s="1875"/>
      <c r="E88" s="1875"/>
      <c r="F88" s="1875"/>
      <c r="G88" s="1875"/>
      <c r="H88" s="1875"/>
      <c r="I88" s="1875"/>
      <c r="J88" s="1875"/>
      <c r="K88" s="1875"/>
      <c r="L88" s="1875"/>
      <c r="M88" s="1875"/>
      <c r="N88" s="1876"/>
    </row>
    <row r="89" spans="2:14" s="39" customFormat="1">
      <c r="B89" s="49"/>
      <c r="C89" s="81"/>
      <c r="D89" s="81"/>
      <c r="E89" s="81"/>
      <c r="F89" s="81"/>
      <c r="G89" s="81"/>
      <c r="H89" s="81"/>
      <c r="I89" s="81"/>
      <c r="J89" s="81"/>
      <c r="K89" s="81"/>
      <c r="L89" s="81"/>
      <c r="M89" s="81"/>
      <c r="N89" s="79"/>
    </row>
    <row r="90" spans="2:14" s="39" customFormat="1">
      <c r="B90" s="406" t="s">
        <v>719</v>
      </c>
      <c r="C90" s="81"/>
      <c r="D90" s="81"/>
      <c r="E90" s="81"/>
      <c r="F90" s="81"/>
      <c r="G90" s="81"/>
      <c r="H90" s="81"/>
      <c r="I90" s="81"/>
      <c r="J90" s="81"/>
      <c r="K90" s="81"/>
      <c r="L90" s="81"/>
      <c r="M90" s="81"/>
      <c r="N90" s="79"/>
    </row>
    <row r="91" spans="2:14" s="39" customFormat="1" ht="12.75" customHeight="1">
      <c r="B91" s="1871" t="s">
        <v>720</v>
      </c>
      <c r="C91" s="1872"/>
      <c r="D91" s="1872"/>
      <c r="E91" s="1872"/>
      <c r="F91" s="1872"/>
      <c r="G91" s="1872"/>
      <c r="H91" s="1872"/>
      <c r="I91" s="1872"/>
      <c r="J91" s="1872"/>
      <c r="K91" s="1872"/>
      <c r="L91" s="1872"/>
      <c r="M91" s="1872"/>
      <c r="N91" s="1873"/>
    </row>
    <row r="92" spans="2:14" s="39" customFormat="1">
      <c r="B92" s="1871"/>
      <c r="C92" s="1872"/>
      <c r="D92" s="1872"/>
      <c r="E92" s="1872"/>
      <c r="F92" s="1872"/>
      <c r="G92" s="1872"/>
      <c r="H92" s="1872"/>
      <c r="I92" s="1872"/>
      <c r="J92" s="1872"/>
      <c r="K92" s="1872"/>
      <c r="L92" s="1872"/>
      <c r="M92" s="1872"/>
      <c r="N92" s="1873"/>
    </row>
    <row r="93" spans="2:14" s="39" customFormat="1">
      <c r="B93" s="1871" t="s">
        <v>721</v>
      </c>
      <c r="C93" s="1872"/>
      <c r="D93" s="1872"/>
      <c r="E93" s="1872"/>
      <c r="F93" s="1872"/>
      <c r="G93" s="1872"/>
      <c r="H93" s="1872"/>
      <c r="I93" s="1872"/>
      <c r="J93" s="1872"/>
      <c r="K93" s="1872"/>
      <c r="L93" s="1872"/>
      <c r="M93" s="1872"/>
      <c r="N93" s="1873"/>
    </row>
    <row r="94" spans="2:14" s="39" customFormat="1">
      <c r="B94" s="1871"/>
      <c r="C94" s="1872"/>
      <c r="D94" s="1872"/>
      <c r="E94" s="1872"/>
      <c r="F94" s="1872"/>
      <c r="G94" s="1872"/>
      <c r="H94" s="1872"/>
      <c r="I94" s="1872"/>
      <c r="J94" s="1872"/>
      <c r="K94" s="1872"/>
      <c r="L94" s="1872"/>
      <c r="M94" s="1872"/>
      <c r="N94" s="1873"/>
    </row>
    <row r="95" spans="2:14" s="39" customFormat="1">
      <c r="B95" s="49"/>
      <c r="C95" s="81"/>
      <c r="D95" s="81"/>
      <c r="E95" s="81"/>
      <c r="F95" s="81"/>
      <c r="G95" s="81"/>
      <c r="H95" s="81"/>
      <c r="I95" s="81"/>
      <c r="J95" s="81"/>
      <c r="K95" s="81"/>
      <c r="L95" s="81"/>
      <c r="M95" s="81"/>
      <c r="N95" s="79"/>
    </row>
    <row r="96" spans="2:14" s="39" customFormat="1">
      <c r="B96" s="85"/>
      <c r="C96" s="66"/>
      <c r="D96" s="66"/>
      <c r="E96" s="66"/>
      <c r="F96" s="66"/>
      <c r="G96" s="71" t="s">
        <v>249</v>
      </c>
      <c r="H96" s="66"/>
      <c r="I96" s="66"/>
      <c r="J96" s="66"/>
      <c r="K96" s="66"/>
      <c r="L96" s="66"/>
      <c r="M96" s="66"/>
      <c r="N96" s="73"/>
    </row>
    <row r="97" spans="2:14" s="39" customFormat="1">
      <c r="B97" s="85"/>
      <c r="C97" s="66"/>
      <c r="D97" s="66"/>
      <c r="E97" s="66"/>
      <c r="F97" s="66"/>
      <c r="G97" s="66" t="s">
        <v>250</v>
      </c>
      <c r="H97" s="86"/>
      <c r="I97" s="86"/>
      <c r="J97" s="86"/>
      <c r="K97" s="66"/>
      <c r="L97" s="66"/>
      <c r="M97" s="66"/>
      <c r="N97" s="73"/>
    </row>
    <row r="98" spans="2:14" s="39" customFormat="1">
      <c r="B98" s="85"/>
      <c r="C98" s="66"/>
      <c r="D98" s="66"/>
      <c r="E98" s="66"/>
      <c r="F98" s="66"/>
      <c r="G98" s="66" t="s">
        <v>255</v>
      </c>
      <c r="H98" s="80"/>
      <c r="I98" s="80"/>
      <c r="J98" s="80"/>
      <c r="M98" s="66"/>
      <c r="N98" s="73"/>
    </row>
    <row r="99" spans="2:14" s="39" customFormat="1">
      <c r="B99" s="127"/>
      <c r="C99" s="81"/>
      <c r="D99" s="81"/>
      <c r="E99" s="81"/>
      <c r="F99" s="81"/>
      <c r="G99" s="66" t="s">
        <v>252</v>
      </c>
      <c r="K99" s="81"/>
      <c r="L99" s="81"/>
      <c r="M99" s="81"/>
      <c r="N99" s="79"/>
    </row>
    <row r="100" spans="2:14" s="39" customFormat="1" ht="17.25" customHeight="1">
      <c r="B100" s="138" t="s">
        <v>722</v>
      </c>
      <c r="C100" s="128"/>
      <c r="D100" s="128"/>
      <c r="E100" s="66"/>
      <c r="F100" s="66"/>
      <c r="G100" s="66"/>
      <c r="H100" s="66"/>
      <c r="I100" s="66"/>
      <c r="J100" s="1863"/>
      <c r="K100" s="1863"/>
      <c r="L100" s="1863"/>
      <c r="M100" s="1863"/>
      <c r="N100" s="1864"/>
    </row>
    <row r="101" spans="2:14" s="39" customFormat="1" ht="18.75" customHeight="1" thickBot="1">
      <c r="B101" s="1867" t="s">
        <v>723</v>
      </c>
      <c r="C101" s="1868"/>
      <c r="D101" s="1868"/>
      <c r="E101" s="87"/>
      <c r="F101" s="87"/>
      <c r="G101" s="87"/>
      <c r="H101" s="87"/>
      <c r="I101" s="87"/>
      <c r="J101" s="1865"/>
      <c r="K101" s="1865"/>
      <c r="L101" s="1865"/>
      <c r="M101" s="1865"/>
      <c r="N101" s="1866"/>
    </row>
  </sheetData>
  <mergeCells count="89">
    <mergeCell ref="J100:N101"/>
    <mergeCell ref="B101:D101"/>
    <mergeCell ref="B12:E12"/>
    <mergeCell ref="B91:N92"/>
    <mergeCell ref="B93:N94"/>
    <mergeCell ref="B67:M67"/>
    <mergeCell ref="B71:H71"/>
    <mergeCell ref="L71:M71"/>
    <mergeCell ref="B72:H72"/>
    <mergeCell ref="L72:M72"/>
    <mergeCell ref="L73:M73"/>
    <mergeCell ref="L74:M74"/>
    <mergeCell ref="B75:M75"/>
    <mergeCell ref="B77:M77"/>
    <mergeCell ref="B87:N87"/>
    <mergeCell ref="B88:N88"/>
    <mergeCell ref="B68:N70"/>
    <mergeCell ref="B65:M65"/>
    <mergeCell ref="B54:H54"/>
    <mergeCell ref="L54:M54"/>
    <mergeCell ref="B55:H55"/>
    <mergeCell ref="L55:M55"/>
    <mergeCell ref="B56:M56"/>
    <mergeCell ref="B60:H60"/>
    <mergeCell ref="L60:M60"/>
    <mergeCell ref="L61:M61"/>
    <mergeCell ref="L62:M62"/>
    <mergeCell ref="L63:M63"/>
    <mergeCell ref="B64:H64"/>
    <mergeCell ref="L64:M64"/>
    <mergeCell ref="B57:N59"/>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H19:M19"/>
    <mergeCell ref="D20:M21"/>
    <mergeCell ref="D23:M23"/>
    <mergeCell ref="D25:M25"/>
    <mergeCell ref="E27:M27"/>
    <mergeCell ref="G29:M29"/>
    <mergeCell ref="B31:N31"/>
    <mergeCell ref="C33:K33"/>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3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33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6"/>
  <dimension ref="B1:N102"/>
  <sheetViews>
    <sheetView showGridLines="0" topLeftCell="A50" zoomScale="70" zoomScaleNormal="70" workbookViewId="0">
      <selection sqref="A1:XFD1048576"/>
    </sheetView>
  </sheetViews>
  <sheetFormatPr baseColWidth="10" defaultColWidth="11.42578125" defaultRowHeight="12.75"/>
  <cols>
    <col min="1" max="1" width="3.140625" style="32" customWidth="1"/>
    <col min="2" max="10" width="11.42578125" style="32"/>
    <col min="11" max="11" width="12.42578125" style="32" customWidth="1"/>
    <col min="12" max="13" width="11.42578125" style="32"/>
    <col min="14" max="14" width="12.5703125" style="32" customWidth="1"/>
    <col min="15" max="16384" width="11.42578125" style="32"/>
  </cols>
  <sheetData>
    <row r="1" spans="2:14" ht="13.5" thickBot="1"/>
    <row r="2" spans="2:14" s="39" customFormat="1">
      <c r="B2" s="1772"/>
      <c r="C2" s="1774"/>
      <c r="D2" s="1775"/>
      <c r="E2" s="1775"/>
      <c r="F2" s="1775"/>
      <c r="G2" s="1775"/>
      <c r="H2" s="1775"/>
      <c r="I2" s="1775"/>
      <c r="J2" s="1776"/>
      <c r="K2" s="1777" t="s">
        <v>228</v>
      </c>
      <c r="L2" s="1779" t="s">
        <v>716</v>
      </c>
      <c r="M2" s="1780"/>
      <c r="N2" s="1781"/>
    </row>
    <row r="3" spans="2:14" s="39" customFormat="1" ht="13.5">
      <c r="B3" s="1773"/>
      <c r="C3" s="1785" t="s">
        <v>69</v>
      </c>
      <c r="D3" s="1786"/>
      <c r="E3" s="1786"/>
      <c r="F3" s="1786"/>
      <c r="G3" s="1786"/>
      <c r="H3" s="1786"/>
      <c r="I3" s="1786"/>
      <c r="J3" s="1787"/>
      <c r="K3" s="1778"/>
      <c r="L3" s="1782"/>
      <c r="M3" s="1783"/>
      <c r="N3" s="1784"/>
    </row>
    <row r="4" spans="2:14" s="39" customFormat="1" ht="13.5">
      <c r="B4" s="1773"/>
      <c r="C4" s="1788" t="s">
        <v>303</v>
      </c>
      <c r="D4" s="1789"/>
      <c r="E4" s="1789"/>
      <c r="F4" s="1789"/>
      <c r="G4" s="1789"/>
      <c r="H4" s="1789"/>
      <c r="I4" s="1789"/>
      <c r="J4" s="1790"/>
      <c r="K4" s="1791" t="s">
        <v>230</v>
      </c>
      <c r="L4" s="1793">
        <v>2</v>
      </c>
      <c r="M4" s="1794"/>
      <c r="N4" s="1795"/>
    </row>
    <row r="5" spans="2:14" s="39" customFormat="1">
      <c r="B5" s="1773"/>
      <c r="C5" s="1799" t="s">
        <v>715</v>
      </c>
      <c r="D5" s="1800"/>
      <c r="E5" s="1800"/>
      <c r="F5" s="1800"/>
      <c r="G5" s="1800"/>
      <c r="H5" s="1800"/>
      <c r="I5" s="1800"/>
      <c r="J5" s="1801"/>
      <c r="K5" s="1792"/>
      <c r="L5" s="1796"/>
      <c r="M5" s="1797"/>
      <c r="N5" s="1798"/>
    </row>
    <row r="6" spans="2:14" s="39" customFormat="1" ht="12.75" customHeight="1">
      <c r="B6" s="1773"/>
      <c r="C6" s="1805" t="s">
        <v>304</v>
      </c>
      <c r="D6" s="1806"/>
      <c r="E6" s="1806"/>
      <c r="F6" s="1806"/>
      <c r="G6" s="1806"/>
      <c r="H6" s="1806"/>
      <c r="I6" s="1806"/>
      <c r="J6" s="1807"/>
      <c r="K6" s="1791" t="s">
        <v>232</v>
      </c>
      <c r="L6" s="1791">
        <v>1</v>
      </c>
      <c r="M6" s="1791" t="s">
        <v>233</v>
      </c>
      <c r="N6" s="1803">
        <v>1</v>
      </c>
    </row>
    <row r="7" spans="2:14" s="39" customFormat="1">
      <c r="B7" s="1773"/>
      <c r="C7" s="1805"/>
      <c r="D7" s="1806"/>
      <c r="E7" s="1806"/>
      <c r="F7" s="1806"/>
      <c r="G7" s="1806"/>
      <c r="H7" s="1806"/>
      <c r="I7" s="1806"/>
      <c r="J7" s="1807"/>
      <c r="K7" s="1802"/>
      <c r="L7" s="1802"/>
      <c r="M7" s="1802"/>
      <c r="N7" s="1804"/>
    </row>
    <row r="8" spans="2:14" s="39" customFormat="1">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I12" s="39"/>
      <c r="J12" s="403"/>
      <c r="K12" s="51"/>
      <c r="L12" s="39"/>
      <c r="M12" s="39"/>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thickBot="1">
      <c r="B34" s="176" t="s">
        <v>298</v>
      </c>
      <c r="C34" s="1885" t="s">
        <v>1491</v>
      </c>
      <c r="D34" s="1887"/>
      <c r="E34" s="1887"/>
      <c r="F34" s="1887"/>
      <c r="G34" s="1887"/>
      <c r="H34" s="1887"/>
      <c r="I34" s="1887"/>
      <c r="J34" s="1887"/>
      <c r="K34" s="1886"/>
      <c r="L34" s="1885" t="s">
        <v>111</v>
      </c>
      <c r="M34" s="1886"/>
      <c r="N34" s="177">
        <v>36333</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c r="L38" s="1829"/>
      <c r="M38" s="1832"/>
      <c r="N38" s="179"/>
    </row>
    <row r="39" spans="2:14">
      <c r="B39" s="1839" t="s">
        <v>263</v>
      </c>
      <c r="C39" s="1840"/>
      <c r="D39" s="1840"/>
      <c r="E39" s="1840"/>
      <c r="F39" s="1841"/>
      <c r="G39" s="1842"/>
      <c r="H39" s="1841"/>
      <c r="I39" s="1842"/>
      <c r="J39" s="1841"/>
      <c r="K39" s="88">
        <v>129150</v>
      </c>
      <c r="L39" s="1859">
        <v>30</v>
      </c>
      <c r="M39" s="1860"/>
      <c r="N39" s="89">
        <v>4305</v>
      </c>
    </row>
    <row r="40" spans="2:14">
      <c r="B40" s="1839" t="s">
        <v>540</v>
      </c>
      <c r="C40" s="1840"/>
      <c r="D40" s="1840"/>
      <c r="E40" s="1840"/>
      <c r="F40" s="1841"/>
      <c r="G40" s="1842"/>
      <c r="H40" s="1841"/>
      <c r="I40" s="1842"/>
      <c r="J40" s="1841"/>
      <c r="K40" s="88">
        <v>94500</v>
      </c>
      <c r="L40" s="1859">
        <v>30</v>
      </c>
      <c r="M40" s="1860"/>
      <c r="N40" s="89">
        <v>3150</v>
      </c>
    </row>
    <row r="41" spans="2:14">
      <c r="B41" s="1839" t="s">
        <v>543</v>
      </c>
      <c r="C41" s="1840"/>
      <c r="D41" s="1840"/>
      <c r="E41" s="1840"/>
      <c r="F41" s="1841"/>
      <c r="G41" s="1842"/>
      <c r="H41" s="1841"/>
      <c r="I41" s="1842"/>
      <c r="J41" s="1841"/>
      <c r="K41" s="88">
        <v>94500</v>
      </c>
      <c r="L41" s="1859">
        <v>30</v>
      </c>
      <c r="M41" s="1860"/>
      <c r="N41" s="89">
        <v>3150</v>
      </c>
    </row>
    <row r="42" spans="2:14" ht="13.5" thickBot="1">
      <c r="B42" s="1834" t="s">
        <v>77</v>
      </c>
      <c r="C42" s="1835"/>
      <c r="D42" s="1835"/>
      <c r="E42" s="1835"/>
      <c r="F42" s="1836"/>
      <c r="G42" s="1845"/>
      <c r="H42" s="1836"/>
      <c r="I42" s="1845"/>
      <c r="J42" s="1836"/>
      <c r="K42" s="88"/>
      <c r="L42" s="1846"/>
      <c r="M42" s="1847"/>
      <c r="N42" s="89">
        <v>145.5344125</v>
      </c>
    </row>
    <row r="43" spans="2:14" ht="14.25" thickBot="1">
      <c r="B43" s="1848" t="s">
        <v>188</v>
      </c>
      <c r="C43" s="1849"/>
      <c r="D43" s="1849"/>
      <c r="E43" s="1849"/>
      <c r="F43" s="1849"/>
      <c r="G43" s="1849"/>
      <c r="H43" s="1849"/>
      <c r="I43" s="1849"/>
      <c r="J43" s="1849"/>
      <c r="K43" s="1849"/>
      <c r="L43" s="1849"/>
      <c r="M43" s="1850"/>
      <c r="N43" s="91">
        <v>10750.534412499999</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1497</v>
      </c>
      <c r="C48" s="1840"/>
      <c r="D48" s="1840"/>
      <c r="E48" s="1840"/>
      <c r="F48" s="1840"/>
      <c r="G48" s="1840"/>
      <c r="H48" s="1840"/>
      <c r="I48" s="1841"/>
      <c r="J48" s="126" t="s">
        <v>40</v>
      </c>
      <c r="K48" s="96">
        <v>1.25</v>
      </c>
      <c r="L48" s="1852">
        <v>412376</v>
      </c>
      <c r="M48" s="1853"/>
      <c r="N48" s="89">
        <v>515470</v>
      </c>
    </row>
    <row r="49" spans="2:14" ht="13.5" thickBot="1">
      <c r="B49" s="1834"/>
      <c r="C49" s="1835"/>
      <c r="D49" s="1835"/>
      <c r="E49" s="1835"/>
      <c r="F49" s="1835"/>
      <c r="G49" s="1835"/>
      <c r="H49" s="1835"/>
      <c r="I49" s="1836"/>
      <c r="J49" s="86"/>
      <c r="K49" s="97"/>
      <c r="L49" s="1837"/>
      <c r="M49" s="1838"/>
      <c r="N49" s="98"/>
    </row>
    <row r="50" spans="2:14" ht="14.25" thickBot="1">
      <c r="B50" s="1848" t="s">
        <v>188</v>
      </c>
      <c r="C50" s="1849"/>
      <c r="D50" s="1849"/>
      <c r="E50" s="1849"/>
      <c r="F50" s="1849"/>
      <c r="G50" s="1849"/>
      <c r="H50" s="1849"/>
      <c r="I50" s="1849"/>
      <c r="J50" s="1849"/>
      <c r="K50" s="1849"/>
      <c r="L50" s="1849"/>
      <c r="M50" s="1850"/>
      <c r="N50" s="99">
        <v>515470</v>
      </c>
    </row>
    <row r="51" spans="2:14">
      <c r="B51" s="1763" t="s">
        <v>51</v>
      </c>
      <c r="C51" s="1764"/>
      <c r="D51" s="1764"/>
      <c r="E51" s="1764"/>
      <c r="F51" s="1764"/>
      <c r="G51" s="1764"/>
      <c r="H51" s="1764"/>
      <c r="I51" s="1764"/>
      <c r="J51" s="1764"/>
      <c r="K51" s="1764"/>
      <c r="L51" s="1764"/>
      <c r="M51" s="1764"/>
      <c r="N51" s="1765"/>
    </row>
    <row r="52" spans="2:14">
      <c r="B52" s="1766"/>
      <c r="C52" s="1767"/>
      <c r="D52" s="1767"/>
      <c r="E52" s="1767"/>
      <c r="F52" s="1767"/>
      <c r="G52" s="1767"/>
      <c r="H52" s="1767"/>
      <c r="I52" s="1767"/>
      <c r="J52" s="1767"/>
      <c r="K52" s="1767"/>
      <c r="L52" s="1767"/>
      <c r="M52" s="1767"/>
      <c r="N52" s="1768"/>
    </row>
    <row r="53" spans="2:14" ht="13.5" thickBot="1">
      <c r="B53" s="1769"/>
      <c r="C53" s="1770"/>
      <c r="D53" s="1770"/>
      <c r="E53" s="1770"/>
      <c r="F53" s="1770"/>
      <c r="G53" s="1770"/>
      <c r="H53" s="1770"/>
      <c r="I53" s="1770"/>
      <c r="J53" s="1770"/>
      <c r="K53" s="1770"/>
      <c r="L53" s="1770"/>
      <c r="M53" s="1770"/>
      <c r="N53" s="1771"/>
    </row>
    <row r="54" spans="2:14" ht="13.5">
      <c r="B54" s="1826" t="s">
        <v>192</v>
      </c>
      <c r="C54" s="1851"/>
      <c r="D54" s="1851"/>
      <c r="E54" s="1851"/>
      <c r="F54" s="1851"/>
      <c r="G54" s="1851"/>
      <c r="H54" s="1851"/>
      <c r="I54" s="178" t="s">
        <v>193</v>
      </c>
      <c r="J54" s="181" t="s">
        <v>194</v>
      </c>
      <c r="K54" s="182" t="s">
        <v>310</v>
      </c>
      <c r="L54" s="1829" t="s">
        <v>39</v>
      </c>
      <c r="M54" s="1832"/>
      <c r="N54" s="179" t="s">
        <v>191</v>
      </c>
    </row>
    <row r="55" spans="2:14">
      <c r="B55" s="1839"/>
      <c r="C55" s="1840"/>
      <c r="D55" s="1840"/>
      <c r="E55" s="1840"/>
      <c r="F55" s="1840"/>
      <c r="G55" s="1840"/>
      <c r="H55" s="1841"/>
      <c r="I55" s="100"/>
      <c r="J55" s="93"/>
      <c r="K55" s="100"/>
      <c r="L55" s="1843"/>
      <c r="M55" s="1844"/>
      <c r="N55" s="135"/>
    </row>
    <row r="56" spans="2:14" ht="13.5" thickBot="1">
      <c r="B56" s="1834"/>
      <c r="C56" s="1835"/>
      <c r="D56" s="1835"/>
      <c r="E56" s="1835"/>
      <c r="F56" s="1835"/>
      <c r="G56" s="1835"/>
      <c r="H56" s="1836"/>
      <c r="I56" s="102"/>
      <c r="J56" s="87"/>
      <c r="K56" s="102"/>
      <c r="L56" s="1837"/>
      <c r="M56" s="1838"/>
      <c r="N56" s="111"/>
    </row>
    <row r="57" spans="2:14" ht="14.25" thickBot="1">
      <c r="B57" s="1848" t="s">
        <v>188</v>
      </c>
      <c r="C57" s="1849"/>
      <c r="D57" s="1849"/>
      <c r="E57" s="1849"/>
      <c r="F57" s="1849"/>
      <c r="G57" s="1849"/>
      <c r="H57" s="1849"/>
      <c r="I57" s="1849"/>
      <c r="J57" s="1849"/>
      <c r="K57" s="1849"/>
      <c r="L57" s="1849"/>
      <c r="M57" s="1850"/>
      <c r="N57" s="112">
        <v>0</v>
      </c>
    </row>
    <row r="58" spans="2:14">
      <c r="B58" s="1763" t="s">
        <v>52</v>
      </c>
      <c r="C58" s="1764"/>
      <c r="D58" s="1764"/>
      <c r="E58" s="1764"/>
      <c r="F58" s="1764"/>
      <c r="G58" s="1764"/>
      <c r="H58" s="1764"/>
      <c r="I58" s="1764"/>
      <c r="J58" s="1764"/>
      <c r="K58" s="1764"/>
      <c r="L58" s="1764"/>
      <c r="M58" s="1764"/>
      <c r="N58" s="1765"/>
    </row>
    <row r="59" spans="2:14">
      <c r="B59" s="1766"/>
      <c r="C59" s="1767"/>
      <c r="D59" s="1767"/>
      <c r="E59" s="1767"/>
      <c r="F59" s="1767"/>
      <c r="G59" s="1767"/>
      <c r="H59" s="1767"/>
      <c r="I59" s="1767"/>
      <c r="J59" s="1767"/>
      <c r="K59" s="1767"/>
      <c r="L59" s="1767"/>
      <c r="M59" s="1767"/>
      <c r="N59" s="1768"/>
    </row>
    <row r="60" spans="2:14" ht="13.5" thickBot="1">
      <c r="B60" s="1769"/>
      <c r="C60" s="1770"/>
      <c r="D60" s="1770"/>
      <c r="E60" s="1770"/>
      <c r="F60" s="1770"/>
      <c r="G60" s="1770"/>
      <c r="H60" s="1770"/>
      <c r="I60" s="1770"/>
      <c r="J60" s="1770"/>
      <c r="K60" s="1770"/>
      <c r="L60" s="1770"/>
      <c r="M60" s="1770"/>
      <c r="N60" s="1771"/>
    </row>
    <row r="61" spans="2:14" ht="13.5">
      <c r="B61" s="1826" t="s">
        <v>195</v>
      </c>
      <c r="C61" s="1851"/>
      <c r="D61" s="1851"/>
      <c r="E61" s="1851"/>
      <c r="F61" s="1851"/>
      <c r="G61" s="1851"/>
      <c r="H61" s="1851"/>
      <c r="I61" s="178" t="s">
        <v>196</v>
      </c>
      <c r="J61" s="181" t="s">
        <v>46</v>
      </c>
      <c r="K61" s="182" t="s">
        <v>197</v>
      </c>
      <c r="L61" s="1829" t="s">
        <v>186</v>
      </c>
      <c r="M61" s="1832"/>
      <c r="N61" s="179" t="s">
        <v>191</v>
      </c>
    </row>
    <row r="62" spans="2:14">
      <c r="B62" s="1888" t="s">
        <v>205</v>
      </c>
      <c r="C62" s="1889"/>
      <c r="D62" s="1889"/>
      <c r="E62" s="1889"/>
      <c r="F62" s="1889"/>
      <c r="G62" s="1889"/>
      <c r="H62" s="1900"/>
      <c r="I62" s="107">
        <v>219200</v>
      </c>
      <c r="J62" s="108">
        <v>1.85</v>
      </c>
      <c r="K62" s="109">
        <v>405520</v>
      </c>
      <c r="L62" s="1861">
        <v>240</v>
      </c>
      <c r="M62" s="1862"/>
      <c r="N62" s="110">
        <v>1689.6666666666667</v>
      </c>
    </row>
    <row r="63" spans="2:14">
      <c r="B63" s="1888" t="s">
        <v>152</v>
      </c>
      <c r="C63" s="1889"/>
      <c r="D63" s="1889"/>
      <c r="E63" s="1889"/>
      <c r="F63" s="1889"/>
      <c r="G63" s="1889"/>
      <c r="H63" s="1900"/>
      <c r="I63" s="107">
        <v>59320.800000000003</v>
      </c>
      <c r="J63" s="108">
        <v>1.85</v>
      </c>
      <c r="K63" s="109">
        <v>109743.48000000001</v>
      </c>
      <c r="L63" s="1861">
        <v>240</v>
      </c>
      <c r="M63" s="1862"/>
      <c r="N63" s="110">
        <v>457.26450000000006</v>
      </c>
    </row>
    <row r="64" spans="2:14">
      <c r="B64" s="1888" t="s">
        <v>257</v>
      </c>
      <c r="C64" s="1889"/>
      <c r="D64" s="1889"/>
      <c r="E64" s="1889"/>
      <c r="F64" s="1889"/>
      <c r="G64" s="1889"/>
      <c r="H64" s="1900"/>
      <c r="I64" s="107">
        <v>58636</v>
      </c>
      <c r="J64" s="108">
        <v>1.85</v>
      </c>
      <c r="K64" s="109">
        <v>108476.6</v>
      </c>
      <c r="L64" s="1861">
        <v>240</v>
      </c>
      <c r="M64" s="1862"/>
      <c r="N64" s="110">
        <v>451.98583333333335</v>
      </c>
    </row>
    <row r="65" spans="2:14" ht="13.5" thickBot="1">
      <c r="B65" s="1890" t="s">
        <v>17</v>
      </c>
      <c r="C65" s="1891"/>
      <c r="D65" s="1891"/>
      <c r="E65" s="1891"/>
      <c r="F65" s="1891"/>
      <c r="G65" s="1891"/>
      <c r="H65" s="1892"/>
      <c r="I65" s="107">
        <v>40446</v>
      </c>
      <c r="J65" s="108">
        <v>1.85</v>
      </c>
      <c r="K65" s="109">
        <v>74825.100000000006</v>
      </c>
      <c r="L65" s="1898">
        <v>240</v>
      </c>
      <c r="M65" s="1899"/>
      <c r="N65" s="110">
        <v>311.77125000000001</v>
      </c>
    </row>
    <row r="66" spans="2:14" ht="14.25" thickBot="1">
      <c r="B66" s="1848" t="s">
        <v>188</v>
      </c>
      <c r="C66" s="1849"/>
      <c r="D66" s="1849"/>
      <c r="E66" s="1849"/>
      <c r="F66" s="1849"/>
      <c r="G66" s="1849"/>
      <c r="H66" s="1849"/>
      <c r="I66" s="1849"/>
      <c r="J66" s="1849"/>
      <c r="K66" s="1849"/>
      <c r="L66" s="1849"/>
      <c r="M66" s="1850"/>
      <c r="N66" s="112">
        <v>2910.6882500000002</v>
      </c>
    </row>
    <row r="67" spans="2:14" ht="13.5" thickBot="1">
      <c r="B67" s="85"/>
      <c r="C67" s="66"/>
      <c r="D67" s="66"/>
      <c r="E67" s="66"/>
      <c r="F67" s="66"/>
      <c r="G67" s="66"/>
      <c r="H67" s="66"/>
      <c r="I67" s="66"/>
      <c r="J67" s="66"/>
      <c r="K67" s="66"/>
      <c r="L67" s="66"/>
      <c r="M67" s="66"/>
      <c r="N67" s="73"/>
    </row>
    <row r="68" spans="2:14" ht="13.5" thickBot="1">
      <c r="B68" s="1854" t="s">
        <v>198</v>
      </c>
      <c r="C68" s="1855"/>
      <c r="D68" s="1855"/>
      <c r="E68" s="1855"/>
      <c r="F68" s="1855"/>
      <c r="G68" s="1855"/>
      <c r="H68" s="1855"/>
      <c r="I68" s="1855"/>
      <c r="J68" s="1855"/>
      <c r="K68" s="1855"/>
      <c r="L68" s="1855"/>
      <c r="M68" s="1856"/>
      <c r="N68" s="186">
        <v>529131.22266249999</v>
      </c>
    </row>
    <row r="69" spans="2:14">
      <c r="B69" s="1763" t="s">
        <v>53</v>
      </c>
      <c r="C69" s="1764"/>
      <c r="D69" s="1764"/>
      <c r="E69" s="1764"/>
      <c r="F69" s="1764"/>
      <c r="G69" s="1764"/>
      <c r="H69" s="1764"/>
      <c r="I69" s="1764"/>
      <c r="J69" s="1764"/>
      <c r="K69" s="1764"/>
      <c r="L69" s="1764"/>
      <c r="M69" s="1764"/>
      <c r="N69" s="1765"/>
    </row>
    <row r="70" spans="2:14">
      <c r="B70" s="1766"/>
      <c r="C70" s="1767"/>
      <c r="D70" s="1767"/>
      <c r="E70" s="1767"/>
      <c r="F70" s="1767"/>
      <c r="G70" s="1767"/>
      <c r="H70" s="1767"/>
      <c r="I70" s="1767"/>
      <c r="J70" s="1767"/>
      <c r="K70" s="1767"/>
      <c r="L70" s="1767"/>
      <c r="M70" s="1767"/>
      <c r="N70" s="1768"/>
    </row>
    <row r="71" spans="2:14" ht="13.5" thickBot="1">
      <c r="B71" s="1769"/>
      <c r="C71" s="1770"/>
      <c r="D71" s="1770"/>
      <c r="E71" s="1770"/>
      <c r="F71" s="1770"/>
      <c r="G71" s="1770"/>
      <c r="H71" s="1770"/>
      <c r="I71" s="1770"/>
      <c r="J71" s="1770"/>
      <c r="K71" s="1770"/>
      <c r="L71" s="1770"/>
      <c r="M71" s="1770"/>
      <c r="N71" s="1771"/>
    </row>
    <row r="72" spans="2:14" ht="13.5">
      <c r="B72" s="1826" t="s">
        <v>50</v>
      </c>
      <c r="C72" s="1851"/>
      <c r="D72" s="1851"/>
      <c r="E72" s="1851"/>
      <c r="F72" s="1851"/>
      <c r="G72" s="1851"/>
      <c r="H72" s="1851"/>
      <c r="I72" s="181"/>
      <c r="J72" s="187"/>
      <c r="K72" s="184" t="s">
        <v>54</v>
      </c>
      <c r="L72" s="1857" t="s">
        <v>55</v>
      </c>
      <c r="M72" s="1858"/>
      <c r="N72" s="185"/>
    </row>
    <row r="73" spans="2:14">
      <c r="B73" s="1839" t="s">
        <v>44</v>
      </c>
      <c r="C73" s="1840"/>
      <c r="D73" s="1840"/>
      <c r="E73" s="1840"/>
      <c r="F73" s="1840"/>
      <c r="G73" s="1840"/>
      <c r="H73" s="1840"/>
      <c r="I73" s="113"/>
      <c r="J73" s="114"/>
      <c r="K73" s="192">
        <v>0.22</v>
      </c>
      <c r="L73" s="1877">
        <v>116408.86898575</v>
      </c>
      <c r="M73" s="1878"/>
      <c r="N73" s="115"/>
    </row>
    <row r="74" spans="2:14">
      <c r="B74" s="116" t="s">
        <v>56</v>
      </c>
      <c r="C74" s="117"/>
      <c r="D74" s="117"/>
      <c r="E74" s="117"/>
      <c r="F74" s="117"/>
      <c r="G74" s="117"/>
      <c r="H74" s="117"/>
      <c r="I74" s="113"/>
      <c r="J74" s="114"/>
      <c r="K74" s="192">
        <v>0.05</v>
      </c>
      <c r="L74" s="1877">
        <v>26456.561133125</v>
      </c>
      <c r="M74" s="1878"/>
      <c r="N74" s="115"/>
    </row>
    <row r="75" spans="2:14" ht="13.5" thickBot="1">
      <c r="B75" s="118" t="s">
        <v>45</v>
      </c>
      <c r="C75" s="119"/>
      <c r="D75" s="119"/>
      <c r="E75" s="119"/>
      <c r="F75" s="119"/>
      <c r="G75" s="119"/>
      <c r="H75" s="119"/>
      <c r="I75" s="120"/>
      <c r="J75" s="121"/>
      <c r="K75" s="192">
        <v>0.05</v>
      </c>
      <c r="L75" s="1879">
        <v>26456.561133125</v>
      </c>
      <c r="M75" s="1880"/>
      <c r="N75" s="115"/>
    </row>
    <row r="76" spans="2:14" ht="14.25" thickBot="1">
      <c r="B76" s="1848" t="s">
        <v>188</v>
      </c>
      <c r="C76" s="1849"/>
      <c r="D76" s="1849"/>
      <c r="E76" s="1849"/>
      <c r="F76" s="1849"/>
      <c r="G76" s="1849"/>
      <c r="H76" s="1849"/>
      <c r="I76" s="1849"/>
      <c r="J76" s="1849"/>
      <c r="K76" s="1849"/>
      <c r="L76" s="1849"/>
      <c r="M76" s="1850"/>
      <c r="N76" s="122">
        <v>169321.99125200001</v>
      </c>
    </row>
    <row r="77" spans="2:14" ht="13.5" thickBot="1">
      <c r="B77" s="85"/>
      <c r="C77" s="66"/>
      <c r="D77" s="66"/>
      <c r="E77" s="66"/>
      <c r="F77" s="66"/>
      <c r="G77" s="66"/>
      <c r="H77" s="66"/>
      <c r="I77" s="66"/>
      <c r="J77" s="66"/>
      <c r="K77" s="66"/>
      <c r="L77" s="66"/>
      <c r="M77" s="66"/>
      <c r="N77" s="73"/>
    </row>
    <row r="78" spans="2:14" ht="13.5" thickBot="1">
      <c r="B78" s="1854" t="s">
        <v>199</v>
      </c>
      <c r="C78" s="1855"/>
      <c r="D78" s="1855"/>
      <c r="E78" s="1855"/>
      <c r="F78" s="1855"/>
      <c r="G78" s="1855"/>
      <c r="H78" s="1855"/>
      <c r="I78" s="1855"/>
      <c r="J78" s="1855"/>
      <c r="K78" s="1855"/>
      <c r="L78" s="1855"/>
      <c r="M78" s="1856"/>
      <c r="N78" s="188">
        <v>698453</v>
      </c>
    </row>
    <row r="79" spans="2:14" s="39" customFormat="1">
      <c r="B79" s="64"/>
      <c r="C79" s="65"/>
      <c r="D79" s="65"/>
      <c r="E79" s="65"/>
      <c r="F79" s="65"/>
      <c r="G79" s="65"/>
      <c r="H79" s="65"/>
      <c r="I79" s="65"/>
      <c r="J79" s="65"/>
      <c r="K79" s="65"/>
      <c r="L79" s="65"/>
      <c r="M79" s="65"/>
      <c r="N79" s="67"/>
    </row>
    <row r="80" spans="2:14" s="39" customFormat="1">
      <c r="B80" s="85"/>
      <c r="C80" s="66"/>
      <c r="D80" s="66"/>
      <c r="E80" s="66"/>
      <c r="F80" s="66"/>
      <c r="G80" s="66"/>
      <c r="H80" s="66"/>
      <c r="I80" s="66"/>
      <c r="J80" s="66"/>
      <c r="K80" s="66"/>
      <c r="L80" s="66"/>
      <c r="M80" s="66"/>
      <c r="N80" s="73"/>
    </row>
    <row r="81" spans="2:14" s="39" customFormat="1">
      <c r="B81" s="85"/>
      <c r="C81" s="66"/>
      <c r="D81" s="66"/>
      <c r="E81" s="66"/>
      <c r="F81" s="66"/>
      <c r="G81" s="66"/>
      <c r="H81" s="66"/>
      <c r="I81" s="66"/>
      <c r="J81" s="66"/>
      <c r="K81" s="66"/>
      <c r="L81" s="66"/>
      <c r="M81" s="66"/>
      <c r="N81" s="73"/>
    </row>
    <row r="82" spans="2:14" s="39" customFormat="1">
      <c r="B82" s="85"/>
      <c r="C82" s="66"/>
      <c r="D82" s="66"/>
      <c r="E82" s="66"/>
      <c r="F82" s="66"/>
      <c r="G82" s="71" t="s">
        <v>249</v>
      </c>
      <c r="H82" s="71"/>
      <c r="I82" s="71"/>
      <c r="J82" s="71"/>
      <c r="K82" s="66"/>
      <c r="L82" s="66"/>
      <c r="M82" s="66"/>
      <c r="N82" s="73"/>
    </row>
    <row r="83" spans="2:14" s="39" customFormat="1" ht="13.5">
      <c r="B83" s="123"/>
      <c r="C83" s="124"/>
      <c r="D83" s="124"/>
      <c r="E83" s="124"/>
      <c r="F83" s="124"/>
      <c r="G83" s="71" t="s">
        <v>250</v>
      </c>
      <c r="H83" s="124"/>
      <c r="I83" s="124"/>
      <c r="J83" s="124"/>
      <c r="K83" s="124"/>
      <c r="L83" s="124"/>
      <c r="M83" s="124"/>
      <c r="N83" s="125"/>
    </row>
    <row r="84" spans="2:14" s="39" customFormat="1" ht="13.5">
      <c r="B84" s="123"/>
      <c r="C84" s="124"/>
      <c r="D84" s="124"/>
      <c r="E84" s="124"/>
      <c r="F84" s="124"/>
      <c r="G84" s="71" t="s">
        <v>251</v>
      </c>
      <c r="J84" s="124"/>
      <c r="K84" s="124"/>
      <c r="L84" s="124"/>
      <c r="M84" s="124"/>
      <c r="N84" s="125"/>
    </row>
    <row r="85" spans="2:14" s="39" customFormat="1">
      <c r="B85" s="49"/>
      <c r="C85" s="81"/>
      <c r="D85" s="81"/>
      <c r="E85" s="81"/>
      <c r="F85" s="81"/>
      <c r="G85" s="71" t="s">
        <v>252</v>
      </c>
      <c r="H85" s="81"/>
      <c r="I85" s="81"/>
      <c r="J85" s="81"/>
      <c r="K85" s="81"/>
      <c r="L85" s="81"/>
      <c r="M85" s="81"/>
      <c r="N85" s="79"/>
    </row>
    <row r="86" spans="2:14" s="39" customFormat="1">
      <c r="B86" s="85"/>
      <c r="C86" s="66"/>
      <c r="D86" s="66"/>
      <c r="E86" s="66"/>
      <c r="F86" s="66"/>
      <c r="G86" s="66" t="s">
        <v>253</v>
      </c>
      <c r="H86" s="66"/>
      <c r="I86" s="66"/>
      <c r="J86" s="66"/>
      <c r="K86" s="66"/>
      <c r="L86" s="66"/>
      <c r="M86" s="66"/>
      <c r="N86" s="73"/>
    </row>
    <row r="87" spans="2:14" s="39" customFormat="1" ht="13.5">
      <c r="B87" s="92" t="s">
        <v>254</v>
      </c>
      <c r="C87" s="93"/>
      <c r="D87" s="93"/>
      <c r="E87" s="93"/>
      <c r="F87" s="93"/>
      <c r="G87" s="93"/>
      <c r="H87" s="93"/>
      <c r="I87" s="93"/>
      <c r="J87" s="93"/>
      <c r="K87" s="93"/>
      <c r="L87" s="93"/>
      <c r="M87" s="93"/>
      <c r="N87" s="94"/>
    </row>
    <row r="88" spans="2:14" s="39" customFormat="1">
      <c r="B88" s="1874"/>
      <c r="C88" s="1875"/>
      <c r="D88" s="1875"/>
      <c r="E88" s="1875"/>
      <c r="F88" s="1875"/>
      <c r="G88" s="1875"/>
      <c r="H88" s="1875"/>
      <c r="I88" s="1875"/>
      <c r="J88" s="1875"/>
      <c r="K88" s="1875"/>
      <c r="L88" s="1875"/>
      <c r="M88" s="1875"/>
      <c r="N88" s="1876"/>
    </row>
    <row r="89" spans="2:14" s="39" customFormat="1">
      <c r="B89" s="1874"/>
      <c r="C89" s="1875"/>
      <c r="D89" s="1875"/>
      <c r="E89" s="1875"/>
      <c r="F89" s="1875"/>
      <c r="G89" s="1875"/>
      <c r="H89" s="1875"/>
      <c r="I89" s="1875"/>
      <c r="J89" s="1875"/>
      <c r="K89" s="1875"/>
      <c r="L89" s="1875"/>
      <c r="M89" s="1875"/>
      <c r="N89" s="1876"/>
    </row>
    <row r="90" spans="2:14" s="39" customFormat="1">
      <c r="B90" s="49"/>
      <c r="C90" s="81"/>
      <c r="D90" s="81"/>
      <c r="E90" s="81"/>
      <c r="F90" s="81"/>
      <c r="G90" s="81"/>
      <c r="H90" s="81"/>
      <c r="I90" s="81"/>
      <c r="J90" s="81"/>
      <c r="K90" s="81"/>
      <c r="L90" s="81"/>
      <c r="M90" s="81"/>
      <c r="N90" s="79"/>
    </row>
    <row r="91" spans="2:14" s="39" customFormat="1">
      <c r="B91" s="406" t="s">
        <v>719</v>
      </c>
      <c r="C91" s="81"/>
      <c r="D91" s="81"/>
      <c r="E91" s="81"/>
      <c r="F91" s="81"/>
      <c r="G91" s="81"/>
      <c r="H91" s="81"/>
      <c r="I91" s="81"/>
      <c r="J91" s="81"/>
      <c r="K91" s="81"/>
      <c r="L91" s="81"/>
      <c r="M91" s="81"/>
      <c r="N91" s="79"/>
    </row>
    <row r="92" spans="2:14" s="39" customFormat="1" ht="12.75" customHeight="1">
      <c r="B92" s="1871" t="s">
        <v>720</v>
      </c>
      <c r="C92" s="1872"/>
      <c r="D92" s="1872"/>
      <c r="E92" s="1872"/>
      <c r="F92" s="1872"/>
      <c r="G92" s="1872"/>
      <c r="H92" s="1872"/>
      <c r="I92" s="1872"/>
      <c r="J92" s="1872"/>
      <c r="K92" s="1872"/>
      <c r="L92" s="1872"/>
      <c r="M92" s="1872"/>
      <c r="N92" s="1873"/>
    </row>
    <row r="93" spans="2:14" s="39" customFormat="1">
      <c r="B93" s="1871"/>
      <c r="C93" s="1872"/>
      <c r="D93" s="1872"/>
      <c r="E93" s="1872"/>
      <c r="F93" s="1872"/>
      <c r="G93" s="1872"/>
      <c r="H93" s="1872"/>
      <c r="I93" s="1872"/>
      <c r="J93" s="1872"/>
      <c r="K93" s="1872"/>
      <c r="L93" s="1872"/>
      <c r="M93" s="1872"/>
      <c r="N93" s="1873"/>
    </row>
    <row r="94" spans="2:14" s="39" customFormat="1">
      <c r="B94" s="1871" t="s">
        <v>721</v>
      </c>
      <c r="C94" s="1872"/>
      <c r="D94" s="1872"/>
      <c r="E94" s="1872"/>
      <c r="F94" s="1872"/>
      <c r="G94" s="1872"/>
      <c r="H94" s="1872"/>
      <c r="I94" s="1872"/>
      <c r="J94" s="1872"/>
      <c r="K94" s="1872"/>
      <c r="L94" s="1872"/>
      <c r="M94" s="1872"/>
      <c r="N94" s="1873"/>
    </row>
    <row r="95" spans="2:14" s="39" customFormat="1">
      <c r="B95" s="1871"/>
      <c r="C95" s="1872"/>
      <c r="D95" s="1872"/>
      <c r="E95" s="1872"/>
      <c r="F95" s="1872"/>
      <c r="G95" s="1872"/>
      <c r="H95" s="1872"/>
      <c r="I95" s="1872"/>
      <c r="J95" s="1872"/>
      <c r="K95" s="1872"/>
      <c r="L95" s="1872"/>
      <c r="M95" s="1872"/>
      <c r="N95" s="1873"/>
    </row>
    <row r="96" spans="2:14" s="39" customFormat="1">
      <c r="B96" s="49"/>
      <c r="C96" s="81"/>
      <c r="D96" s="81"/>
      <c r="E96" s="81"/>
      <c r="F96" s="81"/>
      <c r="G96" s="81"/>
      <c r="H96" s="81"/>
      <c r="I96" s="81"/>
      <c r="J96" s="81"/>
      <c r="K96" s="81"/>
      <c r="L96" s="81"/>
      <c r="M96" s="81"/>
      <c r="N96" s="79"/>
    </row>
    <row r="97" spans="2:14" s="39" customFormat="1">
      <c r="B97" s="85"/>
      <c r="C97" s="66"/>
      <c r="D97" s="66"/>
      <c r="E97" s="66"/>
      <c r="F97" s="66"/>
      <c r="G97" s="71" t="s">
        <v>249</v>
      </c>
      <c r="H97" s="66"/>
      <c r="I97" s="66"/>
      <c r="J97" s="66"/>
      <c r="K97" s="66"/>
      <c r="L97" s="66"/>
      <c r="M97" s="66"/>
      <c r="N97" s="73"/>
    </row>
    <row r="98" spans="2:14" s="39" customFormat="1">
      <c r="B98" s="85"/>
      <c r="C98" s="66"/>
      <c r="D98" s="66"/>
      <c r="E98" s="66"/>
      <c r="F98" s="66"/>
      <c r="G98" s="66" t="s">
        <v>250</v>
      </c>
      <c r="H98" s="86"/>
      <c r="I98" s="86"/>
      <c r="J98" s="86"/>
      <c r="K98" s="66"/>
      <c r="L98" s="66"/>
      <c r="M98" s="66"/>
      <c r="N98" s="73"/>
    </row>
    <row r="99" spans="2:14" s="39" customFormat="1">
      <c r="B99" s="85"/>
      <c r="C99" s="66"/>
      <c r="D99" s="66"/>
      <c r="E99" s="66"/>
      <c r="F99" s="66"/>
      <c r="G99" s="66" t="s">
        <v>255</v>
      </c>
      <c r="H99" s="80"/>
      <c r="I99" s="80"/>
      <c r="J99" s="80"/>
      <c r="M99" s="66"/>
      <c r="N99" s="73"/>
    </row>
    <row r="100" spans="2:14" s="39" customFormat="1">
      <c r="B100" s="127"/>
      <c r="C100" s="81"/>
      <c r="D100" s="81"/>
      <c r="E100" s="81"/>
      <c r="F100" s="81"/>
      <c r="G100" s="66" t="s">
        <v>252</v>
      </c>
      <c r="K100" s="81"/>
      <c r="L100" s="81"/>
      <c r="M100" s="81"/>
      <c r="N100" s="79"/>
    </row>
    <row r="101" spans="2:14" s="39" customFormat="1" ht="17.25" customHeight="1">
      <c r="B101" s="138" t="s">
        <v>722</v>
      </c>
      <c r="C101" s="128"/>
      <c r="D101" s="128"/>
      <c r="E101" s="66"/>
      <c r="F101" s="66"/>
      <c r="G101" s="66"/>
      <c r="H101" s="66"/>
      <c r="I101" s="66"/>
      <c r="J101" s="1863"/>
      <c r="K101" s="1863"/>
      <c r="L101" s="1863"/>
      <c r="M101" s="1863"/>
      <c r="N101" s="1864"/>
    </row>
    <row r="102" spans="2:14" s="39" customFormat="1" ht="18.75" customHeight="1" thickBot="1">
      <c r="B102" s="1867" t="s">
        <v>723</v>
      </c>
      <c r="C102" s="1868"/>
      <c r="D102" s="1868"/>
      <c r="E102" s="87"/>
      <c r="F102" s="87"/>
      <c r="G102" s="87"/>
      <c r="H102" s="87"/>
      <c r="I102" s="87"/>
      <c r="J102" s="1865"/>
      <c r="K102" s="1865"/>
      <c r="L102" s="1865"/>
      <c r="M102" s="1865"/>
      <c r="N102" s="1866"/>
    </row>
  </sheetData>
  <mergeCells count="96">
    <mergeCell ref="B92:N93"/>
    <mergeCell ref="B94:N95"/>
    <mergeCell ref="J101:N102"/>
    <mergeCell ref="B102:D102"/>
    <mergeCell ref="B48:I48"/>
    <mergeCell ref="L48:M48"/>
    <mergeCell ref="B49:I49"/>
    <mergeCell ref="L49:M49"/>
    <mergeCell ref="B88:N88"/>
    <mergeCell ref="B89:N89"/>
    <mergeCell ref="B62:H62"/>
    <mergeCell ref="B63:H63"/>
    <mergeCell ref="B73:H73"/>
    <mergeCell ref="L73:M73"/>
    <mergeCell ref="L74:M74"/>
    <mergeCell ref="L75:M75"/>
    <mergeCell ref="C33:K33"/>
    <mergeCell ref="C34:K34"/>
    <mergeCell ref="B35:N37"/>
    <mergeCell ref="B42:F42"/>
    <mergeCell ref="G42:H42"/>
    <mergeCell ref="I42:J42"/>
    <mergeCell ref="L42:M42"/>
    <mergeCell ref="B38:F38"/>
    <mergeCell ref="G38:H38"/>
    <mergeCell ref="I38:J38"/>
    <mergeCell ref="L38:M38"/>
    <mergeCell ref="L34:M34"/>
    <mergeCell ref="B40:F40"/>
    <mergeCell ref="G40:H40"/>
    <mergeCell ref="I40:J40"/>
    <mergeCell ref="L40:M40"/>
    <mergeCell ref="B76:M76"/>
    <mergeCell ref="B64:H64"/>
    <mergeCell ref="B78:M78"/>
    <mergeCell ref="B66:M66"/>
    <mergeCell ref="B68:M68"/>
    <mergeCell ref="B72:H72"/>
    <mergeCell ref="L72:M72"/>
    <mergeCell ref="B69:N71"/>
    <mergeCell ref="L62:M62"/>
    <mergeCell ref="L63:M63"/>
    <mergeCell ref="L64:M64"/>
    <mergeCell ref="B65:H65"/>
    <mergeCell ref="L65:M65"/>
    <mergeCell ref="B55:H55"/>
    <mergeCell ref="L55:M55"/>
    <mergeCell ref="B57:M57"/>
    <mergeCell ref="B61:H61"/>
    <mergeCell ref="L61:M61"/>
    <mergeCell ref="B58:N60"/>
    <mergeCell ref="B56:H56"/>
    <mergeCell ref="L56:M56"/>
    <mergeCell ref="B50:M50"/>
    <mergeCell ref="B54:H54"/>
    <mergeCell ref="L54:M54"/>
    <mergeCell ref="B39:F39"/>
    <mergeCell ref="G39:H39"/>
    <mergeCell ref="I39:J39"/>
    <mergeCell ref="L39:M39"/>
    <mergeCell ref="B41:F41"/>
    <mergeCell ref="G41:H41"/>
    <mergeCell ref="I41:J41"/>
    <mergeCell ref="L41:M41"/>
    <mergeCell ref="B44:N46"/>
    <mergeCell ref="B51:N53"/>
    <mergeCell ref="B43:M43"/>
    <mergeCell ref="B47:I47"/>
    <mergeCell ref="L47:M47"/>
    <mergeCell ref="C5:J5"/>
    <mergeCell ref="K6:K8"/>
    <mergeCell ref="L6:L8"/>
    <mergeCell ref="M6:M8"/>
    <mergeCell ref="N6:N8"/>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 ref="L4:N5"/>
    <mergeCell ref="D25:M25"/>
    <mergeCell ref="E27:M27"/>
    <mergeCell ref="G29:M29"/>
    <mergeCell ref="C8:J8"/>
    <mergeCell ref="B31:N31"/>
    <mergeCell ref="B12:E1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53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topLeftCell="A31" zoomScale="55" zoomScaleNormal="55" workbookViewId="0">
      <selection activeCell="O55" sqref="O55"/>
    </sheetView>
  </sheetViews>
  <sheetFormatPr baseColWidth="10" defaultColWidth="11.42578125" defaultRowHeight="12.75"/>
  <cols>
    <col min="1" max="1" width="3.140625" style="32" customWidth="1"/>
    <col min="2" max="10" width="11.42578125" style="32"/>
    <col min="11" max="11" width="12.42578125" style="32" customWidth="1"/>
    <col min="12" max="13" width="11.42578125" style="32"/>
    <col min="14" max="14" width="12.5703125" style="32" customWidth="1"/>
    <col min="15" max="16384" width="11.42578125" style="32"/>
  </cols>
  <sheetData>
    <row r="1" spans="2:14" ht="13.5" thickBot="1"/>
    <row r="2" spans="2:14" s="39" customFormat="1">
      <c r="B2" s="1772"/>
      <c r="C2" s="1774"/>
      <c r="D2" s="1775"/>
      <c r="E2" s="1775"/>
      <c r="F2" s="1775"/>
      <c r="G2" s="1775"/>
      <c r="H2" s="1775"/>
      <c r="I2" s="1775"/>
      <c r="J2" s="1776"/>
      <c r="K2" s="1777" t="s">
        <v>228</v>
      </c>
      <c r="L2" s="1779" t="s">
        <v>716</v>
      </c>
      <c r="M2" s="1780"/>
      <c r="N2" s="1781"/>
    </row>
    <row r="3" spans="2:14" s="39" customFormat="1" ht="13.5">
      <c r="B3" s="1773"/>
      <c r="C3" s="1785" t="s">
        <v>69</v>
      </c>
      <c r="D3" s="1786"/>
      <c r="E3" s="1786"/>
      <c r="F3" s="1786"/>
      <c r="G3" s="1786"/>
      <c r="H3" s="1786"/>
      <c r="I3" s="1786"/>
      <c r="J3" s="1787"/>
      <c r="K3" s="1778"/>
      <c r="L3" s="1782"/>
      <c r="M3" s="1783"/>
      <c r="N3" s="1784"/>
    </row>
    <row r="4" spans="2:14" s="39" customFormat="1" ht="13.5">
      <c r="B4" s="1773"/>
      <c r="C4" s="1788" t="s">
        <v>303</v>
      </c>
      <c r="D4" s="1789"/>
      <c r="E4" s="1789"/>
      <c r="F4" s="1789"/>
      <c r="G4" s="1789"/>
      <c r="H4" s="1789"/>
      <c r="I4" s="1789"/>
      <c r="J4" s="1790"/>
      <c r="K4" s="1791" t="s">
        <v>230</v>
      </c>
      <c r="L4" s="1793">
        <v>2</v>
      </c>
      <c r="M4" s="1794"/>
      <c r="N4" s="1795"/>
    </row>
    <row r="5" spans="2:14" s="39" customFormat="1">
      <c r="B5" s="1773"/>
      <c r="C5" s="1799" t="s">
        <v>715</v>
      </c>
      <c r="D5" s="1800"/>
      <c r="E5" s="1800"/>
      <c r="F5" s="1800"/>
      <c r="G5" s="1800"/>
      <c r="H5" s="1800"/>
      <c r="I5" s="1800"/>
      <c r="J5" s="1801"/>
      <c r="K5" s="1792"/>
      <c r="L5" s="1796"/>
      <c r="M5" s="1797"/>
      <c r="N5" s="1798"/>
    </row>
    <row r="6" spans="2:14" s="39" customFormat="1" ht="12.75" customHeight="1">
      <c r="B6" s="1773"/>
      <c r="C6" s="1805" t="e">
        <f>+#REF!</f>
        <v>#REF!</v>
      </c>
      <c r="D6" s="1806"/>
      <c r="E6" s="1806"/>
      <c r="F6" s="1806"/>
      <c r="G6" s="1806"/>
      <c r="H6" s="1806"/>
      <c r="I6" s="1806"/>
      <c r="J6" s="1807"/>
      <c r="K6" s="1791" t="s">
        <v>232</v>
      </c>
      <c r="L6" s="1791">
        <v>1</v>
      </c>
      <c r="M6" s="1791" t="s">
        <v>233</v>
      </c>
      <c r="N6" s="1803">
        <v>1</v>
      </c>
    </row>
    <row r="7" spans="2:14" s="39" customFormat="1">
      <c r="B7" s="1773"/>
      <c r="C7" s="1805"/>
      <c r="D7" s="1806"/>
      <c r="E7" s="1806"/>
      <c r="F7" s="1806"/>
      <c r="G7" s="1806"/>
      <c r="H7" s="1806"/>
      <c r="I7" s="1806"/>
      <c r="J7" s="1807"/>
      <c r="K7" s="1802"/>
      <c r="L7" s="1802"/>
      <c r="M7" s="1802"/>
      <c r="N7" s="1804"/>
    </row>
    <row r="8" spans="2:14" s="39" customFormat="1">
      <c r="B8" s="1773"/>
      <c r="C8" s="1799" t="s">
        <v>234</v>
      </c>
      <c r="D8" s="1800"/>
      <c r="E8" s="1800"/>
      <c r="F8" s="1800"/>
      <c r="G8" s="1800"/>
      <c r="H8" s="1800"/>
      <c r="I8" s="1800"/>
      <c r="J8" s="1801"/>
      <c r="K8" s="1802"/>
      <c r="L8" s="1802"/>
      <c r="M8" s="1802"/>
      <c r="N8" s="1804"/>
    </row>
    <row r="9" spans="2:14" ht="14.25" thickBot="1">
      <c r="B9" s="147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1464"/>
      <c r="D11" s="1464"/>
      <c r="E11" s="1464"/>
      <c r="F11" s="1464"/>
      <c r="G11" s="1464"/>
      <c r="H11" s="1464"/>
      <c r="I11" s="1464"/>
      <c r="J11" s="1464"/>
      <c r="K11" s="51"/>
      <c r="L11" s="52" t="e">
        <f>+#REF!</f>
        <v>#REF!</v>
      </c>
      <c r="M11" s="52" t="e">
        <f>+#REF!</f>
        <v>#REF!</v>
      </c>
      <c r="N11" s="53" t="e">
        <f>+#REF!</f>
        <v>#REF!</v>
      </c>
    </row>
    <row r="12" spans="2:14" ht="13.5">
      <c r="B12" s="1869" t="s">
        <v>717</v>
      </c>
      <c r="C12" s="1870"/>
      <c r="D12" s="1870"/>
      <c r="E12" s="1870"/>
      <c r="F12" s="1464"/>
      <c r="G12" s="1464"/>
      <c r="H12" s="1464" t="s">
        <v>718</v>
      </c>
      <c r="I12" s="39"/>
      <c r="J12" s="1464"/>
      <c r="K12" s="51"/>
      <c r="L12" s="39"/>
      <c r="M12" s="39"/>
      <c r="N12" s="405"/>
    </row>
    <row r="13" spans="2:14" ht="13.5">
      <c r="B13" s="54" t="s">
        <v>239</v>
      </c>
      <c r="C13" s="55"/>
      <c r="D13" s="1810" t="e">
        <f>+#REF!</f>
        <v>#REF!</v>
      </c>
      <c r="E13" s="1810"/>
      <c r="F13" s="1810"/>
      <c r="G13" s="1810"/>
      <c r="H13" s="55"/>
      <c r="I13" s="55" t="s">
        <v>240</v>
      </c>
      <c r="J13" s="1810" t="e">
        <f>+#REF!</f>
        <v>#REF!</v>
      </c>
      <c r="K13" s="1810"/>
      <c r="L13" s="1810"/>
      <c r="M13" s="1810"/>
      <c r="N13" s="1466"/>
    </row>
    <row r="14" spans="2:14" ht="13.5">
      <c r="B14" s="54"/>
      <c r="C14" s="55"/>
      <c r="D14" s="1465"/>
      <c r="E14" s="1465"/>
      <c r="F14" s="1465"/>
      <c r="G14" s="1465"/>
      <c r="H14" s="55"/>
      <c r="I14" s="1465"/>
      <c r="J14" s="55"/>
      <c r="K14" s="1465"/>
      <c r="L14" s="1811"/>
      <c r="M14" s="1811"/>
      <c r="N14" s="1812"/>
    </row>
    <row r="15" spans="2:14" ht="13.5">
      <c r="B15" s="54"/>
      <c r="C15" s="55"/>
      <c r="D15" s="1465"/>
      <c r="E15" s="1465"/>
      <c r="F15" s="1465"/>
      <c r="G15" s="1465"/>
      <c r="H15" s="55"/>
      <c r="I15" s="1465"/>
      <c r="J15" s="55"/>
      <c r="K15" s="1465"/>
      <c r="L15" s="1465"/>
      <c r="M15" s="1465"/>
      <c r="N15" s="146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e">
        <f>+#REF!</f>
        <v>#REF!</v>
      </c>
      <c r="E19" s="71"/>
      <c r="F19" s="71"/>
      <c r="G19" s="1472" t="s">
        <v>233</v>
      </c>
      <c r="H19" s="1818" t="e">
        <f>+#REF!</f>
        <v>#REF!</v>
      </c>
      <c r="I19" s="1818"/>
      <c r="J19" s="1818"/>
      <c r="K19" s="1818"/>
      <c r="L19" s="1818"/>
      <c r="M19" s="1818"/>
      <c r="N19" s="73"/>
    </row>
    <row r="20" spans="2:14">
      <c r="B20" s="74" t="s">
        <v>242</v>
      </c>
      <c r="C20" s="75"/>
      <c r="D20" s="1819" t="e">
        <f>+#REF!</f>
        <v>#REF!</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1467"/>
      <c r="E22" s="1467"/>
      <c r="F22" s="1467"/>
      <c r="G22" s="1467"/>
      <c r="H22" s="1467"/>
      <c r="I22" s="1467"/>
      <c r="J22" s="1467"/>
      <c r="K22" s="1467"/>
      <c r="L22" s="1467"/>
      <c r="M22" s="78"/>
      <c r="N22" s="76"/>
    </row>
    <row r="23" spans="2:14">
      <c r="B23" s="74" t="s">
        <v>292</v>
      </c>
      <c r="C23" s="75"/>
      <c r="D23" s="1816" t="e">
        <f>+#REF!</f>
        <v>#REF!</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e">
        <f>+#REF!</f>
        <v>#REF!</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e">
        <f>+#REF!</f>
        <v>#REF!</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e">
        <f>+#REF!</f>
        <v>#REF!</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thickBot="1">
      <c r="B34" s="176" t="str">
        <f>'PRESUPUESTO OFICIAL'!D30</f>
        <v>450.2P</v>
      </c>
      <c r="C34" s="1885" t="str">
        <f>VLOOKUP(B34,'PRESUPUESTO OFICIAL'!D15:D73: 'PRESUPUESTO OFICIAL'!G15:G73,4,FALSE)</f>
        <v xml:space="preserve">Mezcla densa en caliente Tipo MDC-19 </v>
      </c>
      <c r="D34" s="1887"/>
      <c r="E34" s="1887"/>
      <c r="F34" s="1887"/>
      <c r="G34" s="1887"/>
      <c r="H34" s="1887"/>
      <c r="I34" s="1887"/>
      <c r="J34" s="1887"/>
      <c r="K34" s="1886"/>
      <c r="L34" s="1885" t="str">
        <f>VLOOKUP(B34,'PRESUPUESTO OFICIAL'!D15:D73: 'PRESUPUESTO OFICIAL'!H15:H73,5,FALSE)</f>
        <v>m3</v>
      </c>
      <c r="M34" s="1886"/>
      <c r="N34" s="177">
        <f>VLOOKUP(B34,'PRESUPUESTO OFICIAL'!D15:D73: 'PRESUPUESTO OFICIAL'!I15:I73,6,FALSE)</f>
        <v>36333</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c r="L38" s="1829"/>
      <c r="M38" s="1832"/>
      <c r="N38" s="179"/>
    </row>
    <row r="39" spans="2:14">
      <c r="B39" s="1839" t="s">
        <v>263</v>
      </c>
      <c r="C39" s="1840"/>
      <c r="D39" s="1840"/>
      <c r="E39" s="1840"/>
      <c r="F39" s="1841"/>
      <c r="G39" s="1842"/>
      <c r="H39" s="1841"/>
      <c r="I39" s="1842"/>
      <c r="J39" s="1841"/>
      <c r="K39" s="88" t="e">
        <f>+#REF!</f>
        <v>#REF!</v>
      </c>
      <c r="L39" s="1859">
        <v>30</v>
      </c>
      <c r="M39" s="1860"/>
      <c r="N39" s="89" t="e">
        <f>+K39/L39</f>
        <v>#REF!</v>
      </c>
    </row>
    <row r="40" spans="2:14">
      <c r="B40" s="1839" t="s">
        <v>540</v>
      </c>
      <c r="C40" s="1840"/>
      <c r="D40" s="1840"/>
      <c r="E40" s="1840"/>
      <c r="F40" s="1841"/>
      <c r="G40" s="1842"/>
      <c r="H40" s="1841"/>
      <c r="I40" s="1842"/>
      <c r="J40" s="1841"/>
      <c r="K40" s="88" t="e">
        <f>+#REF!</f>
        <v>#REF!</v>
      </c>
      <c r="L40" s="1859">
        <v>30</v>
      </c>
      <c r="M40" s="1860"/>
      <c r="N40" s="89" t="e">
        <f>+K40/L40</f>
        <v>#REF!</v>
      </c>
    </row>
    <row r="41" spans="2:14">
      <c r="B41" s="1839" t="s">
        <v>543</v>
      </c>
      <c r="C41" s="1840"/>
      <c r="D41" s="1840"/>
      <c r="E41" s="1840"/>
      <c r="F41" s="1841"/>
      <c r="G41" s="1842"/>
      <c r="H41" s="1841"/>
      <c r="I41" s="1842"/>
      <c r="J41" s="1841"/>
      <c r="K41" s="88" t="e">
        <f>+#REF!</f>
        <v>#REF!</v>
      </c>
      <c r="L41" s="1859">
        <v>30</v>
      </c>
      <c r="M41" s="1860"/>
      <c r="N41" s="89" t="e">
        <f>+K41/L41</f>
        <v>#REF!</v>
      </c>
    </row>
    <row r="42" spans="2:14" ht="13.5" thickBot="1">
      <c r="B42" s="1834" t="s">
        <v>77</v>
      </c>
      <c r="C42" s="1835"/>
      <c r="D42" s="1835"/>
      <c r="E42" s="1835"/>
      <c r="F42" s="1836"/>
      <c r="G42" s="1845"/>
      <c r="H42" s="1836"/>
      <c r="I42" s="1845"/>
      <c r="J42" s="1836"/>
      <c r="K42" s="88"/>
      <c r="L42" s="1846"/>
      <c r="M42" s="1847"/>
      <c r="N42" s="89" t="e">
        <f>+N66*0.05</f>
        <v>#REF!</v>
      </c>
    </row>
    <row r="43" spans="2:14" ht="14.25" thickBot="1">
      <c r="B43" s="1848" t="s">
        <v>188</v>
      </c>
      <c r="C43" s="1849"/>
      <c r="D43" s="1849"/>
      <c r="E43" s="1849"/>
      <c r="F43" s="1849"/>
      <c r="G43" s="1849"/>
      <c r="H43" s="1849"/>
      <c r="I43" s="1849"/>
      <c r="J43" s="1849"/>
      <c r="K43" s="1849"/>
      <c r="L43" s="1849"/>
      <c r="M43" s="1850"/>
      <c r="N43" s="91" t="e">
        <f>SUM(N39:N42)</f>
        <v>#REF!</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463" t="s">
        <v>38</v>
      </c>
      <c r="K47" s="178" t="s">
        <v>115</v>
      </c>
      <c r="L47" s="1829" t="s">
        <v>190</v>
      </c>
      <c r="M47" s="1832"/>
      <c r="N47" s="179" t="s">
        <v>191</v>
      </c>
    </row>
    <row r="48" spans="2:14">
      <c r="B48" s="1839" t="s">
        <v>1496</v>
      </c>
      <c r="C48" s="1840"/>
      <c r="D48" s="1840"/>
      <c r="E48" s="1840"/>
      <c r="F48" s="1840"/>
      <c r="G48" s="1840"/>
      <c r="H48" s="1840"/>
      <c r="I48" s="1841"/>
      <c r="J48" s="1458" t="s">
        <v>40</v>
      </c>
      <c r="K48" s="96">
        <v>1.25</v>
      </c>
      <c r="L48" s="1852" t="e">
        <f>#REF!</f>
        <v>#REF!</v>
      </c>
      <c r="M48" s="1853"/>
      <c r="N48" s="89" t="e">
        <f>+L48*K48</f>
        <v>#REF!</v>
      </c>
    </row>
    <row r="49" spans="2:15" ht="13.5" thickBot="1">
      <c r="B49" s="1834"/>
      <c r="C49" s="1835"/>
      <c r="D49" s="1835"/>
      <c r="E49" s="1835"/>
      <c r="F49" s="1835"/>
      <c r="G49" s="1835"/>
      <c r="H49" s="1835"/>
      <c r="I49" s="1836"/>
      <c r="J49" s="86"/>
      <c r="K49" s="97"/>
      <c r="L49" s="1837"/>
      <c r="M49" s="1838"/>
      <c r="N49" s="98"/>
    </row>
    <row r="50" spans="2:15" ht="14.25" thickBot="1">
      <c r="B50" s="1848" t="s">
        <v>188</v>
      </c>
      <c r="C50" s="1849"/>
      <c r="D50" s="1849"/>
      <c r="E50" s="1849"/>
      <c r="F50" s="1849"/>
      <c r="G50" s="1849"/>
      <c r="H50" s="1849"/>
      <c r="I50" s="1849"/>
      <c r="J50" s="1849"/>
      <c r="K50" s="1849"/>
      <c r="L50" s="1849"/>
      <c r="M50" s="1850"/>
      <c r="N50" s="99" t="e">
        <f>SUM(N48:N49)</f>
        <v>#REF!</v>
      </c>
    </row>
    <row r="51" spans="2:15">
      <c r="B51" s="1763" t="s">
        <v>51</v>
      </c>
      <c r="C51" s="1764"/>
      <c r="D51" s="1764"/>
      <c r="E51" s="1764"/>
      <c r="F51" s="1764"/>
      <c r="G51" s="1764"/>
      <c r="H51" s="1764"/>
      <c r="I51" s="1764"/>
      <c r="J51" s="1764"/>
      <c r="K51" s="1764"/>
      <c r="L51" s="1764"/>
      <c r="M51" s="1764"/>
      <c r="N51" s="1765"/>
    </row>
    <row r="52" spans="2:15">
      <c r="B52" s="1766"/>
      <c r="C52" s="1767"/>
      <c r="D52" s="1767"/>
      <c r="E52" s="1767"/>
      <c r="F52" s="1767"/>
      <c r="G52" s="1767"/>
      <c r="H52" s="1767"/>
      <c r="I52" s="1767"/>
      <c r="J52" s="1767"/>
      <c r="K52" s="1767"/>
      <c r="L52" s="1767"/>
      <c r="M52" s="1767"/>
      <c r="N52" s="1768"/>
    </row>
    <row r="53" spans="2:15" ht="13.5" thickBot="1">
      <c r="B53" s="1769"/>
      <c r="C53" s="1770"/>
      <c r="D53" s="1770"/>
      <c r="E53" s="1770"/>
      <c r="F53" s="1770"/>
      <c r="G53" s="1770"/>
      <c r="H53" s="1770"/>
      <c r="I53" s="1770"/>
      <c r="J53" s="1770"/>
      <c r="K53" s="1770"/>
      <c r="L53" s="1770"/>
      <c r="M53" s="1770"/>
      <c r="N53" s="1771"/>
    </row>
    <row r="54" spans="2:15" ht="13.5">
      <c r="B54" s="1826" t="s">
        <v>192</v>
      </c>
      <c r="C54" s="1851"/>
      <c r="D54" s="1851"/>
      <c r="E54" s="1851"/>
      <c r="F54" s="1851"/>
      <c r="G54" s="1851"/>
      <c r="H54" s="1851"/>
      <c r="I54" s="178" t="s">
        <v>193</v>
      </c>
      <c r="J54" s="1461" t="s">
        <v>194</v>
      </c>
      <c r="K54" s="182" t="s">
        <v>310</v>
      </c>
      <c r="L54" s="1829" t="s">
        <v>39</v>
      </c>
      <c r="M54" s="1832"/>
      <c r="N54" s="179" t="s">
        <v>191</v>
      </c>
    </row>
    <row r="55" spans="2:15">
      <c r="B55" s="1839" t="s">
        <v>478</v>
      </c>
      <c r="C55" s="1840"/>
      <c r="D55" s="1840"/>
      <c r="E55" s="1840"/>
      <c r="F55" s="1840"/>
      <c r="G55" s="1840"/>
      <c r="H55" s="1841"/>
      <c r="I55" s="100">
        <v>1</v>
      </c>
      <c r="J55" s="93" t="e">
        <f>+#REF!</f>
        <v>#REF!</v>
      </c>
      <c r="K55" s="100" t="e">
        <f>+J55*I55</f>
        <v>#REF!</v>
      </c>
      <c r="L55" s="1843" t="e">
        <f>#REF!</f>
        <v>#REF!</v>
      </c>
      <c r="M55" s="1844"/>
      <c r="N55" s="135" t="e">
        <f>+L55*K55</f>
        <v>#REF!</v>
      </c>
      <c r="O55" s="1473" t="e">
        <f>L48+N55</f>
        <v>#REF!</v>
      </c>
    </row>
    <row r="56" spans="2:15" ht="13.5" thickBot="1">
      <c r="B56" s="1834"/>
      <c r="C56" s="1835"/>
      <c r="D56" s="1835"/>
      <c r="E56" s="1835"/>
      <c r="F56" s="1835"/>
      <c r="G56" s="1835"/>
      <c r="H56" s="1836"/>
      <c r="I56" s="102"/>
      <c r="J56" s="87"/>
      <c r="K56" s="102"/>
      <c r="L56" s="1837"/>
      <c r="M56" s="1838"/>
      <c r="N56" s="111"/>
    </row>
    <row r="57" spans="2:15" ht="14.25" thickBot="1">
      <c r="B57" s="1848" t="s">
        <v>188</v>
      </c>
      <c r="C57" s="1849"/>
      <c r="D57" s="1849"/>
      <c r="E57" s="1849"/>
      <c r="F57" s="1849"/>
      <c r="G57" s="1849"/>
      <c r="H57" s="1849"/>
      <c r="I57" s="1849"/>
      <c r="J57" s="1849"/>
      <c r="K57" s="1849"/>
      <c r="L57" s="1849"/>
      <c r="M57" s="1850"/>
      <c r="N57" s="112" t="e">
        <f>SUM(N55:N56)</f>
        <v>#REF!</v>
      </c>
    </row>
    <row r="58" spans="2:15">
      <c r="B58" s="1763" t="s">
        <v>52</v>
      </c>
      <c r="C58" s="1764"/>
      <c r="D58" s="1764"/>
      <c r="E58" s="1764"/>
      <c r="F58" s="1764"/>
      <c r="G58" s="1764"/>
      <c r="H58" s="1764"/>
      <c r="I58" s="1764"/>
      <c r="J58" s="1764"/>
      <c r="K58" s="1764"/>
      <c r="L58" s="1764"/>
      <c r="M58" s="1764"/>
      <c r="N58" s="1765"/>
    </row>
    <row r="59" spans="2:15">
      <c r="B59" s="1766"/>
      <c r="C59" s="1767"/>
      <c r="D59" s="1767"/>
      <c r="E59" s="1767"/>
      <c r="F59" s="1767"/>
      <c r="G59" s="1767"/>
      <c r="H59" s="1767"/>
      <c r="I59" s="1767"/>
      <c r="J59" s="1767"/>
      <c r="K59" s="1767"/>
      <c r="L59" s="1767"/>
      <c r="M59" s="1767"/>
      <c r="N59" s="1768"/>
    </row>
    <row r="60" spans="2:15" ht="13.5" thickBot="1">
      <c r="B60" s="1769"/>
      <c r="C60" s="1770"/>
      <c r="D60" s="1770"/>
      <c r="E60" s="1770"/>
      <c r="F60" s="1770"/>
      <c r="G60" s="1770"/>
      <c r="H60" s="1770"/>
      <c r="I60" s="1770"/>
      <c r="J60" s="1770"/>
      <c r="K60" s="1770"/>
      <c r="L60" s="1770"/>
      <c r="M60" s="1770"/>
      <c r="N60" s="1771"/>
    </row>
    <row r="61" spans="2:15" ht="13.5">
      <c r="B61" s="1826" t="s">
        <v>195</v>
      </c>
      <c r="C61" s="1851"/>
      <c r="D61" s="1851"/>
      <c r="E61" s="1851"/>
      <c r="F61" s="1851"/>
      <c r="G61" s="1851"/>
      <c r="H61" s="1851"/>
      <c r="I61" s="178" t="s">
        <v>196</v>
      </c>
      <c r="J61" s="1461" t="s">
        <v>46</v>
      </c>
      <c r="K61" s="182" t="s">
        <v>197</v>
      </c>
      <c r="L61" s="1829" t="s">
        <v>186</v>
      </c>
      <c r="M61" s="1832"/>
      <c r="N61" s="179" t="s">
        <v>191</v>
      </c>
    </row>
    <row r="62" spans="2:15">
      <c r="B62" s="1888" t="s">
        <v>205</v>
      </c>
      <c r="C62" s="1889"/>
      <c r="D62" s="1889"/>
      <c r="E62" s="1889"/>
      <c r="F62" s="1889"/>
      <c r="G62" s="1889"/>
      <c r="H62" s="1900"/>
      <c r="I62" s="107" t="e">
        <f>+#REF!*8</f>
        <v>#REF!</v>
      </c>
      <c r="J62" s="108" t="e">
        <f>+#REF!</f>
        <v>#REF!</v>
      </c>
      <c r="K62" s="109" t="e">
        <f>+J62*I62</f>
        <v>#REF!</v>
      </c>
      <c r="L62" s="1861">
        <v>240</v>
      </c>
      <c r="M62" s="1862"/>
      <c r="N62" s="110" t="e">
        <f>+K62/L62</f>
        <v>#REF!</v>
      </c>
    </row>
    <row r="63" spans="2:15">
      <c r="B63" s="1888" t="s">
        <v>152</v>
      </c>
      <c r="C63" s="1889"/>
      <c r="D63" s="1889"/>
      <c r="E63" s="1889"/>
      <c r="F63" s="1889"/>
      <c r="G63" s="1889"/>
      <c r="H63" s="1900"/>
      <c r="I63" s="107" t="e">
        <f>+#REF!*2</f>
        <v>#REF!</v>
      </c>
      <c r="J63" s="108" t="e">
        <f>+#REF!</f>
        <v>#REF!</v>
      </c>
      <c r="K63" s="109" t="e">
        <f>+J63*I63</f>
        <v>#REF!</v>
      </c>
      <c r="L63" s="1861">
        <v>240</v>
      </c>
      <c r="M63" s="1862"/>
      <c r="N63" s="110" t="e">
        <f>+K63/L63</f>
        <v>#REF!</v>
      </c>
    </row>
    <row r="64" spans="2:15">
      <c r="B64" s="1888" t="s">
        <v>257</v>
      </c>
      <c r="C64" s="1889"/>
      <c r="D64" s="1889"/>
      <c r="E64" s="1889"/>
      <c r="F64" s="1889"/>
      <c r="G64" s="1889"/>
      <c r="H64" s="1900"/>
      <c r="I64" s="107" t="e">
        <f>+#REF!*2</f>
        <v>#REF!</v>
      </c>
      <c r="J64" s="108" t="e">
        <f>+#REF!</f>
        <v>#REF!</v>
      </c>
      <c r="K64" s="109" t="e">
        <f>+J64*I64</f>
        <v>#REF!</v>
      </c>
      <c r="L64" s="1861">
        <v>240</v>
      </c>
      <c r="M64" s="1862"/>
      <c r="N64" s="110" t="e">
        <f>+K64/L64</f>
        <v>#REF!</v>
      </c>
    </row>
    <row r="65" spans="2:14" ht="13.5" thickBot="1">
      <c r="B65" s="1890" t="s">
        <v>17</v>
      </c>
      <c r="C65" s="1891"/>
      <c r="D65" s="1891"/>
      <c r="E65" s="1891"/>
      <c r="F65" s="1891"/>
      <c r="G65" s="1891"/>
      <c r="H65" s="1892"/>
      <c r="I65" s="107" t="e">
        <f>+#REF!</f>
        <v>#REF!</v>
      </c>
      <c r="J65" s="108" t="e">
        <f>+#REF!</f>
        <v>#REF!</v>
      </c>
      <c r="K65" s="109" t="e">
        <f>+J65*I65</f>
        <v>#REF!</v>
      </c>
      <c r="L65" s="1898">
        <v>240</v>
      </c>
      <c r="M65" s="1899"/>
      <c r="N65" s="110" t="e">
        <f>+K65/L65</f>
        <v>#REF!</v>
      </c>
    </row>
    <row r="66" spans="2:14" ht="14.25" thickBot="1">
      <c r="B66" s="1848" t="s">
        <v>188</v>
      </c>
      <c r="C66" s="1849"/>
      <c r="D66" s="1849"/>
      <c r="E66" s="1849"/>
      <c r="F66" s="1849"/>
      <c r="G66" s="1849"/>
      <c r="H66" s="1849"/>
      <c r="I66" s="1849"/>
      <c r="J66" s="1849"/>
      <c r="K66" s="1849"/>
      <c r="L66" s="1849"/>
      <c r="M66" s="1850"/>
      <c r="N66" s="112" t="e">
        <f>SUM(N62:N65)</f>
        <v>#REF!</v>
      </c>
    </row>
    <row r="67" spans="2:14" ht="13.5" thickBot="1">
      <c r="B67" s="85"/>
      <c r="C67" s="66"/>
      <c r="D67" s="66"/>
      <c r="E67" s="66"/>
      <c r="F67" s="66"/>
      <c r="G67" s="66"/>
      <c r="H67" s="66"/>
      <c r="I67" s="66"/>
      <c r="J67" s="66"/>
      <c r="K67" s="66"/>
      <c r="L67" s="66"/>
      <c r="M67" s="66"/>
      <c r="N67" s="73"/>
    </row>
    <row r="68" spans="2:14" ht="13.5" thickBot="1">
      <c r="B68" s="1854" t="s">
        <v>198</v>
      </c>
      <c r="C68" s="1855"/>
      <c r="D68" s="1855"/>
      <c r="E68" s="1855"/>
      <c r="F68" s="1855"/>
      <c r="G68" s="1855"/>
      <c r="H68" s="1855"/>
      <c r="I68" s="1855"/>
      <c r="J68" s="1855"/>
      <c r="K68" s="1855"/>
      <c r="L68" s="1855"/>
      <c r="M68" s="1856"/>
      <c r="N68" s="186" t="e">
        <f>+N66+N57+N50+N43</f>
        <v>#REF!</v>
      </c>
    </row>
    <row r="69" spans="2:14">
      <c r="B69" s="1763" t="s">
        <v>53</v>
      </c>
      <c r="C69" s="1764"/>
      <c r="D69" s="1764"/>
      <c r="E69" s="1764"/>
      <c r="F69" s="1764"/>
      <c r="G69" s="1764"/>
      <c r="H69" s="1764"/>
      <c r="I69" s="1764"/>
      <c r="J69" s="1764"/>
      <c r="K69" s="1764"/>
      <c r="L69" s="1764"/>
      <c r="M69" s="1764"/>
      <c r="N69" s="1765"/>
    </row>
    <row r="70" spans="2:14">
      <c r="B70" s="1766"/>
      <c r="C70" s="1767"/>
      <c r="D70" s="1767"/>
      <c r="E70" s="1767"/>
      <c r="F70" s="1767"/>
      <c r="G70" s="1767"/>
      <c r="H70" s="1767"/>
      <c r="I70" s="1767"/>
      <c r="J70" s="1767"/>
      <c r="K70" s="1767"/>
      <c r="L70" s="1767"/>
      <c r="M70" s="1767"/>
      <c r="N70" s="1768"/>
    </row>
    <row r="71" spans="2:14" ht="13.5" thickBot="1">
      <c r="B71" s="1769"/>
      <c r="C71" s="1770"/>
      <c r="D71" s="1770"/>
      <c r="E71" s="1770"/>
      <c r="F71" s="1770"/>
      <c r="G71" s="1770"/>
      <c r="H71" s="1770"/>
      <c r="I71" s="1770"/>
      <c r="J71" s="1770"/>
      <c r="K71" s="1770"/>
      <c r="L71" s="1770"/>
      <c r="M71" s="1770"/>
      <c r="N71" s="1771"/>
    </row>
    <row r="72" spans="2:14" ht="13.5">
      <c r="B72" s="1826" t="s">
        <v>50</v>
      </c>
      <c r="C72" s="1851"/>
      <c r="D72" s="1851"/>
      <c r="E72" s="1851"/>
      <c r="F72" s="1851"/>
      <c r="G72" s="1851"/>
      <c r="H72" s="1851"/>
      <c r="I72" s="1461"/>
      <c r="J72" s="1462"/>
      <c r="K72" s="184" t="s">
        <v>54</v>
      </c>
      <c r="L72" s="1857" t="s">
        <v>55</v>
      </c>
      <c r="M72" s="1858"/>
      <c r="N72" s="185"/>
    </row>
    <row r="73" spans="2:14">
      <c r="B73" s="1839" t="s">
        <v>44</v>
      </c>
      <c r="C73" s="1840"/>
      <c r="D73" s="1840"/>
      <c r="E73" s="1840"/>
      <c r="F73" s="1840"/>
      <c r="G73" s="1840"/>
      <c r="H73" s="1840"/>
      <c r="I73" s="113"/>
      <c r="J73" s="114"/>
      <c r="K73" s="192" t="e">
        <f>+#REF!</f>
        <v>#REF!</v>
      </c>
      <c r="L73" s="1877" t="e">
        <f>+N68*K73</f>
        <v>#REF!</v>
      </c>
      <c r="M73" s="1878"/>
      <c r="N73" s="115"/>
    </row>
    <row r="74" spans="2:14">
      <c r="B74" s="116" t="s">
        <v>56</v>
      </c>
      <c r="C74" s="117"/>
      <c r="D74" s="117"/>
      <c r="E74" s="117"/>
      <c r="F74" s="117"/>
      <c r="G74" s="117"/>
      <c r="H74" s="117"/>
      <c r="I74" s="113"/>
      <c r="J74" s="114"/>
      <c r="K74" s="192" t="e">
        <f>+#REF!</f>
        <v>#REF!</v>
      </c>
      <c r="L74" s="1877" t="e">
        <f>+N68*K74</f>
        <v>#REF!</v>
      </c>
      <c r="M74" s="1878"/>
      <c r="N74" s="115"/>
    </row>
    <row r="75" spans="2:14" ht="13.5" thickBot="1">
      <c r="B75" s="1459" t="s">
        <v>45</v>
      </c>
      <c r="C75" s="1460"/>
      <c r="D75" s="1460"/>
      <c r="E75" s="1460"/>
      <c r="F75" s="1460"/>
      <c r="G75" s="1460"/>
      <c r="H75" s="1460"/>
      <c r="I75" s="120"/>
      <c r="J75" s="121"/>
      <c r="K75" s="192" t="e">
        <f>+#REF!</f>
        <v>#REF!</v>
      </c>
      <c r="L75" s="1879" t="e">
        <f>+N68*K75</f>
        <v>#REF!</v>
      </c>
      <c r="M75" s="1880"/>
      <c r="N75" s="115"/>
    </row>
    <row r="76" spans="2:14" ht="14.25" thickBot="1">
      <c r="B76" s="1848" t="s">
        <v>188</v>
      </c>
      <c r="C76" s="1849"/>
      <c r="D76" s="1849"/>
      <c r="E76" s="1849"/>
      <c r="F76" s="1849"/>
      <c r="G76" s="1849"/>
      <c r="H76" s="1849"/>
      <c r="I76" s="1849"/>
      <c r="J76" s="1849"/>
      <c r="K76" s="1849"/>
      <c r="L76" s="1849"/>
      <c r="M76" s="1850"/>
      <c r="N76" s="122" t="e">
        <f>SUM(L73:M75)</f>
        <v>#REF!</v>
      </c>
    </row>
    <row r="77" spans="2:14" ht="13.5" thickBot="1">
      <c r="B77" s="85"/>
      <c r="C77" s="66"/>
      <c r="D77" s="66"/>
      <c r="E77" s="66"/>
      <c r="F77" s="66"/>
      <c r="G77" s="66"/>
      <c r="H77" s="66"/>
      <c r="I77" s="66"/>
      <c r="J77" s="66"/>
      <c r="K77" s="66"/>
      <c r="L77" s="66"/>
      <c r="M77" s="66"/>
      <c r="N77" s="73"/>
    </row>
    <row r="78" spans="2:14" ht="13.5" thickBot="1">
      <c r="B78" s="1854" t="s">
        <v>199</v>
      </c>
      <c r="C78" s="1855"/>
      <c r="D78" s="1855"/>
      <c r="E78" s="1855"/>
      <c r="F78" s="1855"/>
      <c r="G78" s="1855"/>
      <c r="H78" s="1855"/>
      <c r="I78" s="1855"/>
      <c r="J78" s="1855"/>
      <c r="K78" s="1855"/>
      <c r="L78" s="1855"/>
      <c r="M78" s="1856"/>
      <c r="N78" s="188" t="e">
        <f>ROUND(N68+N76,0)</f>
        <v>#REF!</v>
      </c>
    </row>
    <row r="79" spans="2:14" s="39" customFormat="1">
      <c r="B79" s="64"/>
      <c r="C79" s="65"/>
      <c r="D79" s="65"/>
      <c r="E79" s="65"/>
      <c r="F79" s="65"/>
      <c r="G79" s="65"/>
      <c r="H79" s="65"/>
      <c r="I79" s="65"/>
      <c r="J79" s="65"/>
      <c r="K79" s="65"/>
      <c r="L79" s="65"/>
      <c r="M79" s="65"/>
      <c r="N79" s="67"/>
    </row>
    <row r="80" spans="2:14" s="39" customFormat="1">
      <c r="B80" s="85"/>
      <c r="C80" s="66"/>
      <c r="D80" s="66"/>
      <c r="E80" s="66"/>
      <c r="F80" s="66"/>
      <c r="G80" s="66"/>
      <c r="H80" s="66"/>
      <c r="I80" s="66"/>
      <c r="J80" s="66"/>
      <c r="K80" s="66"/>
      <c r="L80" s="66"/>
      <c r="M80" s="66"/>
      <c r="N80" s="73"/>
    </row>
    <row r="81" spans="2:14" s="39" customFormat="1">
      <c r="B81" s="85"/>
      <c r="C81" s="66"/>
      <c r="D81" s="66"/>
      <c r="E81" s="66"/>
      <c r="F81" s="66"/>
      <c r="G81" s="66"/>
      <c r="H81" s="66"/>
      <c r="I81" s="66"/>
      <c r="J81" s="66"/>
      <c r="K81" s="66"/>
      <c r="L81" s="66"/>
      <c r="M81" s="66"/>
      <c r="N81" s="73"/>
    </row>
    <row r="82" spans="2:14" s="39" customFormat="1">
      <c r="B82" s="85"/>
      <c r="C82" s="66"/>
      <c r="D82" s="66"/>
      <c r="E82" s="66"/>
      <c r="F82" s="66"/>
      <c r="G82" s="71" t="s">
        <v>249</v>
      </c>
      <c r="H82" s="71"/>
      <c r="I82" s="71"/>
      <c r="J82" s="71"/>
      <c r="K82" s="66"/>
      <c r="L82" s="66"/>
      <c r="M82" s="66"/>
      <c r="N82" s="73"/>
    </row>
    <row r="83" spans="2:14" s="39" customFormat="1" ht="13.5">
      <c r="B83" s="123"/>
      <c r="C83" s="124"/>
      <c r="D83" s="124"/>
      <c r="E83" s="124"/>
      <c r="F83" s="124"/>
      <c r="G83" s="71" t="s">
        <v>250</v>
      </c>
      <c r="H83" s="124"/>
      <c r="I83" s="124"/>
      <c r="J83" s="124"/>
      <c r="K83" s="124"/>
      <c r="L83" s="124"/>
      <c r="M83" s="124"/>
      <c r="N83" s="125"/>
    </row>
    <row r="84" spans="2:14" s="39" customFormat="1" ht="13.5">
      <c r="B84" s="123"/>
      <c r="C84" s="124"/>
      <c r="D84" s="124"/>
      <c r="E84" s="124"/>
      <c r="F84" s="124"/>
      <c r="G84" s="71" t="s">
        <v>251</v>
      </c>
      <c r="J84" s="124"/>
      <c r="K84" s="124"/>
      <c r="L84" s="124"/>
      <c r="M84" s="124"/>
      <c r="N84" s="125"/>
    </row>
    <row r="85" spans="2:14" s="39" customFormat="1">
      <c r="B85" s="49"/>
      <c r="C85" s="81"/>
      <c r="D85" s="81"/>
      <c r="E85" s="81"/>
      <c r="F85" s="81"/>
      <c r="G85" s="71" t="s">
        <v>252</v>
      </c>
      <c r="H85" s="81"/>
      <c r="I85" s="81"/>
      <c r="J85" s="81"/>
      <c r="K85" s="81"/>
      <c r="L85" s="81"/>
      <c r="M85" s="81"/>
      <c r="N85" s="79"/>
    </row>
    <row r="86" spans="2:14" s="39" customFormat="1">
      <c r="B86" s="85"/>
      <c r="C86" s="66"/>
      <c r="D86" s="66"/>
      <c r="E86" s="66"/>
      <c r="F86" s="66"/>
      <c r="G86" s="66" t="s">
        <v>253</v>
      </c>
      <c r="H86" s="66"/>
      <c r="I86" s="66"/>
      <c r="J86" s="66"/>
      <c r="K86" s="66"/>
      <c r="L86" s="66"/>
      <c r="M86" s="66"/>
      <c r="N86" s="73"/>
    </row>
    <row r="87" spans="2:14" s="39" customFormat="1" ht="13.5">
      <c r="B87" s="92" t="s">
        <v>254</v>
      </c>
      <c r="C87" s="93"/>
      <c r="D87" s="93"/>
      <c r="E87" s="93"/>
      <c r="F87" s="93"/>
      <c r="G87" s="93"/>
      <c r="H87" s="93"/>
      <c r="I87" s="93"/>
      <c r="J87" s="93"/>
      <c r="K87" s="93"/>
      <c r="L87" s="93"/>
      <c r="M87" s="93"/>
      <c r="N87" s="94"/>
    </row>
    <row r="88" spans="2:14" s="39" customFormat="1">
      <c r="B88" s="1874"/>
      <c r="C88" s="1875"/>
      <c r="D88" s="1875"/>
      <c r="E88" s="1875"/>
      <c r="F88" s="1875"/>
      <c r="G88" s="1875"/>
      <c r="H88" s="1875"/>
      <c r="I88" s="1875"/>
      <c r="J88" s="1875"/>
      <c r="K88" s="1875"/>
      <c r="L88" s="1875"/>
      <c r="M88" s="1875"/>
      <c r="N88" s="1876"/>
    </row>
    <row r="89" spans="2:14" s="39" customFormat="1">
      <c r="B89" s="1874"/>
      <c r="C89" s="1875"/>
      <c r="D89" s="1875"/>
      <c r="E89" s="1875"/>
      <c r="F89" s="1875"/>
      <c r="G89" s="1875"/>
      <c r="H89" s="1875"/>
      <c r="I89" s="1875"/>
      <c r="J89" s="1875"/>
      <c r="K89" s="1875"/>
      <c r="L89" s="1875"/>
      <c r="M89" s="1875"/>
      <c r="N89" s="1876"/>
    </row>
    <row r="90" spans="2:14" s="39" customFormat="1">
      <c r="B90" s="49"/>
      <c r="C90" s="81"/>
      <c r="D90" s="81"/>
      <c r="E90" s="81"/>
      <c r="F90" s="81"/>
      <c r="G90" s="81"/>
      <c r="H90" s="81"/>
      <c r="I90" s="81"/>
      <c r="J90" s="81"/>
      <c r="K90" s="81"/>
      <c r="L90" s="81"/>
      <c r="M90" s="81"/>
      <c r="N90" s="79"/>
    </row>
    <row r="91" spans="2:14" s="39" customFormat="1">
      <c r="B91" s="406" t="s">
        <v>719</v>
      </c>
      <c r="C91" s="81"/>
      <c r="D91" s="81"/>
      <c r="E91" s="81"/>
      <c r="F91" s="81"/>
      <c r="G91" s="81"/>
      <c r="H91" s="81"/>
      <c r="I91" s="81"/>
      <c r="J91" s="81"/>
      <c r="K91" s="81"/>
      <c r="L91" s="81"/>
      <c r="M91" s="81"/>
      <c r="N91" s="79"/>
    </row>
    <row r="92" spans="2:14" s="39" customFormat="1" ht="12.75" customHeight="1">
      <c r="B92" s="1871" t="s">
        <v>720</v>
      </c>
      <c r="C92" s="1872"/>
      <c r="D92" s="1872"/>
      <c r="E92" s="1872"/>
      <c r="F92" s="1872"/>
      <c r="G92" s="1872"/>
      <c r="H92" s="1872"/>
      <c r="I92" s="1872"/>
      <c r="J92" s="1872"/>
      <c r="K92" s="1872"/>
      <c r="L92" s="1872"/>
      <c r="M92" s="1872"/>
      <c r="N92" s="1873"/>
    </row>
    <row r="93" spans="2:14" s="39" customFormat="1">
      <c r="B93" s="1871"/>
      <c r="C93" s="1872"/>
      <c r="D93" s="1872"/>
      <c r="E93" s="1872"/>
      <c r="F93" s="1872"/>
      <c r="G93" s="1872"/>
      <c r="H93" s="1872"/>
      <c r="I93" s="1872"/>
      <c r="J93" s="1872"/>
      <c r="K93" s="1872"/>
      <c r="L93" s="1872"/>
      <c r="M93" s="1872"/>
      <c r="N93" s="1873"/>
    </row>
    <row r="94" spans="2:14" s="39" customFormat="1">
      <c r="B94" s="1871" t="s">
        <v>721</v>
      </c>
      <c r="C94" s="1872"/>
      <c r="D94" s="1872"/>
      <c r="E94" s="1872"/>
      <c r="F94" s="1872"/>
      <c r="G94" s="1872"/>
      <c r="H94" s="1872"/>
      <c r="I94" s="1872"/>
      <c r="J94" s="1872"/>
      <c r="K94" s="1872"/>
      <c r="L94" s="1872"/>
      <c r="M94" s="1872"/>
      <c r="N94" s="1873"/>
    </row>
    <row r="95" spans="2:14" s="39" customFormat="1">
      <c r="B95" s="1871"/>
      <c r="C95" s="1872"/>
      <c r="D95" s="1872"/>
      <c r="E95" s="1872"/>
      <c r="F95" s="1872"/>
      <c r="G95" s="1872"/>
      <c r="H95" s="1872"/>
      <c r="I95" s="1872"/>
      <c r="J95" s="1872"/>
      <c r="K95" s="1872"/>
      <c r="L95" s="1872"/>
      <c r="M95" s="1872"/>
      <c r="N95" s="1873"/>
    </row>
    <row r="96" spans="2:14" s="39" customFormat="1">
      <c r="B96" s="49"/>
      <c r="C96" s="81"/>
      <c r="D96" s="81"/>
      <c r="E96" s="81"/>
      <c r="F96" s="81"/>
      <c r="G96" s="81"/>
      <c r="H96" s="81"/>
      <c r="I96" s="81"/>
      <c r="J96" s="81"/>
      <c r="K96" s="81"/>
      <c r="L96" s="81"/>
      <c r="M96" s="81"/>
      <c r="N96" s="79"/>
    </row>
    <row r="97" spans="2:14" s="39" customFormat="1">
      <c r="B97" s="85"/>
      <c r="C97" s="66"/>
      <c r="D97" s="66"/>
      <c r="E97" s="66"/>
      <c r="F97" s="66"/>
      <c r="G97" s="71" t="s">
        <v>249</v>
      </c>
      <c r="H97" s="66"/>
      <c r="I97" s="66"/>
      <c r="J97" s="66"/>
      <c r="K97" s="66"/>
      <c r="L97" s="66"/>
      <c r="M97" s="66"/>
      <c r="N97" s="73"/>
    </row>
    <row r="98" spans="2:14" s="39" customFormat="1">
      <c r="B98" s="85"/>
      <c r="C98" s="66"/>
      <c r="D98" s="66"/>
      <c r="E98" s="66"/>
      <c r="F98" s="66"/>
      <c r="G98" s="66" t="s">
        <v>250</v>
      </c>
      <c r="H98" s="86"/>
      <c r="I98" s="86"/>
      <c r="J98" s="86"/>
      <c r="K98" s="66"/>
      <c r="L98" s="66"/>
      <c r="M98" s="66"/>
      <c r="N98" s="73"/>
    </row>
    <row r="99" spans="2:14" s="39" customFormat="1">
      <c r="B99" s="85"/>
      <c r="C99" s="66"/>
      <c r="D99" s="66"/>
      <c r="E99" s="66"/>
      <c r="F99" s="66"/>
      <c r="G99" s="66" t="s">
        <v>255</v>
      </c>
      <c r="H99" s="80"/>
      <c r="I99" s="80"/>
      <c r="J99" s="80"/>
      <c r="M99" s="66"/>
      <c r="N99" s="73"/>
    </row>
    <row r="100" spans="2:14" s="39" customFormat="1">
      <c r="B100" s="127"/>
      <c r="C100" s="81"/>
      <c r="D100" s="81"/>
      <c r="E100" s="81"/>
      <c r="F100" s="81"/>
      <c r="G100" s="66" t="s">
        <v>252</v>
      </c>
      <c r="K100" s="81"/>
      <c r="L100" s="81"/>
      <c r="M100" s="81"/>
      <c r="N100" s="79"/>
    </row>
    <row r="101" spans="2:14" s="39" customFormat="1" ht="17.25" customHeight="1">
      <c r="B101" s="138" t="s">
        <v>722</v>
      </c>
      <c r="C101" s="128"/>
      <c r="D101" s="128"/>
      <c r="E101" s="66"/>
      <c r="F101" s="66"/>
      <c r="G101" s="66"/>
      <c r="H101" s="66"/>
      <c r="I101" s="66"/>
      <c r="J101" s="1863"/>
      <c r="K101" s="1863"/>
      <c r="L101" s="1863"/>
      <c r="M101" s="1863"/>
      <c r="N101" s="1864"/>
    </row>
    <row r="102" spans="2:14" s="39" customFormat="1" ht="18.75" customHeight="1" thickBot="1">
      <c r="B102" s="1867" t="s">
        <v>723</v>
      </c>
      <c r="C102" s="1868"/>
      <c r="D102" s="1868"/>
      <c r="E102" s="87"/>
      <c r="F102" s="87"/>
      <c r="G102" s="87"/>
      <c r="H102" s="87"/>
      <c r="I102" s="87"/>
      <c r="J102" s="1865"/>
      <c r="K102" s="1865"/>
      <c r="L102" s="1865"/>
      <c r="M102" s="1865"/>
      <c r="N102" s="1866"/>
    </row>
  </sheetData>
  <mergeCells count="96">
    <mergeCell ref="B94:N95"/>
    <mergeCell ref="J101:N102"/>
    <mergeCell ref="B102:D102"/>
    <mergeCell ref="L75:M75"/>
    <mergeCell ref="B76:M76"/>
    <mergeCell ref="B78:M78"/>
    <mergeCell ref="B88:N88"/>
    <mergeCell ref="B89:N89"/>
    <mergeCell ref="B92:N93"/>
    <mergeCell ref="L74:M74"/>
    <mergeCell ref="B64:H64"/>
    <mergeCell ref="L64:M64"/>
    <mergeCell ref="B65:H65"/>
    <mergeCell ref="L65:M65"/>
    <mergeCell ref="B66:M66"/>
    <mergeCell ref="B68:M68"/>
    <mergeCell ref="B69:N71"/>
    <mergeCell ref="B72:H72"/>
    <mergeCell ref="L72:M72"/>
    <mergeCell ref="B73:H73"/>
    <mergeCell ref="L73:M73"/>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N6:N8"/>
    <mergeCell ref="C8:J8"/>
    <mergeCell ref="B12:E12"/>
    <mergeCell ref="B2:B8"/>
    <mergeCell ref="C2:J2"/>
    <mergeCell ref="K2:K3"/>
    <mergeCell ref="L2:N3"/>
    <mergeCell ref="C3:J3"/>
    <mergeCell ref="C4:J4"/>
    <mergeCell ref="K4:K5"/>
    <mergeCell ref="L4:N5"/>
    <mergeCell ref="C5:J5"/>
    <mergeCell ref="C6:J7"/>
    <mergeCell ref="D23:M23"/>
    <mergeCell ref="K6:K8"/>
    <mergeCell ref="L6:L8"/>
    <mergeCell ref="M6:M8"/>
    <mergeCell ref="D13:G13"/>
    <mergeCell ref="J13:M13"/>
    <mergeCell ref="L14:N14"/>
    <mergeCell ref="H19:M19"/>
    <mergeCell ref="D20:M21"/>
  </mergeCells>
  <pageMargins left="0.7" right="0.7" top="0.75" bottom="0.75" header="0.3" footer="0.3"/>
  <drawing r:id="rId1"/>
  <legacyDrawing r:id="rId2"/>
  <oleObjects>
    <mc:AlternateContent xmlns:mc="http://schemas.openxmlformats.org/markup-compatibility/2006">
      <mc:Choice Requires="x14">
        <oleObject progId="PBrush" shapeId="169062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90625" r:id="rId3"/>
      </mc:Fallback>
    </mc:AlternateContent>
  </oleObjects>
  <mc:AlternateContent xmlns:mc="http://schemas.openxmlformats.org/markup-compatibility/2006">
    <mc:Choice Requires="x14">
      <controls>
        <mc:AlternateContent xmlns:mc="http://schemas.openxmlformats.org/markup-compatibility/2006">
          <mc:Choice Requires="x14">
            <control shapeId="1690626"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90627"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view="pageBreakPreview" topLeftCell="A36" zoomScale="85" zoomScaleNormal="100" zoomScaleSheetLayoutView="85" workbookViewId="0">
      <selection sqref="A1:XFD1048576"/>
    </sheetView>
  </sheetViews>
  <sheetFormatPr baseColWidth="10" defaultColWidth="11.42578125" defaultRowHeight="12.75"/>
  <cols>
    <col min="1" max="1" width="3.140625" style="39" customWidth="1"/>
    <col min="2" max="2" width="11.5703125" style="39" bestFit="1" customWidth="1"/>
    <col min="3" max="8" width="11.42578125" style="39"/>
    <col min="9" max="10" width="11.5703125" style="39" bestFit="1" customWidth="1"/>
    <col min="11" max="11" width="12.42578125" style="39" bestFit="1" customWidth="1"/>
    <col min="12" max="12" width="11.5703125" style="39" bestFit="1" customWidth="1"/>
    <col min="13" max="13" width="11.42578125" style="39"/>
    <col min="14" max="14" width="15.7109375" style="39" customWidth="1"/>
    <col min="15" max="15" width="22.42578125" style="39" customWidth="1"/>
    <col min="16"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19"/>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411"/>
      <c r="D11" s="411"/>
      <c r="E11" s="411"/>
      <c r="F11" s="411"/>
      <c r="G11" s="411"/>
      <c r="H11" s="411"/>
      <c r="I11" s="411"/>
      <c r="J11" s="411"/>
      <c r="K11" s="51"/>
      <c r="L11" s="52" t="s">
        <v>294</v>
      </c>
      <c r="M11" s="52" t="s">
        <v>294</v>
      </c>
      <c r="N11" s="53" t="s">
        <v>294</v>
      </c>
    </row>
    <row r="12" spans="2:14" ht="13.5">
      <c r="B12" s="1869" t="s">
        <v>717</v>
      </c>
      <c r="C12" s="1870"/>
      <c r="D12" s="1870"/>
      <c r="E12" s="1870"/>
      <c r="F12" s="411"/>
      <c r="G12" s="411"/>
      <c r="H12" s="411" t="s">
        <v>718</v>
      </c>
      <c r="J12" s="411"/>
      <c r="K12" s="51"/>
      <c r="N12" s="405"/>
    </row>
    <row r="13" spans="2:14" ht="13.5">
      <c r="B13" s="54" t="s">
        <v>239</v>
      </c>
      <c r="C13" s="55"/>
      <c r="D13" s="1810" t="s">
        <v>293</v>
      </c>
      <c r="E13" s="1810"/>
      <c r="F13" s="1810"/>
      <c r="G13" s="1810"/>
      <c r="H13" s="55"/>
      <c r="I13" s="55" t="s">
        <v>240</v>
      </c>
      <c r="J13" s="1810" t="s">
        <v>293</v>
      </c>
      <c r="K13" s="1810"/>
      <c r="L13" s="1810"/>
      <c r="M13" s="1810"/>
      <c r="N13" s="414"/>
    </row>
    <row r="14" spans="2:14" ht="13.5">
      <c r="B14" s="54"/>
      <c r="C14" s="55"/>
      <c r="D14" s="413"/>
      <c r="E14" s="413"/>
      <c r="F14" s="413"/>
      <c r="G14" s="413"/>
      <c r="H14" s="55"/>
      <c r="I14" s="413"/>
      <c r="J14" s="55"/>
      <c r="K14" s="413"/>
      <c r="L14" s="1811"/>
      <c r="M14" s="1811"/>
      <c r="N14" s="1812"/>
    </row>
    <row r="15" spans="2:14" ht="13.5">
      <c r="B15" s="54"/>
      <c r="C15" s="55"/>
      <c r="D15" s="413"/>
      <c r="E15" s="413"/>
      <c r="F15" s="413"/>
      <c r="G15" s="413"/>
      <c r="H15" s="55"/>
      <c r="I15" s="413"/>
      <c r="J15" s="55"/>
      <c r="K15" s="413"/>
      <c r="L15" s="413"/>
      <c r="M15" s="413"/>
      <c r="N15" s="414"/>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420"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410"/>
      <c r="E22" s="410"/>
      <c r="F22" s="410"/>
      <c r="G22" s="410"/>
      <c r="H22" s="410"/>
      <c r="I22" s="410"/>
      <c r="J22" s="410"/>
      <c r="K22" s="410"/>
      <c r="L22" s="410"/>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thickBot="1">
      <c r="B34" s="176" t="s">
        <v>728</v>
      </c>
      <c r="C34" s="1901" t="s">
        <v>1342</v>
      </c>
      <c r="D34" s="1902"/>
      <c r="E34" s="1902"/>
      <c r="F34" s="1902"/>
      <c r="G34" s="1902"/>
      <c r="H34" s="1902"/>
      <c r="I34" s="1902"/>
      <c r="J34" s="1902"/>
      <c r="K34" s="1903"/>
      <c r="L34" s="1885" t="s">
        <v>111</v>
      </c>
      <c r="M34" s="1886"/>
      <c r="N34" s="177">
        <v>15528</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c r="L38" s="1829"/>
      <c r="M38" s="1832"/>
      <c r="N38" s="179"/>
    </row>
    <row r="39" spans="2:14">
      <c r="B39" s="1839" t="s">
        <v>263</v>
      </c>
      <c r="C39" s="1840"/>
      <c r="D39" s="1840"/>
      <c r="E39" s="1840"/>
      <c r="F39" s="1841"/>
      <c r="G39" s="1842"/>
      <c r="H39" s="1841"/>
      <c r="I39" s="1842"/>
      <c r="J39" s="1841"/>
      <c r="K39" s="88">
        <v>129150</v>
      </c>
      <c r="L39" s="1859">
        <v>30</v>
      </c>
      <c r="M39" s="1860"/>
      <c r="N39" s="89">
        <v>4305</v>
      </c>
    </row>
    <row r="40" spans="2:14">
      <c r="B40" s="1839" t="s">
        <v>540</v>
      </c>
      <c r="C40" s="1840"/>
      <c r="D40" s="1840"/>
      <c r="E40" s="1840"/>
      <c r="F40" s="1841"/>
      <c r="G40" s="1842"/>
      <c r="H40" s="1841"/>
      <c r="I40" s="1842"/>
      <c r="J40" s="1841"/>
      <c r="K40" s="88">
        <v>94500</v>
      </c>
      <c r="L40" s="1859">
        <v>30</v>
      </c>
      <c r="M40" s="1860"/>
      <c r="N40" s="89">
        <v>3150</v>
      </c>
    </row>
    <row r="41" spans="2:14">
      <c r="B41" s="1839" t="s">
        <v>543</v>
      </c>
      <c r="C41" s="1840"/>
      <c r="D41" s="1840"/>
      <c r="E41" s="1840"/>
      <c r="F41" s="1841"/>
      <c r="G41" s="1842"/>
      <c r="H41" s="1841"/>
      <c r="I41" s="1842"/>
      <c r="J41" s="1841"/>
      <c r="K41" s="88">
        <v>94500</v>
      </c>
      <c r="L41" s="1859">
        <v>30</v>
      </c>
      <c r="M41" s="1860"/>
      <c r="N41" s="89">
        <v>3150</v>
      </c>
    </row>
    <row r="42" spans="2:14" ht="13.5" thickBot="1">
      <c r="B42" s="1834" t="s">
        <v>77</v>
      </c>
      <c r="C42" s="1835"/>
      <c r="D42" s="1835"/>
      <c r="E42" s="1835"/>
      <c r="F42" s="1836"/>
      <c r="G42" s="1845"/>
      <c r="H42" s="1836"/>
      <c r="I42" s="1845"/>
      <c r="J42" s="1836"/>
      <c r="K42" s="88"/>
      <c r="L42" s="1846"/>
      <c r="M42" s="1847"/>
      <c r="N42" s="89">
        <v>122.93512083333336</v>
      </c>
    </row>
    <row r="43" spans="2:14" ht="14.25" thickBot="1">
      <c r="B43" s="1848" t="s">
        <v>188</v>
      </c>
      <c r="C43" s="1849"/>
      <c r="D43" s="1849"/>
      <c r="E43" s="1849"/>
      <c r="F43" s="1849"/>
      <c r="G43" s="1849"/>
      <c r="H43" s="1849"/>
      <c r="I43" s="1849"/>
      <c r="J43" s="1849"/>
      <c r="K43" s="1849"/>
      <c r="L43" s="1849"/>
      <c r="M43" s="1850"/>
      <c r="N43" s="91">
        <v>10727.935120833334</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412" t="s">
        <v>38</v>
      </c>
      <c r="K47" s="178" t="s">
        <v>115</v>
      </c>
      <c r="L47" s="1829" t="s">
        <v>190</v>
      </c>
      <c r="M47" s="1832"/>
      <c r="N47" s="179" t="s">
        <v>191</v>
      </c>
    </row>
    <row r="48" spans="2:14">
      <c r="B48" s="1839" t="s">
        <v>1495</v>
      </c>
      <c r="C48" s="1840"/>
      <c r="D48" s="1840"/>
      <c r="E48" s="1840"/>
      <c r="F48" s="1840"/>
      <c r="G48" s="1840"/>
      <c r="H48" s="1840"/>
      <c r="I48" s="1841"/>
      <c r="J48" s="415" t="s">
        <v>40</v>
      </c>
      <c r="K48" s="96">
        <v>1.25</v>
      </c>
      <c r="L48" s="1852">
        <v>479192</v>
      </c>
      <c r="M48" s="1853"/>
      <c r="N48" s="89">
        <v>598990</v>
      </c>
    </row>
    <row r="49" spans="2:15" ht="13.5" thickBot="1">
      <c r="B49" s="1834"/>
      <c r="C49" s="1835"/>
      <c r="D49" s="1835"/>
      <c r="E49" s="1835"/>
      <c r="F49" s="1835"/>
      <c r="G49" s="1835"/>
      <c r="H49" s="1835"/>
      <c r="I49" s="1836"/>
      <c r="J49" s="415"/>
      <c r="K49" s="97"/>
      <c r="L49" s="1852"/>
      <c r="M49" s="1853"/>
      <c r="N49" s="89"/>
    </row>
    <row r="50" spans="2:15" ht="14.25" thickBot="1">
      <c r="B50" s="1848" t="s">
        <v>188</v>
      </c>
      <c r="C50" s="1849"/>
      <c r="D50" s="1849"/>
      <c r="E50" s="1849"/>
      <c r="F50" s="1849"/>
      <c r="G50" s="1849"/>
      <c r="H50" s="1849"/>
      <c r="I50" s="1849"/>
      <c r="J50" s="1849"/>
      <c r="K50" s="1849"/>
      <c r="L50" s="1849"/>
      <c r="M50" s="1850"/>
      <c r="N50" s="99">
        <v>598990</v>
      </c>
      <c r="O50" s="1426"/>
    </row>
    <row r="51" spans="2:15">
      <c r="B51" s="1763" t="s">
        <v>51</v>
      </c>
      <c r="C51" s="1764"/>
      <c r="D51" s="1764"/>
      <c r="E51" s="1764"/>
      <c r="F51" s="1764"/>
      <c r="G51" s="1764"/>
      <c r="H51" s="1764"/>
      <c r="I51" s="1764"/>
      <c r="J51" s="1764"/>
      <c r="K51" s="1764"/>
      <c r="L51" s="1764"/>
      <c r="M51" s="1764"/>
      <c r="N51" s="1765"/>
    </row>
    <row r="52" spans="2:15">
      <c r="B52" s="1766"/>
      <c r="C52" s="1767"/>
      <c r="D52" s="1767"/>
      <c r="E52" s="1767"/>
      <c r="F52" s="1767"/>
      <c r="G52" s="1767"/>
      <c r="H52" s="1767"/>
      <c r="I52" s="1767"/>
      <c r="J52" s="1767"/>
      <c r="K52" s="1767"/>
      <c r="L52" s="1767"/>
      <c r="M52" s="1767"/>
      <c r="N52" s="1768"/>
    </row>
    <row r="53" spans="2:15" ht="13.5" thickBot="1">
      <c r="B53" s="1769"/>
      <c r="C53" s="1770"/>
      <c r="D53" s="1770"/>
      <c r="E53" s="1770"/>
      <c r="F53" s="1770"/>
      <c r="G53" s="1770"/>
      <c r="H53" s="1770"/>
      <c r="I53" s="1770"/>
      <c r="J53" s="1770"/>
      <c r="K53" s="1770"/>
      <c r="L53" s="1770"/>
      <c r="M53" s="1770"/>
      <c r="N53" s="1771"/>
    </row>
    <row r="54" spans="2:15" ht="13.5">
      <c r="B54" s="1826" t="s">
        <v>192</v>
      </c>
      <c r="C54" s="1851"/>
      <c r="D54" s="1851"/>
      <c r="E54" s="1851"/>
      <c r="F54" s="1851"/>
      <c r="G54" s="1851"/>
      <c r="H54" s="1851"/>
      <c r="I54" s="178" t="s">
        <v>193</v>
      </c>
      <c r="J54" s="409" t="s">
        <v>194</v>
      </c>
      <c r="K54" s="182" t="s">
        <v>310</v>
      </c>
      <c r="L54" s="1829" t="s">
        <v>39</v>
      </c>
      <c r="M54" s="1832"/>
      <c r="N54" s="179" t="s">
        <v>191</v>
      </c>
    </row>
    <row r="55" spans="2:15">
      <c r="B55" s="1839"/>
      <c r="C55" s="1840"/>
      <c r="D55" s="1840"/>
      <c r="E55" s="1840"/>
      <c r="F55" s="1840"/>
      <c r="G55" s="1840"/>
      <c r="H55" s="1841"/>
      <c r="I55" s="100"/>
      <c r="J55" s="93"/>
      <c r="K55" s="100"/>
      <c r="L55" s="1843"/>
      <c r="M55" s="1844"/>
      <c r="N55" s="135"/>
    </row>
    <row r="56" spans="2:15" ht="13.5" thickBot="1">
      <c r="B56" s="1834"/>
      <c r="C56" s="1835"/>
      <c r="D56" s="1835"/>
      <c r="E56" s="1835"/>
      <c r="F56" s="1835"/>
      <c r="G56" s="1835"/>
      <c r="H56" s="1836"/>
      <c r="I56" s="102"/>
      <c r="J56" s="87"/>
      <c r="K56" s="102"/>
      <c r="L56" s="1837"/>
      <c r="M56" s="1838"/>
      <c r="N56" s="111"/>
    </row>
    <row r="57" spans="2:15" ht="14.25" thickBot="1">
      <c r="B57" s="1848" t="s">
        <v>188</v>
      </c>
      <c r="C57" s="1849"/>
      <c r="D57" s="1849"/>
      <c r="E57" s="1849"/>
      <c r="F57" s="1849"/>
      <c r="G57" s="1849"/>
      <c r="H57" s="1849"/>
      <c r="I57" s="1849"/>
      <c r="J57" s="1849"/>
      <c r="K57" s="1849"/>
      <c r="L57" s="1849"/>
      <c r="M57" s="1850"/>
      <c r="N57" s="112">
        <v>0</v>
      </c>
    </row>
    <row r="58" spans="2:15">
      <c r="B58" s="1763" t="s">
        <v>52</v>
      </c>
      <c r="C58" s="1764"/>
      <c r="D58" s="1764"/>
      <c r="E58" s="1764"/>
      <c r="F58" s="1764"/>
      <c r="G58" s="1764"/>
      <c r="H58" s="1764"/>
      <c r="I58" s="1764"/>
      <c r="J58" s="1764"/>
      <c r="K58" s="1764"/>
      <c r="L58" s="1764"/>
      <c r="M58" s="1764"/>
      <c r="N58" s="1765"/>
    </row>
    <row r="59" spans="2:15">
      <c r="B59" s="1766"/>
      <c r="C59" s="1767"/>
      <c r="D59" s="1767"/>
      <c r="E59" s="1767"/>
      <c r="F59" s="1767"/>
      <c r="G59" s="1767"/>
      <c r="H59" s="1767"/>
      <c r="I59" s="1767"/>
      <c r="J59" s="1767"/>
      <c r="K59" s="1767"/>
      <c r="L59" s="1767"/>
      <c r="M59" s="1767"/>
      <c r="N59" s="1768"/>
    </row>
    <row r="60" spans="2:15" ht="13.5" thickBot="1">
      <c r="B60" s="1769"/>
      <c r="C60" s="1770"/>
      <c r="D60" s="1770"/>
      <c r="E60" s="1770"/>
      <c r="F60" s="1770"/>
      <c r="G60" s="1770"/>
      <c r="H60" s="1770"/>
      <c r="I60" s="1770"/>
      <c r="J60" s="1770"/>
      <c r="K60" s="1770"/>
      <c r="L60" s="1770"/>
      <c r="M60" s="1770"/>
      <c r="N60" s="1771"/>
    </row>
    <row r="61" spans="2:15" ht="13.5">
      <c r="B61" s="1826" t="s">
        <v>195</v>
      </c>
      <c r="C61" s="1851"/>
      <c r="D61" s="1851"/>
      <c r="E61" s="1851"/>
      <c r="F61" s="1851"/>
      <c r="G61" s="1851"/>
      <c r="H61" s="1851"/>
      <c r="I61" s="178" t="s">
        <v>196</v>
      </c>
      <c r="J61" s="409" t="s">
        <v>46</v>
      </c>
      <c r="K61" s="182" t="s">
        <v>197</v>
      </c>
      <c r="L61" s="1829" t="s">
        <v>186</v>
      </c>
      <c r="M61" s="1832"/>
      <c r="N61" s="179" t="s">
        <v>191</v>
      </c>
    </row>
    <row r="62" spans="2:15">
      <c r="B62" s="1888" t="s">
        <v>205</v>
      </c>
      <c r="C62" s="1889"/>
      <c r="D62" s="1889"/>
      <c r="E62" s="1889"/>
      <c r="F62" s="1889"/>
      <c r="G62" s="1889"/>
      <c r="H62" s="1900"/>
      <c r="I62" s="107">
        <v>219200</v>
      </c>
      <c r="J62" s="108">
        <v>1.85</v>
      </c>
      <c r="K62" s="109">
        <v>405520</v>
      </c>
      <c r="L62" s="1861">
        <v>240</v>
      </c>
      <c r="M62" s="1862"/>
      <c r="N62" s="110">
        <v>1689.6666666666667</v>
      </c>
    </row>
    <row r="63" spans="2:15">
      <c r="B63" s="1888" t="s">
        <v>152</v>
      </c>
      <c r="C63" s="1889"/>
      <c r="D63" s="1889"/>
      <c r="E63" s="1889"/>
      <c r="F63" s="1889"/>
      <c r="G63" s="1889"/>
      <c r="H63" s="1900"/>
      <c r="I63" s="107">
        <v>59320.800000000003</v>
      </c>
      <c r="J63" s="108">
        <v>1.85</v>
      </c>
      <c r="K63" s="109">
        <v>109743.48000000001</v>
      </c>
      <c r="L63" s="1861">
        <v>240</v>
      </c>
      <c r="M63" s="1862"/>
      <c r="N63" s="110">
        <v>457.26450000000006</v>
      </c>
    </row>
    <row r="64" spans="2:15">
      <c r="B64" s="1888"/>
      <c r="C64" s="1889"/>
      <c r="D64" s="1889"/>
      <c r="E64" s="1889"/>
      <c r="F64" s="1889"/>
      <c r="G64" s="1889"/>
      <c r="H64" s="1900"/>
      <c r="I64" s="107"/>
      <c r="J64" s="108"/>
      <c r="K64" s="109"/>
      <c r="L64" s="1861"/>
      <c r="M64" s="1862"/>
      <c r="N64" s="110"/>
    </row>
    <row r="65" spans="2:14" ht="13.5" thickBot="1">
      <c r="B65" s="1890" t="s">
        <v>17</v>
      </c>
      <c r="C65" s="1891"/>
      <c r="D65" s="1891"/>
      <c r="E65" s="1891"/>
      <c r="F65" s="1891"/>
      <c r="G65" s="1891"/>
      <c r="H65" s="1892"/>
      <c r="I65" s="107">
        <v>40446</v>
      </c>
      <c r="J65" s="108">
        <v>1.85</v>
      </c>
      <c r="K65" s="109">
        <v>74825.100000000006</v>
      </c>
      <c r="L65" s="1898">
        <v>240</v>
      </c>
      <c r="M65" s="1899"/>
      <c r="N65" s="110">
        <v>311.77125000000001</v>
      </c>
    </row>
    <row r="66" spans="2:14" ht="14.25" thickBot="1">
      <c r="B66" s="1848" t="s">
        <v>188</v>
      </c>
      <c r="C66" s="1849"/>
      <c r="D66" s="1849"/>
      <c r="E66" s="1849"/>
      <c r="F66" s="1849"/>
      <c r="G66" s="1849"/>
      <c r="H66" s="1849"/>
      <c r="I66" s="1849"/>
      <c r="J66" s="1849"/>
      <c r="K66" s="1849"/>
      <c r="L66" s="1849"/>
      <c r="M66" s="1850"/>
      <c r="N66" s="112">
        <v>2458.702416666667</v>
      </c>
    </row>
    <row r="67" spans="2:14" ht="13.5" thickBot="1">
      <c r="B67" s="85"/>
      <c r="C67" s="66"/>
      <c r="D67" s="66"/>
      <c r="E67" s="66"/>
      <c r="F67" s="66"/>
      <c r="G67" s="66"/>
      <c r="H67" s="66"/>
      <c r="I67" s="66"/>
      <c r="J67" s="66"/>
      <c r="K67" s="66"/>
      <c r="L67" s="66"/>
      <c r="M67" s="66"/>
      <c r="N67" s="73"/>
    </row>
    <row r="68" spans="2:14" ht="13.5" thickBot="1">
      <c r="B68" s="1854" t="s">
        <v>198</v>
      </c>
      <c r="C68" s="1855"/>
      <c r="D68" s="1855"/>
      <c r="E68" s="1855"/>
      <c r="F68" s="1855"/>
      <c r="G68" s="1855"/>
      <c r="H68" s="1855"/>
      <c r="I68" s="1855"/>
      <c r="J68" s="1855"/>
      <c r="K68" s="1855"/>
      <c r="L68" s="1855"/>
      <c r="M68" s="1856"/>
      <c r="N68" s="186">
        <v>612176.63753750001</v>
      </c>
    </row>
    <row r="69" spans="2:14">
      <c r="B69" s="1763" t="s">
        <v>53</v>
      </c>
      <c r="C69" s="1764"/>
      <c r="D69" s="1764"/>
      <c r="E69" s="1764"/>
      <c r="F69" s="1764"/>
      <c r="G69" s="1764"/>
      <c r="H69" s="1764"/>
      <c r="I69" s="1764"/>
      <c r="J69" s="1764"/>
      <c r="K69" s="1764"/>
      <c r="L69" s="1764"/>
      <c r="M69" s="1764"/>
      <c r="N69" s="1765"/>
    </row>
    <row r="70" spans="2:14">
      <c r="B70" s="1766"/>
      <c r="C70" s="1767"/>
      <c r="D70" s="1767"/>
      <c r="E70" s="1767"/>
      <c r="F70" s="1767"/>
      <c r="G70" s="1767"/>
      <c r="H70" s="1767"/>
      <c r="I70" s="1767"/>
      <c r="J70" s="1767"/>
      <c r="K70" s="1767"/>
      <c r="L70" s="1767"/>
      <c r="M70" s="1767"/>
      <c r="N70" s="1768"/>
    </row>
    <row r="71" spans="2:14" ht="13.5" thickBot="1">
      <c r="B71" s="1769"/>
      <c r="C71" s="1770"/>
      <c r="D71" s="1770"/>
      <c r="E71" s="1770"/>
      <c r="F71" s="1770"/>
      <c r="G71" s="1770"/>
      <c r="H71" s="1770"/>
      <c r="I71" s="1770"/>
      <c r="J71" s="1770"/>
      <c r="K71" s="1770"/>
      <c r="L71" s="1770"/>
      <c r="M71" s="1770"/>
      <c r="N71" s="1771"/>
    </row>
    <row r="72" spans="2:14" ht="13.5">
      <c r="B72" s="1826" t="s">
        <v>50</v>
      </c>
      <c r="C72" s="1851"/>
      <c r="D72" s="1851"/>
      <c r="E72" s="1851"/>
      <c r="F72" s="1851"/>
      <c r="G72" s="1851"/>
      <c r="H72" s="1851"/>
      <c r="I72" s="409"/>
      <c r="J72" s="416"/>
      <c r="K72" s="184" t="s">
        <v>54</v>
      </c>
      <c r="L72" s="1857" t="s">
        <v>55</v>
      </c>
      <c r="M72" s="1858"/>
      <c r="N72" s="185"/>
    </row>
    <row r="73" spans="2:14">
      <c r="B73" s="1839" t="s">
        <v>44</v>
      </c>
      <c r="C73" s="1840"/>
      <c r="D73" s="1840"/>
      <c r="E73" s="1840"/>
      <c r="F73" s="1840"/>
      <c r="G73" s="1840"/>
      <c r="H73" s="1840"/>
      <c r="I73" s="113"/>
      <c r="J73" s="114"/>
      <c r="K73" s="192">
        <v>0.22</v>
      </c>
      <c r="L73" s="1877">
        <v>134678.86025825</v>
      </c>
      <c r="M73" s="1878"/>
      <c r="N73" s="115"/>
    </row>
    <row r="74" spans="2:14">
      <c r="B74" s="116" t="s">
        <v>56</v>
      </c>
      <c r="C74" s="117"/>
      <c r="D74" s="117"/>
      <c r="E74" s="117"/>
      <c r="F74" s="117"/>
      <c r="G74" s="117"/>
      <c r="H74" s="117"/>
      <c r="I74" s="113"/>
      <c r="J74" s="114"/>
      <c r="K74" s="192">
        <v>0.05</v>
      </c>
      <c r="L74" s="1877">
        <v>30608.831876875003</v>
      </c>
      <c r="M74" s="1878"/>
      <c r="N74" s="115"/>
    </row>
    <row r="75" spans="2:14" ht="13.5" thickBot="1">
      <c r="B75" s="407" t="s">
        <v>45</v>
      </c>
      <c r="C75" s="408"/>
      <c r="D75" s="408"/>
      <c r="E75" s="408"/>
      <c r="F75" s="408"/>
      <c r="G75" s="408"/>
      <c r="H75" s="408"/>
      <c r="I75" s="120"/>
      <c r="J75" s="121"/>
      <c r="K75" s="192">
        <v>0.05</v>
      </c>
      <c r="L75" s="1879">
        <v>30608.831876875003</v>
      </c>
      <c r="M75" s="1880"/>
      <c r="N75" s="115"/>
    </row>
    <row r="76" spans="2:14" ht="14.25" thickBot="1">
      <c r="B76" s="1848" t="s">
        <v>188</v>
      </c>
      <c r="C76" s="1849"/>
      <c r="D76" s="1849"/>
      <c r="E76" s="1849"/>
      <c r="F76" s="1849"/>
      <c r="G76" s="1849"/>
      <c r="H76" s="1849"/>
      <c r="I76" s="1849"/>
      <c r="J76" s="1849"/>
      <c r="K76" s="1849"/>
      <c r="L76" s="1849"/>
      <c r="M76" s="1850"/>
      <c r="N76" s="122">
        <v>195896.52401200001</v>
      </c>
    </row>
    <row r="77" spans="2:14" ht="13.5" thickBot="1">
      <c r="B77" s="85"/>
      <c r="C77" s="66"/>
      <c r="D77" s="66"/>
      <c r="E77" s="66"/>
      <c r="F77" s="66"/>
      <c r="G77" s="66"/>
      <c r="H77" s="66"/>
      <c r="I77" s="66"/>
      <c r="J77" s="66"/>
      <c r="K77" s="66"/>
      <c r="L77" s="66"/>
      <c r="M77" s="66"/>
      <c r="N77" s="73"/>
    </row>
    <row r="78" spans="2:14" ht="13.5" thickBot="1">
      <c r="B78" s="1854" t="s">
        <v>199</v>
      </c>
      <c r="C78" s="1855"/>
      <c r="D78" s="1855"/>
      <c r="E78" s="1855"/>
      <c r="F78" s="1855"/>
      <c r="G78" s="1855"/>
      <c r="H78" s="1855"/>
      <c r="I78" s="1855"/>
      <c r="J78" s="1855"/>
      <c r="K78" s="1855"/>
      <c r="L78" s="1855"/>
      <c r="M78" s="1856"/>
      <c r="N78" s="188">
        <v>808073</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249</v>
      </c>
      <c r="H82" s="71"/>
      <c r="I82" s="71"/>
      <c r="J82" s="71"/>
      <c r="K82" s="66"/>
      <c r="L82" s="66"/>
      <c r="M82" s="66"/>
      <c r="N82" s="73"/>
    </row>
    <row r="83" spans="2:14" ht="13.5">
      <c r="B83" s="123"/>
      <c r="C83" s="124"/>
      <c r="D83" s="124"/>
      <c r="E83" s="124"/>
      <c r="F83" s="124"/>
      <c r="G83" s="71" t="s">
        <v>250</v>
      </c>
      <c r="H83" s="124"/>
      <c r="I83" s="124"/>
      <c r="J83" s="124"/>
      <c r="K83" s="124"/>
      <c r="L83" s="124"/>
      <c r="M83" s="124"/>
      <c r="N83" s="125"/>
    </row>
    <row r="84" spans="2:14" ht="13.5">
      <c r="B84" s="123"/>
      <c r="C84" s="124"/>
      <c r="D84" s="124"/>
      <c r="E84" s="124"/>
      <c r="F84" s="124"/>
      <c r="G84" s="71" t="s">
        <v>251</v>
      </c>
      <c r="J84" s="124"/>
      <c r="K84" s="124"/>
      <c r="L84" s="124"/>
      <c r="M84" s="124"/>
      <c r="N84" s="125"/>
    </row>
    <row r="85" spans="2:14">
      <c r="B85" s="49"/>
      <c r="C85" s="81"/>
      <c r="D85" s="81"/>
      <c r="E85" s="81"/>
      <c r="F85" s="81"/>
      <c r="G85" s="71" t="s">
        <v>252</v>
      </c>
      <c r="H85" s="81"/>
      <c r="I85" s="81"/>
      <c r="J85" s="81"/>
      <c r="K85" s="81"/>
      <c r="L85" s="81"/>
      <c r="M85" s="81"/>
      <c r="N85" s="79"/>
    </row>
    <row r="86" spans="2:14">
      <c r="B86" s="85"/>
      <c r="C86" s="66"/>
      <c r="D86" s="66"/>
      <c r="E86" s="66"/>
      <c r="F86" s="66"/>
      <c r="G86" s="66" t="s">
        <v>253</v>
      </c>
      <c r="H86" s="66"/>
      <c r="I86" s="66"/>
      <c r="J86" s="66"/>
      <c r="K86" s="66"/>
      <c r="L86" s="66"/>
      <c r="M86" s="66"/>
      <c r="N86" s="73"/>
    </row>
    <row r="87" spans="2:14" ht="13.5">
      <c r="B87" s="92" t="s">
        <v>254</v>
      </c>
      <c r="C87" s="93"/>
      <c r="D87" s="93"/>
      <c r="E87" s="93"/>
      <c r="F87" s="93"/>
      <c r="G87" s="93"/>
      <c r="H87" s="93"/>
      <c r="I87" s="93"/>
      <c r="J87" s="93"/>
      <c r="K87" s="93"/>
      <c r="L87" s="93"/>
      <c r="M87" s="93"/>
      <c r="N87" s="94"/>
    </row>
    <row r="88" spans="2:14">
      <c r="B88" s="1874"/>
      <c r="C88" s="1875"/>
      <c r="D88" s="1875"/>
      <c r="E88" s="1875"/>
      <c r="F88" s="1875"/>
      <c r="G88" s="1875"/>
      <c r="H88" s="1875"/>
      <c r="I88" s="1875"/>
      <c r="J88" s="1875"/>
      <c r="K88" s="1875"/>
      <c r="L88" s="1875"/>
      <c r="M88" s="1875"/>
      <c r="N88" s="1876"/>
    </row>
    <row r="89" spans="2:14">
      <c r="B89" s="1874"/>
      <c r="C89" s="1875"/>
      <c r="D89" s="1875"/>
      <c r="E89" s="1875"/>
      <c r="F89" s="1875"/>
      <c r="G89" s="1875"/>
      <c r="H89" s="1875"/>
      <c r="I89" s="1875"/>
      <c r="J89" s="1875"/>
      <c r="K89" s="1875"/>
      <c r="L89" s="1875"/>
      <c r="M89" s="1875"/>
      <c r="N89" s="1876"/>
    </row>
    <row r="90" spans="2:14">
      <c r="B90" s="49"/>
      <c r="C90" s="81"/>
      <c r="D90" s="81"/>
      <c r="E90" s="81"/>
      <c r="F90" s="81"/>
      <c r="G90" s="81"/>
      <c r="H90" s="81"/>
      <c r="I90" s="81"/>
      <c r="J90" s="81"/>
      <c r="K90" s="81"/>
      <c r="L90" s="81"/>
      <c r="M90" s="81"/>
      <c r="N90" s="79"/>
    </row>
    <row r="91" spans="2:14">
      <c r="B91" s="406" t="s">
        <v>719</v>
      </c>
      <c r="C91" s="81"/>
      <c r="D91" s="81"/>
      <c r="E91" s="81"/>
      <c r="F91" s="81"/>
      <c r="G91" s="81"/>
      <c r="H91" s="81"/>
      <c r="I91" s="81"/>
      <c r="J91" s="81"/>
      <c r="K91" s="81"/>
      <c r="L91" s="81"/>
      <c r="M91" s="81"/>
      <c r="N91" s="79"/>
    </row>
    <row r="92" spans="2:14" ht="12.75" customHeight="1">
      <c r="B92" s="1871" t="s">
        <v>720</v>
      </c>
      <c r="C92" s="1872"/>
      <c r="D92" s="1872"/>
      <c r="E92" s="1872"/>
      <c r="F92" s="1872"/>
      <c r="G92" s="1872"/>
      <c r="H92" s="1872"/>
      <c r="I92" s="1872"/>
      <c r="J92" s="1872"/>
      <c r="K92" s="1872"/>
      <c r="L92" s="1872"/>
      <c r="M92" s="1872"/>
      <c r="N92" s="1873"/>
    </row>
    <row r="93" spans="2:14">
      <c r="B93" s="1871"/>
      <c r="C93" s="1872"/>
      <c r="D93" s="1872"/>
      <c r="E93" s="1872"/>
      <c r="F93" s="1872"/>
      <c r="G93" s="1872"/>
      <c r="H93" s="1872"/>
      <c r="I93" s="1872"/>
      <c r="J93" s="1872"/>
      <c r="K93" s="1872"/>
      <c r="L93" s="1872"/>
      <c r="M93" s="1872"/>
      <c r="N93" s="1873"/>
    </row>
    <row r="94" spans="2:14">
      <c r="B94" s="1871" t="s">
        <v>721</v>
      </c>
      <c r="C94" s="1872"/>
      <c r="D94" s="1872"/>
      <c r="E94" s="1872"/>
      <c r="F94" s="1872"/>
      <c r="G94" s="1872"/>
      <c r="H94" s="1872"/>
      <c r="I94" s="1872"/>
      <c r="J94" s="1872"/>
      <c r="K94" s="1872"/>
      <c r="L94" s="1872"/>
      <c r="M94" s="1872"/>
      <c r="N94" s="1873"/>
    </row>
    <row r="95" spans="2:14">
      <c r="B95" s="1871"/>
      <c r="C95" s="1872"/>
      <c r="D95" s="1872"/>
      <c r="E95" s="1872"/>
      <c r="F95" s="1872"/>
      <c r="G95" s="1872"/>
      <c r="H95" s="1872"/>
      <c r="I95" s="1872"/>
      <c r="J95" s="1872"/>
      <c r="K95" s="1872"/>
      <c r="L95" s="1872"/>
      <c r="M95" s="1872"/>
      <c r="N95" s="1873"/>
    </row>
    <row r="96" spans="2:14">
      <c r="B96" s="49"/>
      <c r="C96" s="81"/>
      <c r="D96" s="81"/>
      <c r="E96" s="81"/>
      <c r="F96" s="81"/>
      <c r="G96" s="81"/>
      <c r="H96" s="81"/>
      <c r="I96" s="81"/>
      <c r="J96" s="81"/>
      <c r="K96" s="81"/>
      <c r="L96" s="81"/>
      <c r="M96" s="81"/>
      <c r="N96" s="79"/>
    </row>
    <row r="97" spans="2:14">
      <c r="B97" s="85"/>
      <c r="C97" s="66"/>
      <c r="D97" s="66"/>
      <c r="E97" s="66"/>
      <c r="F97" s="66"/>
      <c r="G97" s="71" t="s">
        <v>249</v>
      </c>
      <c r="H97" s="66"/>
      <c r="I97" s="66"/>
      <c r="J97" s="66"/>
      <c r="K97" s="66"/>
      <c r="L97" s="66"/>
      <c r="M97" s="66"/>
      <c r="N97" s="73"/>
    </row>
    <row r="98" spans="2:14">
      <c r="B98" s="85"/>
      <c r="C98" s="66"/>
      <c r="D98" s="66"/>
      <c r="E98" s="66"/>
      <c r="F98" s="66"/>
      <c r="G98" s="66" t="s">
        <v>250</v>
      </c>
      <c r="H98" s="86"/>
      <c r="I98" s="86"/>
      <c r="J98" s="86"/>
      <c r="K98" s="66"/>
      <c r="L98" s="66"/>
      <c r="M98" s="66"/>
      <c r="N98" s="73"/>
    </row>
    <row r="99" spans="2:14">
      <c r="B99" s="85"/>
      <c r="C99" s="66"/>
      <c r="D99" s="66"/>
      <c r="E99" s="66"/>
      <c r="F99" s="66"/>
      <c r="G99" s="66" t="s">
        <v>255</v>
      </c>
      <c r="H99" s="80"/>
      <c r="I99" s="80"/>
      <c r="J99" s="80"/>
      <c r="M99" s="66"/>
      <c r="N99" s="73"/>
    </row>
    <row r="100" spans="2:14">
      <c r="B100" s="127"/>
      <c r="C100" s="81"/>
      <c r="D100" s="81"/>
      <c r="E100" s="81"/>
      <c r="F100" s="81"/>
      <c r="G100" s="66" t="s">
        <v>252</v>
      </c>
      <c r="K100" s="81"/>
      <c r="L100" s="81"/>
      <c r="M100" s="81"/>
      <c r="N100" s="79"/>
    </row>
    <row r="101" spans="2:14" ht="17.25" customHeight="1">
      <c r="B101" s="138" t="s">
        <v>722</v>
      </c>
      <c r="C101" s="128"/>
      <c r="D101" s="128"/>
      <c r="E101" s="66"/>
      <c r="F101" s="66"/>
      <c r="G101" s="66"/>
      <c r="H101" s="66"/>
      <c r="I101" s="66"/>
      <c r="J101" s="1863"/>
      <c r="K101" s="1863"/>
      <c r="L101" s="1863"/>
      <c r="M101" s="1863"/>
      <c r="N101" s="1864"/>
    </row>
    <row r="102" spans="2:14" ht="18.75" customHeight="1" thickBot="1">
      <c r="B102" s="1867" t="s">
        <v>723</v>
      </c>
      <c r="C102" s="1868"/>
      <c r="D102" s="1868"/>
      <c r="E102" s="87"/>
      <c r="F102" s="87"/>
      <c r="G102" s="87"/>
      <c r="H102" s="87"/>
      <c r="I102" s="87"/>
      <c r="J102" s="1865"/>
      <c r="K102" s="1865"/>
      <c r="L102" s="1865"/>
      <c r="M102" s="1865"/>
      <c r="N102" s="1866"/>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L74:M74"/>
    <mergeCell ref="B64:H64"/>
    <mergeCell ref="L64:M64"/>
    <mergeCell ref="B65:H65"/>
    <mergeCell ref="L65:M65"/>
    <mergeCell ref="B66:M66"/>
    <mergeCell ref="B68:M68"/>
    <mergeCell ref="B69:N71"/>
    <mergeCell ref="B72:H72"/>
    <mergeCell ref="L72:M72"/>
    <mergeCell ref="B73:H73"/>
    <mergeCell ref="L73:M73"/>
    <mergeCell ref="B94:N95"/>
    <mergeCell ref="J101:N102"/>
    <mergeCell ref="B102:D102"/>
    <mergeCell ref="L75:M75"/>
    <mergeCell ref="B76:M76"/>
    <mergeCell ref="B78:M78"/>
    <mergeCell ref="B88:N88"/>
    <mergeCell ref="B89:N89"/>
    <mergeCell ref="B92:N93"/>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52736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527361" r:id="rId4"/>
      </mc:Fallback>
    </mc:AlternateContent>
  </oleObjects>
  <mc:AlternateContent xmlns:mc="http://schemas.openxmlformats.org/markup-compatibility/2006">
    <mc:Choice Requires="x14">
      <controls>
        <mc:AlternateContent xmlns:mc="http://schemas.openxmlformats.org/markup-compatibility/2006">
          <mc:Choice Requires="x14">
            <control shapeId="527362" r:id="rId6"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527363" r:id="rId7"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showGridLines="0" topLeftCell="A41" zoomScale="70" zoomScaleNormal="70" workbookViewId="0">
      <selection sqref="A1:XFD1048576"/>
    </sheetView>
  </sheetViews>
  <sheetFormatPr baseColWidth="10" defaultColWidth="11.42578125" defaultRowHeight="12.75"/>
  <cols>
    <col min="1" max="1" width="3.140625" style="39" customWidth="1"/>
    <col min="2" max="2" width="11.5703125" style="39" bestFit="1" customWidth="1"/>
    <col min="3" max="8" width="11.42578125" style="39"/>
    <col min="9" max="10" width="11.5703125" style="39" bestFit="1" customWidth="1"/>
    <col min="11" max="11" width="12.42578125" style="39" bestFit="1" customWidth="1"/>
    <col min="12" max="12" width="11.5703125" style="39" bestFit="1" customWidth="1"/>
    <col min="13" max="13" width="11.42578125" style="39"/>
    <col min="14" max="14" width="12.85546875" style="39" bestFit="1"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211"/>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215"/>
      <c r="D11" s="215"/>
      <c r="E11" s="215"/>
      <c r="F11" s="215"/>
      <c r="G11" s="215"/>
      <c r="H11" s="215"/>
      <c r="I11" s="215"/>
      <c r="J11" s="215"/>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217"/>
    </row>
    <row r="14" spans="2:14" ht="13.5">
      <c r="B14" s="54"/>
      <c r="C14" s="55"/>
      <c r="D14" s="216"/>
      <c r="E14" s="216"/>
      <c r="F14" s="216"/>
      <c r="G14" s="216"/>
      <c r="H14" s="55"/>
      <c r="I14" s="216"/>
      <c r="J14" s="55"/>
      <c r="K14" s="216"/>
      <c r="L14" s="1811"/>
      <c r="M14" s="1811"/>
      <c r="N14" s="1812"/>
    </row>
    <row r="15" spans="2:14" ht="13.5">
      <c r="B15" s="54"/>
      <c r="C15" s="55"/>
      <c r="D15" s="216"/>
      <c r="E15" s="216"/>
      <c r="F15" s="216"/>
      <c r="G15" s="216"/>
      <c r="H15" s="55"/>
      <c r="I15" s="216"/>
      <c r="J15" s="55"/>
      <c r="K15" s="216"/>
      <c r="L15" s="216"/>
      <c r="M15" s="216"/>
      <c r="N15" s="217"/>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219"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218"/>
      <c r="E22" s="218"/>
      <c r="F22" s="218"/>
      <c r="G22" s="218"/>
      <c r="H22" s="218"/>
      <c r="I22" s="218"/>
      <c r="J22" s="218"/>
      <c r="K22" s="218"/>
      <c r="L22" s="218"/>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thickBot="1">
      <c r="B34" s="176" t="s">
        <v>487</v>
      </c>
      <c r="C34" s="1885" t="s">
        <v>486</v>
      </c>
      <c r="D34" s="1887"/>
      <c r="E34" s="1887"/>
      <c r="F34" s="1887"/>
      <c r="G34" s="1887"/>
      <c r="H34" s="1887"/>
      <c r="I34" s="1887"/>
      <c r="J34" s="1887"/>
      <c r="K34" s="1886"/>
      <c r="L34" s="1885" t="s">
        <v>111</v>
      </c>
      <c r="M34" s="1886"/>
      <c r="N34" s="177">
        <v>14533</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c r="L38" s="1829"/>
      <c r="M38" s="1832"/>
      <c r="N38" s="179"/>
    </row>
    <row r="39" spans="2:14">
      <c r="B39" s="1839" t="s">
        <v>540</v>
      </c>
      <c r="C39" s="1840"/>
      <c r="D39" s="1840"/>
      <c r="E39" s="1840"/>
      <c r="F39" s="1841"/>
      <c r="G39" s="1842"/>
      <c r="H39" s="1841"/>
      <c r="I39" s="1842"/>
      <c r="J39" s="1841"/>
      <c r="K39" s="88">
        <v>94500</v>
      </c>
      <c r="L39" s="1859">
        <v>8</v>
      </c>
      <c r="M39" s="1860"/>
      <c r="N39" s="89">
        <v>11812.5</v>
      </c>
    </row>
    <row r="40" spans="2:14">
      <c r="B40" s="1839" t="s">
        <v>543</v>
      </c>
      <c r="C40" s="1840"/>
      <c r="D40" s="1840"/>
      <c r="E40" s="1840"/>
      <c r="F40" s="1841"/>
      <c r="G40" s="1842"/>
      <c r="H40" s="1841"/>
      <c r="I40" s="1842"/>
      <c r="J40" s="1841"/>
      <c r="K40" s="88">
        <v>94500</v>
      </c>
      <c r="L40" s="1859">
        <v>8</v>
      </c>
      <c r="M40" s="1860"/>
      <c r="N40" s="89">
        <v>11812.5</v>
      </c>
    </row>
    <row r="41" spans="2:14" ht="13.5" thickBot="1">
      <c r="B41" s="1834" t="s">
        <v>77</v>
      </c>
      <c r="C41" s="1835"/>
      <c r="D41" s="1835"/>
      <c r="E41" s="1835"/>
      <c r="F41" s="1836"/>
      <c r="G41" s="1845"/>
      <c r="H41" s="1836"/>
      <c r="I41" s="1845"/>
      <c r="J41" s="1836"/>
      <c r="K41" s="88"/>
      <c r="L41" s="1846"/>
      <c r="M41" s="1847"/>
      <c r="N41" s="89">
        <v>118.8046875</v>
      </c>
    </row>
    <row r="42" spans="2:14" ht="14.25" thickBot="1">
      <c r="B42" s="1848" t="s">
        <v>188</v>
      </c>
      <c r="C42" s="1849"/>
      <c r="D42" s="1849"/>
      <c r="E42" s="1849"/>
      <c r="F42" s="1849"/>
      <c r="G42" s="1849"/>
      <c r="H42" s="1849"/>
      <c r="I42" s="1849"/>
      <c r="J42" s="1849"/>
      <c r="K42" s="1849"/>
      <c r="L42" s="1849"/>
      <c r="M42" s="1850"/>
      <c r="N42" s="91">
        <v>23743.8046875</v>
      </c>
    </row>
    <row r="43" spans="2:14">
      <c r="B43" s="1763" t="s">
        <v>189</v>
      </c>
      <c r="C43" s="1764"/>
      <c r="D43" s="1764"/>
      <c r="E43" s="1764"/>
      <c r="F43" s="1764"/>
      <c r="G43" s="1764"/>
      <c r="H43" s="1764"/>
      <c r="I43" s="1764"/>
      <c r="J43" s="1764"/>
      <c r="K43" s="1764"/>
      <c r="L43" s="1764"/>
      <c r="M43" s="1764"/>
      <c r="N43" s="1765"/>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214" t="s">
        <v>38</v>
      </c>
      <c r="K46" s="178" t="s">
        <v>115</v>
      </c>
      <c r="L46" s="1829" t="s">
        <v>190</v>
      </c>
      <c r="M46" s="1832"/>
      <c r="N46" s="179" t="s">
        <v>191</v>
      </c>
    </row>
    <row r="47" spans="2:14">
      <c r="B47" s="1839" t="s">
        <v>479</v>
      </c>
      <c r="C47" s="1840"/>
      <c r="D47" s="1840"/>
      <c r="E47" s="1840"/>
      <c r="F47" s="1840"/>
      <c r="G47" s="1840"/>
      <c r="H47" s="1840"/>
      <c r="I47" s="1841"/>
      <c r="J47" s="213" t="s">
        <v>40</v>
      </c>
      <c r="K47" s="96">
        <v>1.25</v>
      </c>
      <c r="L47" s="1852">
        <v>412376</v>
      </c>
      <c r="M47" s="1853"/>
      <c r="N47" s="89">
        <v>515470</v>
      </c>
    </row>
    <row r="48" spans="2:14">
      <c r="B48" s="116" t="s">
        <v>485</v>
      </c>
      <c r="C48" s="117"/>
      <c r="D48" s="117"/>
      <c r="E48" s="117"/>
      <c r="F48" s="117"/>
      <c r="G48" s="117"/>
      <c r="H48" s="117"/>
      <c r="I48" s="156"/>
      <c r="J48" s="212" t="s">
        <v>34</v>
      </c>
      <c r="K48" s="220">
        <v>12.5</v>
      </c>
      <c r="L48" s="1852">
        <v>1904</v>
      </c>
      <c r="M48" s="1853"/>
      <c r="N48" s="89">
        <v>23800</v>
      </c>
    </row>
    <row r="49" spans="2:14" ht="13.5" thickBot="1">
      <c r="B49" s="1834" t="s">
        <v>73</v>
      </c>
      <c r="C49" s="1835"/>
      <c r="D49" s="1835"/>
      <c r="E49" s="1835"/>
      <c r="F49" s="1835"/>
      <c r="G49" s="1835"/>
      <c r="H49" s="1835"/>
      <c r="I49" s="1836"/>
      <c r="J49" s="212" t="s">
        <v>34</v>
      </c>
      <c r="K49" s="97">
        <v>4.17</v>
      </c>
      <c r="L49" s="1852">
        <v>55</v>
      </c>
      <c r="M49" s="1853"/>
      <c r="N49" s="89">
        <v>229.35</v>
      </c>
    </row>
    <row r="50" spans="2:14" ht="14.25" thickBot="1">
      <c r="B50" s="1848" t="s">
        <v>188</v>
      </c>
      <c r="C50" s="1849"/>
      <c r="D50" s="1849"/>
      <c r="E50" s="1849"/>
      <c r="F50" s="1849"/>
      <c r="G50" s="1849"/>
      <c r="H50" s="1849"/>
      <c r="I50" s="1849"/>
      <c r="J50" s="1849"/>
      <c r="K50" s="1849"/>
      <c r="L50" s="1849"/>
      <c r="M50" s="1850"/>
      <c r="N50" s="99">
        <v>539499.35</v>
      </c>
    </row>
    <row r="51" spans="2:14">
      <c r="B51" s="1763" t="s">
        <v>51</v>
      </c>
      <c r="C51" s="1764"/>
      <c r="D51" s="1764"/>
      <c r="E51" s="1764"/>
      <c r="F51" s="1764"/>
      <c r="G51" s="1764"/>
      <c r="H51" s="1764"/>
      <c r="I51" s="1764"/>
      <c r="J51" s="1764"/>
      <c r="K51" s="1764"/>
      <c r="L51" s="1764"/>
      <c r="M51" s="1764"/>
      <c r="N51" s="1765"/>
    </row>
    <row r="52" spans="2:14">
      <c r="B52" s="1766"/>
      <c r="C52" s="1767"/>
      <c r="D52" s="1767"/>
      <c r="E52" s="1767"/>
      <c r="F52" s="1767"/>
      <c r="G52" s="1767"/>
      <c r="H52" s="1767"/>
      <c r="I52" s="1767"/>
      <c r="J52" s="1767"/>
      <c r="K52" s="1767"/>
      <c r="L52" s="1767"/>
      <c r="M52" s="1767"/>
      <c r="N52" s="1768"/>
    </row>
    <row r="53" spans="2:14" ht="13.5" thickBot="1">
      <c r="B53" s="1769"/>
      <c r="C53" s="1770"/>
      <c r="D53" s="1770"/>
      <c r="E53" s="1770"/>
      <c r="F53" s="1770"/>
      <c r="G53" s="1770"/>
      <c r="H53" s="1770"/>
      <c r="I53" s="1770"/>
      <c r="J53" s="1770"/>
      <c r="K53" s="1770"/>
      <c r="L53" s="1770"/>
      <c r="M53" s="1770"/>
      <c r="N53" s="1771"/>
    </row>
    <row r="54" spans="2:14" ht="13.5">
      <c r="B54" s="1826" t="s">
        <v>192</v>
      </c>
      <c r="C54" s="1851"/>
      <c r="D54" s="1851"/>
      <c r="E54" s="1851"/>
      <c r="F54" s="1851"/>
      <c r="G54" s="1851"/>
      <c r="H54" s="1851"/>
      <c r="I54" s="178" t="s">
        <v>193</v>
      </c>
      <c r="J54" s="207" t="s">
        <v>194</v>
      </c>
      <c r="K54" s="182" t="s">
        <v>310</v>
      </c>
      <c r="L54" s="1829" t="s">
        <v>39</v>
      </c>
      <c r="M54" s="1832"/>
      <c r="N54" s="179" t="s">
        <v>191</v>
      </c>
    </row>
    <row r="55" spans="2:14">
      <c r="B55" s="1839"/>
      <c r="C55" s="1840"/>
      <c r="D55" s="1840"/>
      <c r="E55" s="1840"/>
      <c r="F55" s="1840"/>
      <c r="G55" s="1840"/>
      <c r="H55" s="1841"/>
      <c r="I55" s="100"/>
      <c r="J55" s="93"/>
      <c r="K55" s="100"/>
      <c r="L55" s="1843"/>
      <c r="M55" s="1844"/>
      <c r="N55" s="135"/>
    </row>
    <row r="56" spans="2:14" ht="13.5" thickBot="1">
      <c r="B56" s="1834"/>
      <c r="C56" s="1835"/>
      <c r="D56" s="1835"/>
      <c r="E56" s="1835"/>
      <c r="F56" s="1835"/>
      <c r="G56" s="1835"/>
      <c r="H56" s="1836"/>
      <c r="I56" s="102"/>
      <c r="J56" s="87"/>
      <c r="K56" s="102"/>
      <c r="L56" s="1837"/>
      <c r="M56" s="1838"/>
      <c r="N56" s="111"/>
    </row>
    <row r="57" spans="2:14" ht="14.25" thickBot="1">
      <c r="B57" s="1848" t="s">
        <v>188</v>
      </c>
      <c r="C57" s="1849"/>
      <c r="D57" s="1849"/>
      <c r="E57" s="1849"/>
      <c r="F57" s="1849"/>
      <c r="G57" s="1849"/>
      <c r="H57" s="1849"/>
      <c r="I57" s="1849"/>
      <c r="J57" s="1849"/>
      <c r="K57" s="1849"/>
      <c r="L57" s="1849"/>
      <c r="M57" s="1850"/>
      <c r="N57" s="99">
        <v>0</v>
      </c>
    </row>
    <row r="58" spans="2:14">
      <c r="B58" s="1763" t="s">
        <v>52</v>
      </c>
      <c r="C58" s="1764"/>
      <c r="D58" s="1764"/>
      <c r="E58" s="1764"/>
      <c r="F58" s="1764"/>
      <c r="G58" s="1764"/>
      <c r="H58" s="1764"/>
      <c r="I58" s="1764"/>
      <c r="J58" s="1764"/>
      <c r="K58" s="1764"/>
      <c r="L58" s="1764"/>
      <c r="M58" s="1764"/>
      <c r="N58" s="1765"/>
    </row>
    <row r="59" spans="2:14">
      <c r="B59" s="1766"/>
      <c r="C59" s="1767"/>
      <c r="D59" s="1767"/>
      <c r="E59" s="1767"/>
      <c r="F59" s="1767"/>
      <c r="G59" s="1767"/>
      <c r="H59" s="1767"/>
      <c r="I59" s="1767"/>
      <c r="J59" s="1767"/>
      <c r="K59" s="1767"/>
      <c r="L59" s="1767"/>
      <c r="M59" s="1767"/>
      <c r="N59" s="1768"/>
    </row>
    <row r="60" spans="2:14" ht="13.5" thickBot="1">
      <c r="B60" s="1769"/>
      <c r="C60" s="1770"/>
      <c r="D60" s="1770"/>
      <c r="E60" s="1770"/>
      <c r="F60" s="1770"/>
      <c r="G60" s="1770"/>
      <c r="H60" s="1770"/>
      <c r="I60" s="1770"/>
      <c r="J60" s="1770"/>
      <c r="K60" s="1770"/>
      <c r="L60" s="1770"/>
      <c r="M60" s="1770"/>
      <c r="N60" s="1771"/>
    </row>
    <row r="61" spans="2:14" ht="13.5">
      <c r="B61" s="1826" t="s">
        <v>195</v>
      </c>
      <c r="C61" s="1851"/>
      <c r="D61" s="1851"/>
      <c r="E61" s="1851"/>
      <c r="F61" s="1851"/>
      <c r="G61" s="1851"/>
      <c r="H61" s="1851"/>
      <c r="I61" s="178" t="s">
        <v>196</v>
      </c>
      <c r="J61" s="207" t="s">
        <v>46</v>
      </c>
      <c r="K61" s="182" t="s">
        <v>197</v>
      </c>
      <c r="L61" s="1829" t="s">
        <v>186</v>
      </c>
      <c r="M61" s="1832"/>
      <c r="N61" s="179" t="s">
        <v>191</v>
      </c>
    </row>
    <row r="62" spans="2:14">
      <c r="B62" s="1888" t="s">
        <v>62</v>
      </c>
      <c r="C62" s="1889"/>
      <c r="D62" s="1889"/>
      <c r="E62" s="1889"/>
      <c r="F62" s="1889"/>
      <c r="G62" s="1889"/>
      <c r="H62" s="1900"/>
      <c r="I62" s="107">
        <v>82200</v>
      </c>
      <c r="J62" s="108">
        <v>1.85</v>
      </c>
      <c r="K62" s="109">
        <v>152070</v>
      </c>
      <c r="L62" s="1861">
        <v>64</v>
      </c>
      <c r="M62" s="1862"/>
      <c r="N62" s="110">
        <v>2376.09375</v>
      </c>
    </row>
    <row r="63" spans="2:14">
      <c r="B63" s="1888"/>
      <c r="C63" s="1889"/>
      <c r="D63" s="1889"/>
      <c r="E63" s="1889"/>
      <c r="F63" s="1889"/>
      <c r="G63" s="1889"/>
      <c r="H63" s="1900"/>
      <c r="I63" s="107"/>
      <c r="J63" s="108"/>
      <c r="K63" s="109"/>
      <c r="L63" s="1861"/>
      <c r="M63" s="1862"/>
      <c r="N63" s="110"/>
    </row>
    <row r="64" spans="2:14">
      <c r="B64" s="1888"/>
      <c r="C64" s="1889"/>
      <c r="D64" s="1889"/>
      <c r="E64" s="1889"/>
      <c r="F64" s="1889"/>
      <c r="G64" s="1889"/>
      <c r="H64" s="1900"/>
      <c r="I64" s="107"/>
      <c r="J64" s="108"/>
      <c r="K64" s="109"/>
      <c r="L64" s="1861"/>
      <c r="M64" s="1862"/>
      <c r="N64" s="110"/>
    </row>
    <row r="65" spans="2:14" ht="13.5" thickBot="1">
      <c r="B65" s="1890"/>
      <c r="C65" s="1891"/>
      <c r="D65" s="1891"/>
      <c r="E65" s="1891"/>
      <c r="F65" s="1891"/>
      <c r="G65" s="1891"/>
      <c r="H65" s="1892"/>
      <c r="I65" s="107"/>
      <c r="J65" s="108"/>
      <c r="K65" s="109"/>
      <c r="L65" s="1898"/>
      <c r="M65" s="1899"/>
      <c r="N65" s="110"/>
    </row>
    <row r="66" spans="2:14" ht="14.25" thickBot="1">
      <c r="B66" s="1848" t="s">
        <v>188</v>
      </c>
      <c r="C66" s="1849"/>
      <c r="D66" s="1849"/>
      <c r="E66" s="1849"/>
      <c r="F66" s="1849"/>
      <c r="G66" s="1849"/>
      <c r="H66" s="1849"/>
      <c r="I66" s="1849"/>
      <c r="J66" s="1849"/>
      <c r="K66" s="1849"/>
      <c r="L66" s="1849"/>
      <c r="M66" s="1850"/>
      <c r="N66" s="112">
        <v>2376.09375</v>
      </c>
    </row>
    <row r="67" spans="2:14" ht="13.5" thickBot="1">
      <c r="B67" s="85"/>
      <c r="C67" s="66"/>
      <c r="D67" s="66"/>
      <c r="E67" s="66"/>
      <c r="F67" s="66"/>
      <c r="G67" s="66"/>
      <c r="H67" s="66"/>
      <c r="I67" s="66"/>
      <c r="J67" s="66"/>
      <c r="K67" s="66"/>
      <c r="L67" s="66"/>
      <c r="M67" s="66"/>
      <c r="N67" s="73"/>
    </row>
    <row r="68" spans="2:14" ht="13.5" thickBot="1">
      <c r="B68" s="1854" t="s">
        <v>198</v>
      </c>
      <c r="C68" s="1855"/>
      <c r="D68" s="1855"/>
      <c r="E68" s="1855"/>
      <c r="F68" s="1855"/>
      <c r="G68" s="1855"/>
      <c r="H68" s="1855"/>
      <c r="I68" s="1855"/>
      <c r="J68" s="1855"/>
      <c r="K68" s="1855"/>
      <c r="L68" s="1855"/>
      <c r="M68" s="1856"/>
      <c r="N68" s="186">
        <v>565619.24843749998</v>
      </c>
    </row>
    <row r="69" spans="2:14">
      <c r="B69" s="1763" t="s">
        <v>53</v>
      </c>
      <c r="C69" s="1764"/>
      <c r="D69" s="1764"/>
      <c r="E69" s="1764"/>
      <c r="F69" s="1764"/>
      <c r="G69" s="1764"/>
      <c r="H69" s="1764"/>
      <c r="I69" s="1764"/>
      <c r="J69" s="1764"/>
      <c r="K69" s="1764"/>
      <c r="L69" s="1764"/>
      <c r="M69" s="1764"/>
      <c r="N69" s="1765"/>
    </row>
    <row r="70" spans="2:14">
      <c r="B70" s="1766"/>
      <c r="C70" s="1767"/>
      <c r="D70" s="1767"/>
      <c r="E70" s="1767"/>
      <c r="F70" s="1767"/>
      <c r="G70" s="1767"/>
      <c r="H70" s="1767"/>
      <c r="I70" s="1767"/>
      <c r="J70" s="1767"/>
      <c r="K70" s="1767"/>
      <c r="L70" s="1767"/>
      <c r="M70" s="1767"/>
      <c r="N70" s="1768"/>
    </row>
    <row r="71" spans="2:14" ht="13.5" thickBot="1">
      <c r="B71" s="1769"/>
      <c r="C71" s="1770"/>
      <c r="D71" s="1770"/>
      <c r="E71" s="1770"/>
      <c r="F71" s="1770"/>
      <c r="G71" s="1770"/>
      <c r="H71" s="1770"/>
      <c r="I71" s="1770"/>
      <c r="J71" s="1770"/>
      <c r="K71" s="1770"/>
      <c r="L71" s="1770"/>
      <c r="M71" s="1770"/>
      <c r="N71" s="1771"/>
    </row>
    <row r="72" spans="2:14" ht="13.5">
      <c r="B72" s="1826" t="s">
        <v>50</v>
      </c>
      <c r="C72" s="1851"/>
      <c r="D72" s="1851"/>
      <c r="E72" s="1851"/>
      <c r="F72" s="1851"/>
      <c r="G72" s="1851"/>
      <c r="H72" s="1851"/>
      <c r="I72" s="207"/>
      <c r="J72" s="208"/>
      <c r="K72" s="184" t="s">
        <v>54</v>
      </c>
      <c r="L72" s="1857" t="s">
        <v>55</v>
      </c>
      <c r="M72" s="1858"/>
      <c r="N72" s="185"/>
    </row>
    <row r="73" spans="2:14">
      <c r="B73" s="1839" t="s">
        <v>44</v>
      </c>
      <c r="C73" s="1840"/>
      <c r="D73" s="1840"/>
      <c r="E73" s="1840"/>
      <c r="F73" s="1840"/>
      <c r="G73" s="1840"/>
      <c r="H73" s="1840"/>
      <c r="I73" s="113"/>
      <c r="J73" s="114"/>
      <c r="K73" s="192">
        <v>0.22</v>
      </c>
      <c r="L73" s="1877">
        <v>124436.23465625</v>
      </c>
      <c r="M73" s="1878"/>
      <c r="N73" s="115"/>
    </row>
    <row r="74" spans="2:14">
      <c r="B74" s="116" t="s">
        <v>56</v>
      </c>
      <c r="C74" s="117"/>
      <c r="D74" s="117"/>
      <c r="E74" s="117"/>
      <c r="F74" s="117"/>
      <c r="G74" s="117"/>
      <c r="H74" s="117"/>
      <c r="I74" s="113"/>
      <c r="J74" s="114"/>
      <c r="K74" s="192">
        <v>0.05</v>
      </c>
      <c r="L74" s="1877">
        <v>28280.962421875</v>
      </c>
      <c r="M74" s="1878"/>
      <c r="N74" s="115"/>
    </row>
    <row r="75" spans="2:14" ht="13.5" thickBot="1">
      <c r="B75" s="209" t="s">
        <v>45</v>
      </c>
      <c r="C75" s="210"/>
      <c r="D75" s="210"/>
      <c r="E75" s="210"/>
      <c r="F75" s="210"/>
      <c r="G75" s="210"/>
      <c r="H75" s="210"/>
      <c r="I75" s="120"/>
      <c r="J75" s="121"/>
      <c r="K75" s="192">
        <v>0.05</v>
      </c>
      <c r="L75" s="1879">
        <v>28280.962421875</v>
      </c>
      <c r="M75" s="1880"/>
      <c r="N75" s="115"/>
    </row>
    <row r="76" spans="2:14" ht="14.25" thickBot="1">
      <c r="B76" s="1848" t="s">
        <v>188</v>
      </c>
      <c r="C76" s="1849"/>
      <c r="D76" s="1849"/>
      <c r="E76" s="1849"/>
      <c r="F76" s="1849"/>
      <c r="G76" s="1849"/>
      <c r="H76" s="1849"/>
      <c r="I76" s="1849"/>
      <c r="J76" s="1849"/>
      <c r="K76" s="1849"/>
      <c r="L76" s="1849"/>
      <c r="M76" s="1850"/>
      <c r="N76" s="122">
        <v>180998.15950000001</v>
      </c>
    </row>
    <row r="77" spans="2:14" ht="13.5" thickBot="1">
      <c r="B77" s="85"/>
      <c r="C77" s="66"/>
      <c r="D77" s="66"/>
      <c r="E77" s="66"/>
      <c r="F77" s="66"/>
      <c r="G77" s="66"/>
      <c r="H77" s="66"/>
      <c r="I77" s="66"/>
      <c r="J77" s="66"/>
      <c r="K77" s="66"/>
      <c r="L77" s="66"/>
      <c r="M77" s="66"/>
      <c r="N77" s="73"/>
    </row>
    <row r="78" spans="2:14" ht="13.5" thickBot="1">
      <c r="B78" s="1854" t="s">
        <v>199</v>
      </c>
      <c r="C78" s="1855"/>
      <c r="D78" s="1855"/>
      <c r="E78" s="1855"/>
      <c r="F78" s="1855"/>
      <c r="G78" s="1855"/>
      <c r="H78" s="1855"/>
      <c r="I78" s="1855"/>
      <c r="J78" s="1855"/>
      <c r="K78" s="1855"/>
      <c r="L78" s="1855"/>
      <c r="M78" s="1856"/>
      <c r="N78" s="188">
        <v>746617</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249</v>
      </c>
      <c r="H82" s="71"/>
      <c r="I82" s="71"/>
      <c r="J82" s="71"/>
      <c r="K82" s="66"/>
      <c r="L82" s="66"/>
      <c r="M82" s="66"/>
      <c r="N82" s="73"/>
    </row>
    <row r="83" spans="2:14" ht="13.5">
      <c r="B83" s="123"/>
      <c r="C83" s="124"/>
      <c r="D83" s="124"/>
      <c r="E83" s="124"/>
      <c r="F83" s="124"/>
      <c r="G83" s="71" t="s">
        <v>250</v>
      </c>
      <c r="H83" s="124"/>
      <c r="I83" s="124"/>
      <c r="J83" s="124"/>
      <c r="K83" s="124"/>
      <c r="L83" s="124"/>
      <c r="M83" s="124"/>
      <c r="N83" s="125"/>
    </row>
    <row r="84" spans="2:14" ht="13.5">
      <c r="B84" s="123"/>
      <c r="C84" s="124"/>
      <c r="D84" s="124"/>
      <c r="E84" s="124"/>
      <c r="F84" s="124"/>
      <c r="G84" s="71" t="s">
        <v>251</v>
      </c>
      <c r="J84" s="124"/>
      <c r="K84" s="124"/>
      <c r="L84" s="124"/>
      <c r="M84" s="124"/>
      <c r="N84" s="125"/>
    </row>
    <row r="85" spans="2:14">
      <c r="B85" s="49"/>
      <c r="C85" s="81"/>
      <c r="D85" s="81"/>
      <c r="E85" s="81"/>
      <c r="F85" s="81"/>
      <c r="G85" s="71" t="s">
        <v>252</v>
      </c>
      <c r="H85" s="81"/>
      <c r="I85" s="81"/>
      <c r="J85" s="81"/>
      <c r="K85" s="81"/>
      <c r="L85" s="81"/>
      <c r="M85" s="81"/>
      <c r="N85" s="79"/>
    </row>
    <row r="86" spans="2:14">
      <c r="B86" s="85"/>
      <c r="C86" s="66"/>
      <c r="D86" s="66"/>
      <c r="E86" s="66"/>
      <c r="F86" s="66"/>
      <c r="G86" s="66" t="s">
        <v>253</v>
      </c>
      <c r="H86" s="66"/>
      <c r="I86" s="66"/>
      <c r="J86" s="66"/>
      <c r="K86" s="66"/>
      <c r="L86" s="66"/>
      <c r="M86" s="66"/>
      <c r="N86" s="73"/>
    </row>
    <row r="87" spans="2:14" ht="13.5">
      <c r="B87" s="92" t="s">
        <v>254</v>
      </c>
      <c r="C87" s="93"/>
      <c r="D87" s="93"/>
      <c r="E87" s="93"/>
      <c r="F87" s="93"/>
      <c r="G87" s="93"/>
      <c r="H87" s="93"/>
      <c r="I87" s="93"/>
      <c r="J87" s="93"/>
      <c r="K87" s="93"/>
      <c r="L87" s="93"/>
      <c r="M87" s="93"/>
      <c r="N87" s="94"/>
    </row>
    <row r="88" spans="2:14">
      <c r="B88" s="1874"/>
      <c r="C88" s="1875"/>
      <c r="D88" s="1875"/>
      <c r="E88" s="1875"/>
      <c r="F88" s="1875"/>
      <c r="G88" s="1875"/>
      <c r="H88" s="1875"/>
      <c r="I88" s="1875"/>
      <c r="J88" s="1875"/>
      <c r="K88" s="1875"/>
      <c r="L88" s="1875"/>
      <c r="M88" s="1875"/>
      <c r="N88" s="1876"/>
    </row>
    <row r="89" spans="2:14">
      <c r="B89" s="1874"/>
      <c r="C89" s="1875"/>
      <c r="D89" s="1875"/>
      <c r="E89" s="1875"/>
      <c r="F89" s="1875"/>
      <c r="G89" s="1875"/>
      <c r="H89" s="1875"/>
      <c r="I89" s="1875"/>
      <c r="J89" s="1875"/>
      <c r="K89" s="1875"/>
      <c r="L89" s="1875"/>
      <c r="M89" s="1875"/>
      <c r="N89" s="1876"/>
    </row>
    <row r="90" spans="2:14">
      <c r="B90" s="49"/>
      <c r="C90" s="81"/>
      <c r="D90" s="81"/>
      <c r="E90" s="81"/>
      <c r="F90" s="81"/>
      <c r="G90" s="81"/>
      <c r="H90" s="81"/>
      <c r="I90" s="81"/>
      <c r="J90" s="81"/>
      <c r="K90" s="81"/>
      <c r="L90" s="81"/>
      <c r="M90" s="81"/>
      <c r="N90" s="79"/>
    </row>
    <row r="91" spans="2:14">
      <c r="B91" s="406" t="s">
        <v>719</v>
      </c>
      <c r="C91" s="81"/>
      <c r="D91" s="81"/>
      <c r="E91" s="81"/>
      <c r="F91" s="81"/>
      <c r="G91" s="81"/>
      <c r="H91" s="81"/>
      <c r="I91" s="81"/>
      <c r="J91" s="81"/>
      <c r="K91" s="81"/>
      <c r="L91" s="81"/>
      <c r="M91" s="81"/>
      <c r="N91" s="79"/>
    </row>
    <row r="92" spans="2:14" ht="12.75" customHeight="1">
      <c r="B92" s="1871" t="s">
        <v>720</v>
      </c>
      <c r="C92" s="1872"/>
      <c r="D92" s="1872"/>
      <c r="E92" s="1872"/>
      <c r="F92" s="1872"/>
      <c r="G92" s="1872"/>
      <c r="H92" s="1872"/>
      <c r="I92" s="1872"/>
      <c r="J92" s="1872"/>
      <c r="K92" s="1872"/>
      <c r="L92" s="1872"/>
      <c r="M92" s="1872"/>
      <c r="N92" s="1873"/>
    </row>
    <row r="93" spans="2:14">
      <c r="B93" s="1871"/>
      <c r="C93" s="1872"/>
      <c r="D93" s="1872"/>
      <c r="E93" s="1872"/>
      <c r="F93" s="1872"/>
      <c r="G93" s="1872"/>
      <c r="H93" s="1872"/>
      <c r="I93" s="1872"/>
      <c r="J93" s="1872"/>
      <c r="K93" s="1872"/>
      <c r="L93" s="1872"/>
      <c r="M93" s="1872"/>
      <c r="N93" s="1873"/>
    </row>
    <row r="94" spans="2:14">
      <c r="B94" s="1871" t="s">
        <v>721</v>
      </c>
      <c r="C94" s="1872"/>
      <c r="D94" s="1872"/>
      <c r="E94" s="1872"/>
      <c r="F94" s="1872"/>
      <c r="G94" s="1872"/>
      <c r="H94" s="1872"/>
      <c r="I94" s="1872"/>
      <c r="J94" s="1872"/>
      <c r="K94" s="1872"/>
      <c r="L94" s="1872"/>
      <c r="M94" s="1872"/>
      <c r="N94" s="1873"/>
    </row>
    <row r="95" spans="2:14">
      <c r="B95" s="1871"/>
      <c r="C95" s="1872"/>
      <c r="D95" s="1872"/>
      <c r="E95" s="1872"/>
      <c r="F95" s="1872"/>
      <c r="G95" s="1872"/>
      <c r="H95" s="1872"/>
      <c r="I95" s="1872"/>
      <c r="J95" s="1872"/>
      <c r="K95" s="1872"/>
      <c r="L95" s="1872"/>
      <c r="M95" s="1872"/>
      <c r="N95" s="1873"/>
    </row>
    <row r="96" spans="2:14">
      <c r="B96" s="49"/>
      <c r="C96" s="81"/>
      <c r="D96" s="81"/>
      <c r="E96" s="81"/>
      <c r="F96" s="81"/>
      <c r="G96" s="81"/>
      <c r="H96" s="81"/>
      <c r="I96" s="81"/>
      <c r="J96" s="81"/>
      <c r="K96" s="81"/>
      <c r="L96" s="81"/>
      <c r="M96" s="81"/>
      <c r="N96" s="79"/>
    </row>
    <row r="97" spans="2:14">
      <c r="B97" s="85"/>
      <c r="C97" s="66"/>
      <c r="D97" s="66"/>
      <c r="E97" s="66"/>
      <c r="F97" s="66"/>
      <c r="G97" s="71" t="s">
        <v>249</v>
      </c>
      <c r="H97" s="66"/>
      <c r="I97" s="66"/>
      <c r="J97" s="66"/>
      <c r="K97" s="66"/>
      <c r="L97" s="66"/>
      <c r="M97" s="66"/>
      <c r="N97" s="73"/>
    </row>
    <row r="98" spans="2:14">
      <c r="B98" s="85"/>
      <c r="C98" s="66"/>
      <c r="D98" s="66"/>
      <c r="E98" s="66"/>
      <c r="F98" s="66"/>
      <c r="G98" s="66" t="s">
        <v>250</v>
      </c>
      <c r="H98" s="86"/>
      <c r="I98" s="86"/>
      <c r="J98" s="86"/>
      <c r="K98" s="66"/>
      <c r="L98" s="66"/>
      <c r="M98" s="66"/>
      <c r="N98" s="73"/>
    </row>
    <row r="99" spans="2:14">
      <c r="B99" s="85"/>
      <c r="C99" s="66"/>
      <c r="D99" s="66"/>
      <c r="E99" s="66"/>
      <c r="F99" s="66"/>
      <c r="G99" s="66" t="s">
        <v>255</v>
      </c>
      <c r="H99" s="80"/>
      <c r="I99" s="80"/>
      <c r="J99" s="80"/>
      <c r="M99" s="66"/>
      <c r="N99" s="73"/>
    </row>
    <row r="100" spans="2:14">
      <c r="B100" s="127"/>
      <c r="C100" s="81"/>
      <c r="D100" s="81"/>
      <c r="E100" s="81"/>
      <c r="F100" s="81"/>
      <c r="G100" s="66" t="s">
        <v>252</v>
      </c>
      <c r="K100" s="81"/>
      <c r="L100" s="81"/>
      <c r="M100" s="81"/>
      <c r="N100" s="79"/>
    </row>
    <row r="101" spans="2:14" ht="17.25" customHeight="1">
      <c r="B101" s="138" t="s">
        <v>722</v>
      </c>
      <c r="C101" s="128"/>
      <c r="D101" s="128"/>
      <c r="E101" s="66"/>
      <c r="F101" s="66"/>
      <c r="G101" s="66"/>
      <c r="H101" s="66"/>
      <c r="I101" s="66"/>
      <c r="J101" s="1863"/>
      <c r="K101" s="1863"/>
      <c r="L101" s="1863"/>
      <c r="M101" s="1863"/>
      <c r="N101" s="1864"/>
    </row>
    <row r="102" spans="2:14" ht="18.75" customHeight="1" thickBot="1">
      <c r="B102" s="1867" t="s">
        <v>723</v>
      </c>
      <c r="C102" s="1868"/>
      <c r="D102" s="1868"/>
      <c r="E102" s="87"/>
      <c r="F102" s="87"/>
      <c r="G102" s="87"/>
      <c r="H102" s="87"/>
      <c r="I102" s="87"/>
      <c r="J102" s="1865"/>
      <c r="K102" s="1865"/>
      <c r="L102" s="1865"/>
      <c r="M102" s="1865"/>
      <c r="N102" s="1866"/>
    </row>
  </sheetData>
  <mergeCells count="93">
    <mergeCell ref="B92:N93"/>
    <mergeCell ref="B94:N95"/>
    <mergeCell ref="J101:N102"/>
    <mergeCell ref="B102:D102"/>
    <mergeCell ref="B88:N88"/>
    <mergeCell ref="B89:N89"/>
    <mergeCell ref="B62:H62"/>
    <mergeCell ref="L62:M62"/>
    <mergeCell ref="B63:H63"/>
    <mergeCell ref="L63:M63"/>
    <mergeCell ref="B64:H64"/>
    <mergeCell ref="L64:M64"/>
    <mergeCell ref="B76:M76"/>
    <mergeCell ref="B78:M78"/>
    <mergeCell ref="B65:H65"/>
    <mergeCell ref="L65:M65"/>
    <mergeCell ref="B66:M66"/>
    <mergeCell ref="B68:M68"/>
    <mergeCell ref="B69:N71"/>
    <mergeCell ref="B72:H72"/>
    <mergeCell ref="L72:M72"/>
    <mergeCell ref="B73:H73"/>
    <mergeCell ref="L73:M73"/>
    <mergeCell ref="L74:M74"/>
    <mergeCell ref="L75:M75"/>
    <mergeCell ref="L61:M61"/>
    <mergeCell ref="B50:M50"/>
    <mergeCell ref="B51:N53"/>
    <mergeCell ref="B54:H54"/>
    <mergeCell ref="L54:M54"/>
    <mergeCell ref="B55:H55"/>
    <mergeCell ref="L55:M55"/>
    <mergeCell ref="B56:H56"/>
    <mergeCell ref="L56:M56"/>
    <mergeCell ref="B57:M57"/>
    <mergeCell ref="B58:N60"/>
    <mergeCell ref="B61:H61"/>
    <mergeCell ref="B46:I46"/>
    <mergeCell ref="L46:M46"/>
    <mergeCell ref="B47:I47"/>
    <mergeCell ref="L47:M47"/>
    <mergeCell ref="B49:I49"/>
    <mergeCell ref="L49:M49"/>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G29:M29"/>
    <mergeCell ref="B31:N31"/>
    <mergeCell ref="C33:K33"/>
    <mergeCell ref="L33:M33"/>
    <mergeCell ref="C34:K34"/>
    <mergeCell ref="L34:M34"/>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C6:J7"/>
    <mergeCell ref="K2:K3"/>
    <mergeCell ref="L2:N3"/>
    <mergeCell ref="C3:J3"/>
    <mergeCell ref="C4:J4"/>
    <mergeCell ref="K4:K5"/>
    <mergeCell ref="L4:N5"/>
    <mergeCell ref="C5:J5"/>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739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dimension ref="B1:N102"/>
  <sheetViews>
    <sheetView showGridLines="0" topLeftCell="A32" zoomScale="70" zoomScaleNormal="70" workbookViewId="0">
      <selection sqref="A1:XFD1048576"/>
    </sheetView>
  </sheetViews>
  <sheetFormatPr baseColWidth="10" defaultColWidth="11.42578125" defaultRowHeight="12.75"/>
  <cols>
    <col min="1" max="1" width="3.140625" style="39" customWidth="1"/>
    <col min="2" max="2" width="11.5703125" style="39" bestFit="1" customWidth="1"/>
    <col min="3" max="8" width="11.42578125" style="39"/>
    <col min="9" max="12" width="11.5703125" style="39" bestFit="1" customWidth="1"/>
    <col min="13" max="13" width="11.42578125" style="39"/>
    <col min="14" max="14" width="11.85546875" style="39" bestFit="1"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330</v>
      </c>
      <c r="C34" s="1885" t="s">
        <v>331</v>
      </c>
      <c r="D34" s="1887"/>
      <c r="E34" s="1887"/>
      <c r="F34" s="1887"/>
      <c r="G34" s="1887"/>
      <c r="H34" s="1887"/>
      <c r="I34" s="1887"/>
      <c r="J34" s="1887"/>
      <c r="K34" s="1886"/>
      <c r="L34" s="1885" t="s">
        <v>111</v>
      </c>
      <c r="M34" s="1886"/>
      <c r="N34" s="177">
        <v>40938</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row>
    <row r="39" spans="2:14">
      <c r="B39" s="1839" t="s">
        <v>107</v>
      </c>
      <c r="C39" s="1840"/>
      <c r="D39" s="1840"/>
      <c r="E39" s="1840"/>
      <c r="F39" s="1841"/>
      <c r="G39" s="1842"/>
      <c r="H39" s="1841"/>
      <c r="I39" s="1842"/>
      <c r="J39" s="1841"/>
      <c r="K39" s="88">
        <v>315000</v>
      </c>
      <c r="L39" s="1859">
        <v>12</v>
      </c>
      <c r="M39" s="1860"/>
      <c r="N39" s="89">
        <v>26250</v>
      </c>
    </row>
    <row r="40" spans="2:14">
      <c r="B40" s="1839" t="s">
        <v>108</v>
      </c>
      <c r="C40" s="1840"/>
      <c r="D40" s="1840"/>
      <c r="E40" s="1840"/>
      <c r="F40" s="1841"/>
      <c r="G40" s="1842"/>
      <c r="H40" s="1841"/>
      <c r="I40" s="1842"/>
      <c r="J40" s="1841"/>
      <c r="K40" s="88">
        <v>63000</v>
      </c>
      <c r="L40" s="1859">
        <v>40</v>
      </c>
      <c r="M40" s="1860"/>
      <c r="N40" s="89">
        <v>1575</v>
      </c>
    </row>
    <row r="41" spans="2:14">
      <c r="B41" s="1839" t="s">
        <v>177</v>
      </c>
      <c r="C41" s="1840"/>
      <c r="D41" s="1840"/>
      <c r="E41" s="1840"/>
      <c r="F41" s="1841"/>
      <c r="G41" s="1842"/>
      <c r="H41" s="1841"/>
      <c r="I41" s="1842"/>
      <c r="J41" s="1841"/>
      <c r="K41" s="88">
        <v>115500</v>
      </c>
      <c r="L41" s="1859">
        <v>40</v>
      </c>
      <c r="M41" s="1860"/>
      <c r="N41" s="89">
        <v>2887.5</v>
      </c>
    </row>
    <row r="42" spans="2:14" ht="13.5" thickBot="1">
      <c r="B42" s="1839"/>
      <c r="C42" s="1840"/>
      <c r="D42" s="1840"/>
      <c r="E42" s="1840"/>
      <c r="F42" s="1841"/>
      <c r="G42" s="1842"/>
      <c r="H42" s="1841"/>
      <c r="I42" s="1842"/>
      <c r="J42" s="1841"/>
      <c r="K42" s="88"/>
      <c r="L42" s="1859"/>
      <c r="M42" s="1860"/>
      <c r="N42" s="89"/>
    </row>
    <row r="43" spans="2:14" ht="14.25" thickBot="1">
      <c r="B43" s="1848" t="s">
        <v>188</v>
      </c>
      <c r="C43" s="1849"/>
      <c r="D43" s="1849"/>
      <c r="E43" s="1849"/>
      <c r="F43" s="1849"/>
      <c r="G43" s="1849"/>
      <c r="H43" s="1849"/>
      <c r="I43" s="1849"/>
      <c r="J43" s="1849"/>
      <c r="K43" s="1849"/>
      <c r="L43" s="1849"/>
      <c r="M43" s="1850"/>
      <c r="N43" s="91">
        <v>30712.5</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c r="C48" s="1840"/>
      <c r="D48" s="1840"/>
      <c r="E48" s="1840"/>
      <c r="F48" s="1840"/>
      <c r="G48" s="1840"/>
      <c r="H48" s="1840"/>
      <c r="I48" s="1841"/>
      <c r="J48" s="397"/>
      <c r="K48" s="96"/>
      <c r="L48" s="1852"/>
      <c r="M48" s="1853"/>
      <c r="N48" s="89"/>
    </row>
    <row r="49" spans="2:14" ht="13.5" thickBot="1">
      <c r="B49" s="1834"/>
      <c r="C49" s="1835"/>
      <c r="D49" s="1835"/>
      <c r="E49" s="1835"/>
      <c r="F49" s="1835"/>
      <c r="G49" s="1835"/>
      <c r="H49" s="1835"/>
      <c r="I49" s="1836"/>
      <c r="J49" s="86"/>
      <c r="K49" s="97"/>
      <c r="L49" s="1837"/>
      <c r="M49" s="1838"/>
      <c r="N49" s="98"/>
    </row>
    <row r="50" spans="2:14" ht="14.25" thickBot="1">
      <c r="B50" s="1848" t="s">
        <v>188</v>
      </c>
      <c r="C50" s="1849"/>
      <c r="D50" s="1849"/>
      <c r="E50" s="1849"/>
      <c r="F50" s="1849"/>
      <c r="G50" s="1849"/>
      <c r="H50" s="1849"/>
      <c r="I50" s="1849"/>
      <c r="J50" s="1849"/>
      <c r="K50" s="1849"/>
      <c r="L50" s="1849"/>
      <c r="M50" s="1850"/>
      <c r="N50" s="99">
        <v>0</v>
      </c>
    </row>
    <row r="51" spans="2:14">
      <c r="B51" s="1763" t="s">
        <v>51</v>
      </c>
      <c r="C51" s="1764"/>
      <c r="D51" s="1764"/>
      <c r="E51" s="1764"/>
      <c r="F51" s="1764"/>
      <c r="G51" s="1764"/>
      <c r="H51" s="1764"/>
      <c r="I51" s="1764"/>
      <c r="J51" s="1764"/>
      <c r="K51" s="1764"/>
      <c r="L51" s="1764"/>
      <c r="M51" s="1764"/>
      <c r="N51" s="1765"/>
    </row>
    <row r="52" spans="2:14">
      <c r="B52" s="1766"/>
      <c r="C52" s="1767"/>
      <c r="D52" s="1767"/>
      <c r="E52" s="1767"/>
      <c r="F52" s="1767"/>
      <c r="G52" s="1767"/>
      <c r="H52" s="1767"/>
      <c r="I52" s="1767"/>
      <c r="J52" s="1767"/>
      <c r="K52" s="1767"/>
      <c r="L52" s="1767"/>
      <c r="M52" s="1767"/>
      <c r="N52" s="1768"/>
    </row>
    <row r="53" spans="2:14" ht="13.5" thickBot="1">
      <c r="B53" s="1769"/>
      <c r="C53" s="1770"/>
      <c r="D53" s="1770"/>
      <c r="E53" s="1770"/>
      <c r="F53" s="1770"/>
      <c r="G53" s="1770"/>
      <c r="H53" s="1770"/>
      <c r="I53" s="1770"/>
      <c r="J53" s="1770"/>
      <c r="K53" s="1770"/>
      <c r="L53" s="1770"/>
      <c r="M53" s="1770"/>
      <c r="N53" s="1771"/>
    </row>
    <row r="54" spans="2:14" ht="13.5">
      <c r="B54" s="1826" t="s">
        <v>192</v>
      </c>
      <c r="C54" s="1851"/>
      <c r="D54" s="1851"/>
      <c r="E54" s="1851"/>
      <c r="F54" s="1851"/>
      <c r="G54" s="1851"/>
      <c r="H54" s="1851"/>
      <c r="I54" s="178" t="s">
        <v>193</v>
      </c>
      <c r="J54" s="181" t="s">
        <v>194</v>
      </c>
      <c r="K54" s="182" t="s">
        <v>310</v>
      </c>
      <c r="L54" s="1829" t="s">
        <v>39</v>
      </c>
      <c r="M54" s="1832"/>
      <c r="N54" s="179" t="s">
        <v>191</v>
      </c>
    </row>
    <row r="55" spans="2:14">
      <c r="B55" s="1839" t="s">
        <v>109</v>
      </c>
      <c r="C55" s="1840"/>
      <c r="D55" s="1840"/>
      <c r="E55" s="1840"/>
      <c r="F55" s="1840"/>
      <c r="G55" s="1840"/>
      <c r="H55" s="1840"/>
      <c r="I55" s="100">
        <v>1.25</v>
      </c>
      <c r="J55" s="93">
        <v>5</v>
      </c>
      <c r="K55" s="100">
        <v>6.25</v>
      </c>
      <c r="L55" s="1843">
        <v>852</v>
      </c>
      <c r="M55" s="1844"/>
      <c r="N55" s="135">
        <v>5325</v>
      </c>
    </row>
    <row r="56" spans="2:14" ht="13.5" thickBot="1">
      <c r="B56" s="1834"/>
      <c r="C56" s="1835"/>
      <c r="D56" s="1835"/>
      <c r="E56" s="1835"/>
      <c r="F56" s="1835"/>
      <c r="G56" s="1835"/>
      <c r="H56" s="1835"/>
      <c r="I56" s="102"/>
      <c r="J56" s="87"/>
      <c r="K56" s="102"/>
      <c r="L56" s="1837"/>
      <c r="M56" s="1838"/>
      <c r="N56" s="111"/>
    </row>
    <row r="57" spans="2:14" ht="14.25" thickBot="1">
      <c r="B57" s="1848" t="s">
        <v>188</v>
      </c>
      <c r="C57" s="1849"/>
      <c r="D57" s="1849"/>
      <c r="E57" s="1849"/>
      <c r="F57" s="1849"/>
      <c r="G57" s="1849"/>
      <c r="H57" s="1849"/>
      <c r="I57" s="1849"/>
      <c r="J57" s="1849"/>
      <c r="K57" s="1849"/>
      <c r="L57" s="1849"/>
      <c r="M57" s="1850"/>
      <c r="N57" s="112">
        <v>5325</v>
      </c>
    </row>
    <row r="58" spans="2:14">
      <c r="B58" s="1763" t="s">
        <v>52</v>
      </c>
      <c r="C58" s="1764"/>
      <c r="D58" s="1764"/>
      <c r="E58" s="1764"/>
      <c r="F58" s="1764"/>
      <c r="G58" s="1764"/>
      <c r="H58" s="1764"/>
      <c r="I58" s="1764"/>
      <c r="J58" s="1764"/>
      <c r="K58" s="1764"/>
      <c r="L58" s="1764"/>
      <c r="M58" s="1764"/>
      <c r="N58" s="1765"/>
    </row>
    <row r="59" spans="2:14">
      <c r="B59" s="1766"/>
      <c r="C59" s="1767"/>
      <c r="D59" s="1767"/>
      <c r="E59" s="1767"/>
      <c r="F59" s="1767"/>
      <c r="G59" s="1767"/>
      <c r="H59" s="1767"/>
      <c r="I59" s="1767"/>
      <c r="J59" s="1767"/>
      <c r="K59" s="1767"/>
      <c r="L59" s="1767"/>
      <c r="M59" s="1767"/>
      <c r="N59" s="1768"/>
    </row>
    <row r="60" spans="2:14" ht="13.5" thickBot="1">
      <c r="B60" s="1769"/>
      <c r="C60" s="1770"/>
      <c r="D60" s="1770"/>
      <c r="E60" s="1770"/>
      <c r="F60" s="1770"/>
      <c r="G60" s="1770"/>
      <c r="H60" s="1770"/>
      <c r="I60" s="1770"/>
      <c r="J60" s="1770"/>
      <c r="K60" s="1770"/>
      <c r="L60" s="1770"/>
      <c r="M60" s="1770"/>
      <c r="N60" s="1771"/>
    </row>
    <row r="61" spans="2:14" ht="13.5">
      <c r="B61" s="1826" t="s">
        <v>195</v>
      </c>
      <c r="C61" s="1851"/>
      <c r="D61" s="1851"/>
      <c r="E61" s="1851"/>
      <c r="F61" s="1851"/>
      <c r="G61" s="1851"/>
      <c r="H61" s="1851"/>
      <c r="I61" s="178" t="s">
        <v>196</v>
      </c>
      <c r="J61" s="181" t="s">
        <v>46</v>
      </c>
      <c r="K61" s="182" t="s">
        <v>197</v>
      </c>
      <c r="L61" s="1829" t="s">
        <v>186</v>
      </c>
      <c r="M61" s="1832"/>
      <c r="N61" s="179" t="s">
        <v>191</v>
      </c>
    </row>
    <row r="62" spans="2:14">
      <c r="B62" s="1888" t="s">
        <v>61</v>
      </c>
      <c r="C62" s="1889"/>
      <c r="D62" s="1889"/>
      <c r="E62" s="1889"/>
      <c r="F62" s="1889"/>
      <c r="G62" s="1889"/>
      <c r="H62" s="1900"/>
      <c r="I62" s="107">
        <v>54800</v>
      </c>
      <c r="J62" s="108">
        <v>1.85</v>
      </c>
      <c r="K62" s="109">
        <v>101380</v>
      </c>
      <c r="L62" s="1861">
        <v>96</v>
      </c>
      <c r="M62" s="1862"/>
      <c r="N62" s="110">
        <v>1056.0416666666667</v>
      </c>
    </row>
    <row r="63" spans="2:14">
      <c r="B63" s="1888"/>
      <c r="C63" s="1889"/>
      <c r="D63" s="1889"/>
      <c r="E63" s="1889"/>
      <c r="F63" s="1889"/>
      <c r="G63" s="1889"/>
      <c r="H63" s="1900"/>
      <c r="I63" s="107"/>
      <c r="J63" s="108"/>
      <c r="K63" s="109"/>
      <c r="L63" s="1861"/>
      <c r="M63" s="1862"/>
      <c r="N63" s="110"/>
    </row>
    <row r="64" spans="2:14">
      <c r="B64" s="1888"/>
      <c r="C64" s="1889"/>
      <c r="D64" s="1889"/>
      <c r="E64" s="1889"/>
      <c r="F64" s="1889"/>
      <c r="G64" s="1889"/>
      <c r="H64" s="1900"/>
      <c r="I64" s="107"/>
      <c r="J64" s="108"/>
      <c r="K64" s="109"/>
      <c r="L64" s="1861"/>
      <c r="M64" s="1862"/>
      <c r="N64" s="110"/>
    </row>
    <row r="65" spans="2:14" ht="13.5" thickBot="1">
      <c r="B65" s="1888"/>
      <c r="C65" s="1889"/>
      <c r="D65" s="1889"/>
      <c r="E65" s="1889"/>
      <c r="F65" s="1889"/>
      <c r="G65" s="1889"/>
      <c r="H65" s="1900"/>
      <c r="I65" s="107"/>
      <c r="J65" s="108"/>
      <c r="K65" s="109"/>
      <c r="L65" s="1861"/>
      <c r="M65" s="1862"/>
      <c r="N65" s="110"/>
    </row>
    <row r="66" spans="2:14" ht="14.25" thickBot="1">
      <c r="B66" s="1848" t="s">
        <v>188</v>
      </c>
      <c r="C66" s="1849"/>
      <c r="D66" s="1849"/>
      <c r="E66" s="1849"/>
      <c r="F66" s="1849"/>
      <c r="G66" s="1849"/>
      <c r="H66" s="1849"/>
      <c r="I66" s="1849"/>
      <c r="J66" s="1849"/>
      <c r="K66" s="1849"/>
      <c r="L66" s="1849"/>
      <c r="M66" s="1850"/>
      <c r="N66" s="112">
        <v>1056.0416666666667</v>
      </c>
    </row>
    <row r="67" spans="2:14" ht="13.5" thickBot="1">
      <c r="B67" s="85"/>
      <c r="C67" s="66"/>
      <c r="D67" s="66"/>
      <c r="E67" s="66"/>
      <c r="F67" s="66"/>
      <c r="G67" s="66"/>
      <c r="H67" s="66"/>
      <c r="I67" s="66"/>
      <c r="J67" s="66"/>
      <c r="K67" s="66"/>
      <c r="L67" s="66"/>
      <c r="M67" s="66"/>
      <c r="N67" s="73"/>
    </row>
    <row r="68" spans="2:14" ht="13.5" thickBot="1">
      <c r="B68" s="1854" t="s">
        <v>198</v>
      </c>
      <c r="C68" s="1855"/>
      <c r="D68" s="1855"/>
      <c r="E68" s="1855"/>
      <c r="F68" s="1855"/>
      <c r="G68" s="1855"/>
      <c r="H68" s="1855"/>
      <c r="I68" s="1855"/>
      <c r="J68" s="1855"/>
      <c r="K68" s="1855"/>
      <c r="L68" s="1855"/>
      <c r="M68" s="1856"/>
      <c r="N68" s="186">
        <v>37093.541666666664</v>
      </c>
    </row>
    <row r="69" spans="2:14">
      <c r="B69" s="1763" t="s">
        <v>53</v>
      </c>
      <c r="C69" s="1764"/>
      <c r="D69" s="1764"/>
      <c r="E69" s="1764"/>
      <c r="F69" s="1764"/>
      <c r="G69" s="1764"/>
      <c r="H69" s="1764"/>
      <c r="I69" s="1764"/>
      <c r="J69" s="1764"/>
      <c r="K69" s="1764"/>
      <c r="L69" s="1764"/>
      <c r="M69" s="1764"/>
      <c r="N69" s="1765"/>
    </row>
    <row r="70" spans="2:14">
      <c r="B70" s="1766"/>
      <c r="C70" s="1767"/>
      <c r="D70" s="1767"/>
      <c r="E70" s="1767"/>
      <c r="F70" s="1767"/>
      <c r="G70" s="1767"/>
      <c r="H70" s="1767"/>
      <c r="I70" s="1767"/>
      <c r="J70" s="1767"/>
      <c r="K70" s="1767"/>
      <c r="L70" s="1767"/>
      <c r="M70" s="1767"/>
      <c r="N70" s="1768"/>
    </row>
    <row r="71" spans="2:14" ht="13.5" thickBot="1">
      <c r="B71" s="1769"/>
      <c r="C71" s="1770"/>
      <c r="D71" s="1770"/>
      <c r="E71" s="1770"/>
      <c r="F71" s="1770"/>
      <c r="G71" s="1770"/>
      <c r="H71" s="1770"/>
      <c r="I71" s="1770"/>
      <c r="J71" s="1770"/>
      <c r="K71" s="1770"/>
      <c r="L71" s="1770"/>
      <c r="M71" s="1770"/>
      <c r="N71" s="1771"/>
    </row>
    <row r="72" spans="2:14" ht="13.5">
      <c r="B72" s="1826" t="s">
        <v>50</v>
      </c>
      <c r="C72" s="1851"/>
      <c r="D72" s="1851"/>
      <c r="E72" s="1851"/>
      <c r="F72" s="1851"/>
      <c r="G72" s="1851"/>
      <c r="H72" s="1851"/>
      <c r="I72" s="181"/>
      <c r="J72" s="187"/>
      <c r="K72" s="184" t="s">
        <v>54</v>
      </c>
      <c r="L72" s="1857" t="s">
        <v>55</v>
      </c>
      <c r="M72" s="1858"/>
      <c r="N72" s="185"/>
    </row>
    <row r="73" spans="2:14">
      <c r="B73" s="1839" t="s">
        <v>44</v>
      </c>
      <c r="C73" s="1840"/>
      <c r="D73" s="1840"/>
      <c r="E73" s="1840"/>
      <c r="F73" s="1840"/>
      <c r="G73" s="1840"/>
      <c r="H73" s="1840"/>
      <c r="I73" s="113"/>
      <c r="J73" s="114"/>
      <c r="K73" s="192">
        <v>0.22</v>
      </c>
      <c r="L73" s="1877">
        <v>8160.5791666666664</v>
      </c>
      <c r="M73" s="1878"/>
      <c r="N73" s="115"/>
    </row>
    <row r="74" spans="2:14">
      <c r="B74" s="116" t="s">
        <v>56</v>
      </c>
      <c r="C74" s="117"/>
      <c r="D74" s="117"/>
      <c r="E74" s="117"/>
      <c r="F74" s="117"/>
      <c r="G74" s="117"/>
      <c r="H74" s="117"/>
      <c r="I74" s="113"/>
      <c r="J74" s="114"/>
      <c r="K74" s="192">
        <v>0.05</v>
      </c>
      <c r="L74" s="1877">
        <v>1854.6770833333333</v>
      </c>
      <c r="M74" s="1878"/>
      <c r="N74" s="115"/>
    </row>
    <row r="75" spans="2:14" ht="13.5" thickBot="1">
      <c r="B75" s="118" t="s">
        <v>45</v>
      </c>
      <c r="C75" s="119"/>
      <c r="D75" s="119"/>
      <c r="E75" s="119"/>
      <c r="F75" s="119"/>
      <c r="G75" s="119"/>
      <c r="H75" s="119"/>
      <c r="I75" s="120"/>
      <c r="J75" s="121"/>
      <c r="K75" s="192">
        <v>0.05</v>
      </c>
      <c r="L75" s="1879">
        <v>1854.6770833333333</v>
      </c>
      <c r="M75" s="1880"/>
      <c r="N75" s="115"/>
    </row>
    <row r="76" spans="2:14" ht="14.25" thickBot="1">
      <c r="B76" s="1848" t="s">
        <v>188</v>
      </c>
      <c r="C76" s="1849"/>
      <c r="D76" s="1849"/>
      <c r="E76" s="1849"/>
      <c r="F76" s="1849"/>
      <c r="G76" s="1849"/>
      <c r="H76" s="1849"/>
      <c r="I76" s="1849"/>
      <c r="J76" s="1849"/>
      <c r="K76" s="1849"/>
      <c r="L76" s="1849"/>
      <c r="M76" s="1850"/>
      <c r="N76" s="122">
        <v>11869.933333333334</v>
      </c>
    </row>
    <row r="77" spans="2:14" ht="13.5" thickBot="1">
      <c r="B77" s="85"/>
      <c r="C77" s="66"/>
      <c r="D77" s="66"/>
      <c r="E77" s="66"/>
      <c r="F77" s="66"/>
      <c r="G77" s="66"/>
      <c r="H77" s="66"/>
      <c r="I77" s="66"/>
      <c r="J77" s="66"/>
      <c r="K77" s="66"/>
      <c r="L77" s="66"/>
      <c r="M77" s="66"/>
      <c r="N77" s="73"/>
    </row>
    <row r="78" spans="2:14" ht="13.5" thickBot="1">
      <c r="B78" s="1854" t="s">
        <v>199</v>
      </c>
      <c r="C78" s="1855"/>
      <c r="D78" s="1855"/>
      <c r="E78" s="1855"/>
      <c r="F78" s="1855"/>
      <c r="G78" s="1855"/>
      <c r="H78" s="1855"/>
      <c r="I78" s="1855"/>
      <c r="J78" s="1855"/>
      <c r="K78" s="1855"/>
      <c r="L78" s="1855"/>
      <c r="M78" s="1856"/>
      <c r="N78" s="188">
        <v>48963</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249</v>
      </c>
      <c r="H82" s="71"/>
      <c r="I82" s="71"/>
      <c r="J82" s="71"/>
      <c r="K82" s="66"/>
      <c r="L82" s="66"/>
      <c r="M82" s="66"/>
      <c r="N82" s="73"/>
    </row>
    <row r="83" spans="2:14" ht="13.5">
      <c r="B83" s="123"/>
      <c r="C83" s="124"/>
      <c r="D83" s="124"/>
      <c r="E83" s="124"/>
      <c r="F83" s="124"/>
      <c r="G83" s="71" t="s">
        <v>250</v>
      </c>
      <c r="H83" s="124"/>
      <c r="I83" s="124"/>
      <c r="J83" s="124"/>
      <c r="K83" s="124"/>
      <c r="L83" s="124"/>
      <c r="M83" s="124"/>
      <c r="N83" s="125"/>
    </row>
    <row r="84" spans="2:14" ht="13.5">
      <c r="B84" s="123"/>
      <c r="C84" s="124"/>
      <c r="D84" s="124"/>
      <c r="E84" s="124"/>
      <c r="F84" s="124"/>
      <c r="G84" s="71" t="s">
        <v>251</v>
      </c>
      <c r="J84" s="124"/>
      <c r="K84" s="124"/>
      <c r="L84" s="124"/>
      <c r="M84" s="124"/>
      <c r="N84" s="125"/>
    </row>
    <row r="85" spans="2:14">
      <c r="B85" s="49"/>
      <c r="C85" s="81"/>
      <c r="D85" s="81"/>
      <c r="E85" s="81"/>
      <c r="F85" s="81"/>
      <c r="G85" s="71" t="s">
        <v>252</v>
      </c>
      <c r="H85" s="81"/>
      <c r="I85" s="81"/>
      <c r="J85" s="81"/>
      <c r="K85" s="81"/>
      <c r="L85" s="81"/>
      <c r="M85" s="81"/>
      <c r="N85" s="79"/>
    </row>
    <row r="86" spans="2:14">
      <c r="B86" s="85"/>
      <c r="C86" s="66"/>
      <c r="D86" s="66"/>
      <c r="E86" s="66"/>
      <c r="F86" s="66"/>
      <c r="G86" s="66" t="s">
        <v>253</v>
      </c>
      <c r="H86" s="66"/>
      <c r="I86" s="66"/>
      <c r="J86" s="66"/>
      <c r="K86" s="66"/>
      <c r="L86" s="66"/>
      <c r="M86" s="66"/>
      <c r="N86" s="73"/>
    </row>
    <row r="87" spans="2:14" ht="13.5">
      <c r="B87" s="92" t="s">
        <v>254</v>
      </c>
      <c r="C87" s="93"/>
      <c r="D87" s="93"/>
      <c r="E87" s="93"/>
      <c r="F87" s="93"/>
      <c r="G87" s="93"/>
      <c r="H87" s="93"/>
      <c r="I87" s="93"/>
      <c r="J87" s="93"/>
      <c r="K87" s="93"/>
      <c r="L87" s="93"/>
      <c r="M87" s="93"/>
      <c r="N87" s="94"/>
    </row>
    <row r="88" spans="2:14">
      <c r="B88" s="1874"/>
      <c r="C88" s="1875"/>
      <c r="D88" s="1875"/>
      <c r="E88" s="1875"/>
      <c r="F88" s="1875"/>
      <c r="G88" s="1875"/>
      <c r="H88" s="1875"/>
      <c r="I88" s="1875"/>
      <c r="J88" s="1875"/>
      <c r="K88" s="1875"/>
      <c r="L88" s="1875"/>
      <c r="M88" s="1875"/>
      <c r="N88" s="1876"/>
    </row>
    <row r="89" spans="2:14">
      <c r="B89" s="1874"/>
      <c r="C89" s="1875"/>
      <c r="D89" s="1875"/>
      <c r="E89" s="1875"/>
      <c r="F89" s="1875"/>
      <c r="G89" s="1875"/>
      <c r="H89" s="1875"/>
      <c r="I89" s="1875"/>
      <c r="J89" s="1875"/>
      <c r="K89" s="1875"/>
      <c r="L89" s="1875"/>
      <c r="M89" s="1875"/>
      <c r="N89" s="1876"/>
    </row>
    <row r="90" spans="2:14">
      <c r="B90" s="49"/>
      <c r="C90" s="81"/>
      <c r="D90" s="81"/>
      <c r="E90" s="81"/>
      <c r="F90" s="81"/>
      <c r="G90" s="81"/>
      <c r="H90" s="81"/>
      <c r="I90" s="81"/>
      <c r="J90" s="81"/>
      <c r="K90" s="81"/>
      <c r="L90" s="81"/>
      <c r="M90" s="81"/>
      <c r="N90" s="79"/>
    </row>
    <row r="91" spans="2:14">
      <c r="B91" s="406" t="s">
        <v>719</v>
      </c>
      <c r="C91" s="81"/>
      <c r="D91" s="81"/>
      <c r="E91" s="81"/>
      <c r="F91" s="81"/>
      <c r="G91" s="81"/>
      <c r="H91" s="81"/>
      <c r="I91" s="81"/>
      <c r="J91" s="81"/>
      <c r="K91" s="81"/>
      <c r="L91" s="81"/>
      <c r="M91" s="81"/>
      <c r="N91" s="79"/>
    </row>
    <row r="92" spans="2:14" ht="12.75" customHeight="1">
      <c r="B92" s="1871" t="s">
        <v>720</v>
      </c>
      <c r="C92" s="1872"/>
      <c r="D92" s="1872"/>
      <c r="E92" s="1872"/>
      <c r="F92" s="1872"/>
      <c r="G92" s="1872"/>
      <c r="H92" s="1872"/>
      <c r="I92" s="1872"/>
      <c r="J92" s="1872"/>
      <c r="K92" s="1872"/>
      <c r="L92" s="1872"/>
      <c r="M92" s="1872"/>
      <c r="N92" s="1873"/>
    </row>
    <row r="93" spans="2:14">
      <c r="B93" s="1871"/>
      <c r="C93" s="1872"/>
      <c r="D93" s="1872"/>
      <c r="E93" s="1872"/>
      <c r="F93" s="1872"/>
      <c r="G93" s="1872"/>
      <c r="H93" s="1872"/>
      <c r="I93" s="1872"/>
      <c r="J93" s="1872"/>
      <c r="K93" s="1872"/>
      <c r="L93" s="1872"/>
      <c r="M93" s="1872"/>
      <c r="N93" s="1873"/>
    </row>
    <row r="94" spans="2:14">
      <c r="B94" s="1871" t="s">
        <v>721</v>
      </c>
      <c r="C94" s="1872"/>
      <c r="D94" s="1872"/>
      <c r="E94" s="1872"/>
      <c r="F94" s="1872"/>
      <c r="G94" s="1872"/>
      <c r="H94" s="1872"/>
      <c r="I94" s="1872"/>
      <c r="J94" s="1872"/>
      <c r="K94" s="1872"/>
      <c r="L94" s="1872"/>
      <c r="M94" s="1872"/>
      <c r="N94" s="1873"/>
    </row>
    <row r="95" spans="2:14">
      <c r="B95" s="1871"/>
      <c r="C95" s="1872"/>
      <c r="D95" s="1872"/>
      <c r="E95" s="1872"/>
      <c r="F95" s="1872"/>
      <c r="G95" s="1872"/>
      <c r="H95" s="1872"/>
      <c r="I95" s="1872"/>
      <c r="J95" s="1872"/>
      <c r="K95" s="1872"/>
      <c r="L95" s="1872"/>
      <c r="M95" s="1872"/>
      <c r="N95" s="1873"/>
    </row>
    <row r="96" spans="2:14">
      <c r="B96" s="49"/>
      <c r="C96" s="81"/>
      <c r="D96" s="81"/>
      <c r="E96" s="81"/>
      <c r="F96" s="81"/>
      <c r="G96" s="81"/>
      <c r="H96" s="81"/>
      <c r="I96" s="81"/>
      <c r="J96" s="81"/>
      <c r="K96" s="81"/>
      <c r="L96" s="81"/>
      <c r="M96" s="81"/>
      <c r="N96" s="79"/>
    </row>
    <row r="97" spans="2:14">
      <c r="B97" s="85"/>
      <c r="C97" s="66"/>
      <c r="D97" s="66"/>
      <c r="E97" s="66"/>
      <c r="F97" s="66"/>
      <c r="G97" s="71" t="s">
        <v>249</v>
      </c>
      <c r="H97" s="66"/>
      <c r="I97" s="66"/>
      <c r="J97" s="66"/>
      <c r="K97" s="66"/>
      <c r="L97" s="66"/>
      <c r="M97" s="66"/>
      <c r="N97" s="73"/>
    </row>
    <row r="98" spans="2:14">
      <c r="B98" s="85"/>
      <c r="C98" s="66"/>
      <c r="D98" s="66"/>
      <c r="E98" s="66"/>
      <c r="F98" s="66"/>
      <c r="G98" s="66" t="s">
        <v>250</v>
      </c>
      <c r="H98" s="86"/>
      <c r="I98" s="86"/>
      <c r="J98" s="86"/>
      <c r="K98" s="66"/>
      <c r="L98" s="66"/>
      <c r="M98" s="66"/>
      <c r="N98" s="73"/>
    </row>
    <row r="99" spans="2:14">
      <c r="B99" s="85"/>
      <c r="C99" s="66"/>
      <c r="D99" s="66"/>
      <c r="E99" s="66"/>
      <c r="F99" s="66"/>
      <c r="G99" s="66" t="s">
        <v>255</v>
      </c>
      <c r="H99" s="80"/>
      <c r="I99" s="80"/>
      <c r="J99" s="80"/>
      <c r="M99" s="66"/>
      <c r="N99" s="73"/>
    </row>
    <row r="100" spans="2:14">
      <c r="B100" s="127"/>
      <c r="C100" s="81"/>
      <c r="D100" s="81"/>
      <c r="E100" s="81"/>
      <c r="F100" s="81"/>
      <c r="G100" s="66" t="s">
        <v>252</v>
      </c>
      <c r="K100" s="81"/>
      <c r="L100" s="81"/>
      <c r="M100" s="81"/>
      <c r="N100" s="79"/>
    </row>
    <row r="101" spans="2:14" ht="17.25" customHeight="1">
      <c r="B101" s="138" t="s">
        <v>722</v>
      </c>
      <c r="C101" s="128"/>
      <c r="D101" s="128"/>
      <c r="E101" s="66"/>
      <c r="F101" s="66"/>
      <c r="G101" s="66"/>
      <c r="H101" s="66"/>
      <c r="I101" s="66"/>
      <c r="J101" s="1863"/>
      <c r="K101" s="1863"/>
      <c r="L101" s="1863"/>
      <c r="M101" s="1863"/>
      <c r="N101" s="1864"/>
    </row>
    <row r="102" spans="2:14" ht="18.75" customHeight="1" thickBot="1">
      <c r="B102" s="1867" t="s">
        <v>723</v>
      </c>
      <c r="C102" s="1868"/>
      <c r="D102" s="1868"/>
      <c r="E102" s="87"/>
      <c r="F102" s="87"/>
      <c r="G102" s="87"/>
      <c r="H102" s="87"/>
      <c r="I102" s="87"/>
      <c r="J102" s="1865"/>
      <c r="K102" s="1865"/>
      <c r="L102" s="1865"/>
      <c r="M102" s="1865"/>
      <c r="N102" s="1866"/>
    </row>
  </sheetData>
  <mergeCells count="96">
    <mergeCell ref="J101:N102"/>
    <mergeCell ref="B102:D102"/>
    <mergeCell ref="B12:E12"/>
    <mergeCell ref="B92:N93"/>
    <mergeCell ref="B94:N95"/>
    <mergeCell ref="B76:M76"/>
    <mergeCell ref="B78:M78"/>
    <mergeCell ref="B88:N88"/>
    <mergeCell ref="B89:N89"/>
    <mergeCell ref="L75:M75"/>
    <mergeCell ref="B64:H64"/>
    <mergeCell ref="L64:M64"/>
    <mergeCell ref="B65:H65"/>
    <mergeCell ref="L65:M65"/>
    <mergeCell ref="B66:M66"/>
    <mergeCell ref="B68:M68"/>
    <mergeCell ref="B72:H72"/>
    <mergeCell ref="L72:M72"/>
    <mergeCell ref="B73:H73"/>
    <mergeCell ref="L73:M73"/>
    <mergeCell ref="L74:M74"/>
    <mergeCell ref="B69:N71"/>
    <mergeCell ref="B63:H63"/>
    <mergeCell ref="L63:M63"/>
    <mergeCell ref="B50:M50"/>
    <mergeCell ref="B54:H54"/>
    <mergeCell ref="L54:M54"/>
    <mergeCell ref="B55:H55"/>
    <mergeCell ref="L55:M55"/>
    <mergeCell ref="B56:H56"/>
    <mergeCell ref="L56:M56"/>
    <mergeCell ref="B57:M57"/>
    <mergeCell ref="B61:H61"/>
    <mergeCell ref="L61:M61"/>
    <mergeCell ref="B62:H62"/>
    <mergeCell ref="L62:M62"/>
    <mergeCell ref="B51:N53"/>
    <mergeCell ref="B58:N60"/>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ageMargins left="0.75" right="0.75" top="1" bottom="1" header="0" footer="0"/>
  <headerFooter alignWithMargins="0"/>
  <drawing r:id="rId1"/>
  <legacyDrawing r:id="rId2"/>
  <oleObjects>
    <mc:AlternateContent xmlns:mc="http://schemas.openxmlformats.org/markup-compatibility/2006">
      <mc:Choice Requires="x14">
        <oleObject progId="PBrush" shapeId="191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1489" r:id="rId3"/>
      </mc:Fallback>
    </mc:AlternateContent>
  </oleObjects>
  <mc:AlternateContent xmlns:mc="http://schemas.openxmlformats.org/markup-compatibility/2006">
    <mc:Choice Requires="x14">
      <controls>
        <mc:AlternateContent xmlns:mc="http://schemas.openxmlformats.org/markup-compatibility/2006">
          <mc:Choice Requires="x14">
            <control shapeId="1914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14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dimension ref="B1:N103"/>
  <sheetViews>
    <sheetView showGridLines="0" topLeftCell="A26" zoomScale="70" zoomScaleNormal="70" workbookViewId="0">
      <selection sqref="A1:XFD1048576"/>
    </sheetView>
  </sheetViews>
  <sheetFormatPr baseColWidth="10" defaultColWidth="11.42578125" defaultRowHeight="12.75"/>
  <cols>
    <col min="1" max="1" width="3.140625" style="32" customWidth="1"/>
    <col min="2" max="16384" width="11.42578125" style="32"/>
  </cols>
  <sheetData>
    <row r="1" spans="2:14" ht="13.5" thickBot="1"/>
    <row r="2" spans="2:14" s="39" customFormat="1">
      <c r="B2" s="1772"/>
      <c r="C2" s="1774"/>
      <c r="D2" s="1775"/>
      <c r="E2" s="1775"/>
      <c r="F2" s="1775"/>
      <c r="G2" s="1775"/>
      <c r="H2" s="1775"/>
      <c r="I2" s="1775"/>
      <c r="J2" s="1776"/>
      <c r="K2" s="1777" t="s">
        <v>228</v>
      </c>
      <c r="L2" s="1779" t="s">
        <v>716</v>
      </c>
      <c r="M2" s="1780"/>
      <c r="N2" s="1781"/>
    </row>
    <row r="3" spans="2:14" s="39" customFormat="1" ht="13.5">
      <c r="B3" s="1773"/>
      <c r="C3" s="1785" t="s">
        <v>69</v>
      </c>
      <c r="D3" s="1786"/>
      <c r="E3" s="1786"/>
      <c r="F3" s="1786"/>
      <c r="G3" s="1786"/>
      <c r="H3" s="1786"/>
      <c r="I3" s="1786"/>
      <c r="J3" s="1787"/>
      <c r="K3" s="1778"/>
      <c r="L3" s="1782"/>
      <c r="M3" s="1783"/>
      <c r="N3" s="1784"/>
    </row>
    <row r="4" spans="2:14" s="39" customFormat="1" ht="13.5">
      <c r="B4" s="1773"/>
      <c r="C4" s="1788" t="s">
        <v>303</v>
      </c>
      <c r="D4" s="1789"/>
      <c r="E4" s="1789"/>
      <c r="F4" s="1789"/>
      <c r="G4" s="1789"/>
      <c r="H4" s="1789"/>
      <c r="I4" s="1789"/>
      <c r="J4" s="1790"/>
      <c r="K4" s="1791" t="s">
        <v>230</v>
      </c>
      <c r="L4" s="1793">
        <v>2</v>
      </c>
      <c r="M4" s="1794"/>
      <c r="N4" s="1795"/>
    </row>
    <row r="5" spans="2:14" s="39" customFormat="1">
      <c r="B5" s="1773"/>
      <c r="C5" s="1799" t="s">
        <v>715</v>
      </c>
      <c r="D5" s="1800"/>
      <c r="E5" s="1800"/>
      <c r="F5" s="1800"/>
      <c r="G5" s="1800"/>
      <c r="H5" s="1800"/>
      <c r="I5" s="1800"/>
      <c r="J5" s="1801"/>
      <c r="K5" s="1792"/>
      <c r="L5" s="1796"/>
      <c r="M5" s="1797"/>
      <c r="N5" s="1798"/>
    </row>
    <row r="6" spans="2:14" s="39" customFormat="1" ht="12.75" customHeight="1">
      <c r="B6" s="1773"/>
      <c r="C6" s="1805" t="s">
        <v>304</v>
      </c>
      <c r="D6" s="1806"/>
      <c r="E6" s="1806"/>
      <c r="F6" s="1806"/>
      <c r="G6" s="1806"/>
      <c r="H6" s="1806"/>
      <c r="I6" s="1806"/>
      <c r="J6" s="1807"/>
      <c r="K6" s="1791" t="s">
        <v>232</v>
      </c>
      <c r="L6" s="1791">
        <v>1</v>
      </c>
      <c r="M6" s="1791" t="s">
        <v>233</v>
      </c>
      <c r="N6" s="1803">
        <v>1</v>
      </c>
    </row>
    <row r="7" spans="2:14" s="39" customFormat="1">
      <c r="B7" s="1773"/>
      <c r="C7" s="1805"/>
      <c r="D7" s="1806"/>
      <c r="E7" s="1806"/>
      <c r="F7" s="1806"/>
      <c r="G7" s="1806"/>
      <c r="H7" s="1806"/>
      <c r="I7" s="1806"/>
      <c r="J7" s="1807"/>
      <c r="K7" s="1802"/>
      <c r="L7" s="1802"/>
      <c r="M7" s="1802"/>
      <c r="N7" s="1804"/>
    </row>
    <row r="8" spans="2:14" s="39" customFormat="1">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I12" s="39"/>
      <c r="J12" s="403"/>
      <c r="K12" s="51"/>
      <c r="L12" s="39"/>
      <c r="M12" s="39"/>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ht="13.5" customHeight="1">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613</v>
      </c>
      <c r="C34" s="1885" t="s">
        <v>615</v>
      </c>
      <c r="D34" s="1887"/>
      <c r="E34" s="1887"/>
      <c r="F34" s="1887"/>
      <c r="G34" s="1887"/>
      <c r="H34" s="1887"/>
      <c r="I34" s="1887"/>
      <c r="J34" s="1887"/>
      <c r="K34" s="1886"/>
      <c r="L34" s="1885" t="s">
        <v>81</v>
      </c>
      <c r="M34" s="1886"/>
      <c r="N34" s="177">
        <v>105150</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row>
    <row r="39" spans="2:14">
      <c r="B39" s="1839" t="s">
        <v>70</v>
      </c>
      <c r="C39" s="1840"/>
      <c r="D39" s="1840"/>
      <c r="E39" s="1840"/>
      <c r="F39" s="1841"/>
      <c r="G39" s="1842"/>
      <c r="H39" s="1841"/>
      <c r="I39" s="1842"/>
      <c r="J39" s="1841"/>
      <c r="K39" s="88">
        <v>63000</v>
      </c>
      <c r="L39" s="1859">
        <v>65</v>
      </c>
      <c r="M39" s="1860"/>
      <c r="N39" s="89">
        <v>969.23076923076928</v>
      </c>
    </row>
    <row r="40" spans="2:14">
      <c r="B40" s="1839" t="s">
        <v>264</v>
      </c>
      <c r="C40" s="1840"/>
      <c r="D40" s="1840"/>
      <c r="E40" s="1840"/>
      <c r="F40" s="1841"/>
      <c r="G40" s="1842"/>
      <c r="H40" s="1841"/>
      <c r="I40" s="1842"/>
      <c r="J40" s="1841"/>
      <c r="K40" s="88"/>
      <c r="L40" s="1859"/>
      <c r="M40" s="1860"/>
      <c r="N40" s="89">
        <v>19.496153846153845</v>
      </c>
    </row>
    <row r="41" spans="2:14">
      <c r="B41" s="1839"/>
      <c r="C41" s="1840"/>
      <c r="D41" s="1840"/>
      <c r="E41" s="1840"/>
      <c r="F41" s="1841"/>
      <c r="G41" s="1842"/>
      <c r="H41" s="1841"/>
      <c r="I41" s="1842"/>
      <c r="J41" s="1841"/>
      <c r="K41" s="88"/>
      <c r="L41" s="1859"/>
      <c r="M41" s="1860"/>
      <c r="N41" s="89"/>
    </row>
    <row r="42" spans="2:14">
      <c r="B42" s="162"/>
      <c r="C42" s="163"/>
      <c r="D42" s="163"/>
      <c r="E42" s="163"/>
      <c r="F42" s="161"/>
      <c r="G42" s="160"/>
      <c r="H42" s="161"/>
      <c r="I42" s="160"/>
      <c r="J42" s="161"/>
      <c r="K42" s="88"/>
      <c r="L42" s="1859"/>
      <c r="M42" s="1860"/>
      <c r="N42" s="89"/>
    </row>
    <row r="43" spans="2:14" ht="13.5" thickBot="1">
      <c r="B43" s="1834"/>
      <c r="C43" s="1835"/>
      <c r="D43" s="1835"/>
      <c r="E43" s="1835"/>
      <c r="F43" s="1836"/>
      <c r="G43" s="1845"/>
      <c r="H43" s="1836"/>
      <c r="I43" s="1845"/>
      <c r="J43" s="1836"/>
      <c r="K43" s="88"/>
      <c r="L43" s="1846"/>
      <c r="M43" s="1847"/>
      <c r="N43" s="89"/>
    </row>
    <row r="44" spans="2:14" ht="14.25" thickBot="1">
      <c r="B44" s="1848" t="s">
        <v>188</v>
      </c>
      <c r="C44" s="1849"/>
      <c r="D44" s="1849"/>
      <c r="E44" s="1849"/>
      <c r="F44" s="1849"/>
      <c r="G44" s="1849"/>
      <c r="H44" s="1849"/>
      <c r="I44" s="1849"/>
      <c r="J44" s="1849"/>
      <c r="K44" s="1849"/>
      <c r="L44" s="1849"/>
      <c r="M44" s="1850"/>
      <c r="N44" s="91">
        <v>988.72692307692319</v>
      </c>
    </row>
    <row r="45" spans="2:14">
      <c r="B45" s="1763" t="s">
        <v>189</v>
      </c>
      <c r="C45" s="1764"/>
      <c r="D45" s="1764"/>
      <c r="E45" s="1764"/>
      <c r="F45" s="1764"/>
      <c r="G45" s="1764"/>
      <c r="H45" s="1764"/>
      <c r="I45" s="1764"/>
      <c r="J45" s="1764"/>
      <c r="K45" s="1764"/>
      <c r="L45" s="1764"/>
      <c r="M45" s="1764"/>
      <c r="N45" s="1765"/>
    </row>
    <row r="46" spans="2:14">
      <c r="B46" s="1766"/>
      <c r="C46" s="1767"/>
      <c r="D46" s="1767"/>
      <c r="E46" s="1767"/>
      <c r="F46" s="1767"/>
      <c r="G46" s="1767"/>
      <c r="H46" s="1767"/>
      <c r="I46" s="1767"/>
      <c r="J46" s="1767"/>
      <c r="K46" s="1767"/>
      <c r="L46" s="1767"/>
      <c r="M46" s="1767"/>
      <c r="N46" s="1768"/>
    </row>
    <row r="47" spans="2:14" ht="13.5" thickBot="1">
      <c r="B47" s="1769"/>
      <c r="C47" s="1770"/>
      <c r="D47" s="1770"/>
      <c r="E47" s="1770"/>
      <c r="F47" s="1770"/>
      <c r="G47" s="1770"/>
      <c r="H47" s="1770"/>
      <c r="I47" s="1770"/>
      <c r="J47" s="1770"/>
      <c r="K47" s="1770"/>
      <c r="L47" s="1770"/>
      <c r="M47" s="1770"/>
      <c r="N47" s="1771"/>
    </row>
    <row r="48" spans="2:14" ht="13.5">
      <c r="B48" s="1826" t="s">
        <v>173</v>
      </c>
      <c r="C48" s="1851"/>
      <c r="D48" s="1851"/>
      <c r="E48" s="1851"/>
      <c r="F48" s="1851"/>
      <c r="G48" s="1851"/>
      <c r="H48" s="1851"/>
      <c r="I48" s="1832"/>
      <c r="J48" s="180" t="s">
        <v>38</v>
      </c>
      <c r="K48" s="178" t="s">
        <v>115</v>
      </c>
      <c r="L48" s="1829" t="s">
        <v>190</v>
      </c>
      <c r="M48" s="1832"/>
      <c r="N48" s="179" t="s">
        <v>191</v>
      </c>
    </row>
    <row r="49" spans="2:14">
      <c r="B49" s="1839" t="s">
        <v>265</v>
      </c>
      <c r="C49" s="1840"/>
      <c r="D49" s="1840"/>
      <c r="E49" s="1840"/>
      <c r="F49" s="1840"/>
      <c r="G49" s="1840"/>
      <c r="H49" s="1840"/>
      <c r="I49" s="1841"/>
      <c r="J49" s="126" t="s">
        <v>33</v>
      </c>
      <c r="K49" s="96">
        <v>1</v>
      </c>
      <c r="L49" s="1852">
        <v>1700</v>
      </c>
      <c r="M49" s="1853"/>
      <c r="N49" s="89">
        <v>1700</v>
      </c>
    </row>
    <row r="50" spans="2:14" ht="13.5" thickBot="1">
      <c r="B50" s="1834"/>
      <c r="C50" s="1835"/>
      <c r="D50" s="1835"/>
      <c r="E50" s="1835"/>
      <c r="F50" s="1835"/>
      <c r="G50" s="1835"/>
      <c r="H50" s="1835"/>
      <c r="I50" s="1836"/>
      <c r="J50" s="86"/>
      <c r="K50" s="97"/>
      <c r="L50" s="1837"/>
      <c r="M50" s="1838"/>
      <c r="N50" s="98"/>
    </row>
    <row r="51" spans="2:14" ht="14.25" thickBot="1">
      <c r="B51" s="1848" t="s">
        <v>188</v>
      </c>
      <c r="C51" s="1849"/>
      <c r="D51" s="1849"/>
      <c r="E51" s="1849"/>
      <c r="F51" s="1849"/>
      <c r="G51" s="1849"/>
      <c r="H51" s="1849"/>
      <c r="I51" s="1849"/>
      <c r="J51" s="1849"/>
      <c r="K51" s="1849"/>
      <c r="L51" s="1849"/>
      <c r="M51" s="1850"/>
      <c r="N51" s="99">
        <v>1700</v>
      </c>
    </row>
    <row r="52" spans="2:14">
      <c r="B52" s="1763" t="s">
        <v>51</v>
      </c>
      <c r="C52" s="1764"/>
      <c r="D52" s="1764"/>
      <c r="E52" s="1764"/>
      <c r="F52" s="1764"/>
      <c r="G52" s="1764"/>
      <c r="H52" s="1764"/>
      <c r="I52" s="1764"/>
      <c r="J52" s="1764"/>
      <c r="K52" s="1764"/>
      <c r="L52" s="1764"/>
      <c r="M52" s="1764"/>
      <c r="N52" s="1765"/>
    </row>
    <row r="53" spans="2:14">
      <c r="B53" s="1766"/>
      <c r="C53" s="1767"/>
      <c r="D53" s="1767"/>
      <c r="E53" s="1767"/>
      <c r="F53" s="1767"/>
      <c r="G53" s="1767"/>
      <c r="H53" s="1767"/>
      <c r="I53" s="1767"/>
      <c r="J53" s="1767"/>
      <c r="K53" s="1767"/>
      <c r="L53" s="1767"/>
      <c r="M53" s="1767"/>
      <c r="N53" s="1768"/>
    </row>
    <row r="54" spans="2:14" ht="13.5" thickBot="1">
      <c r="B54" s="1769"/>
      <c r="C54" s="1770"/>
      <c r="D54" s="1770"/>
      <c r="E54" s="1770"/>
      <c r="F54" s="1770"/>
      <c r="G54" s="1770"/>
      <c r="H54" s="1770"/>
      <c r="I54" s="1770"/>
      <c r="J54" s="1770"/>
      <c r="K54" s="1770"/>
      <c r="L54" s="1770"/>
      <c r="M54" s="1770"/>
      <c r="N54" s="1771"/>
    </row>
    <row r="55" spans="2:14" ht="13.5">
      <c r="B55" s="1826" t="s">
        <v>192</v>
      </c>
      <c r="C55" s="1851"/>
      <c r="D55" s="1851"/>
      <c r="E55" s="1851"/>
      <c r="F55" s="1851"/>
      <c r="G55" s="1851"/>
      <c r="H55" s="1851"/>
      <c r="I55" s="178" t="s">
        <v>193</v>
      </c>
      <c r="J55" s="181" t="s">
        <v>194</v>
      </c>
      <c r="K55" s="182" t="s">
        <v>310</v>
      </c>
      <c r="L55" s="1829" t="s">
        <v>39</v>
      </c>
      <c r="M55" s="1832"/>
      <c r="N55" s="179" t="s">
        <v>191</v>
      </c>
    </row>
    <row r="56" spans="2:14">
      <c r="B56" s="1839"/>
      <c r="C56" s="1840"/>
      <c r="D56" s="1840"/>
      <c r="E56" s="1840"/>
      <c r="F56" s="1840"/>
      <c r="G56" s="1840"/>
      <c r="H56" s="1841"/>
      <c r="I56" s="100"/>
      <c r="J56" s="93"/>
      <c r="K56" s="100"/>
      <c r="L56" s="1843"/>
      <c r="M56" s="1844"/>
      <c r="N56" s="135"/>
    </row>
    <row r="57" spans="2:14" ht="13.5" thickBot="1">
      <c r="B57" s="1834"/>
      <c r="C57" s="1835"/>
      <c r="D57" s="1835"/>
      <c r="E57" s="1835"/>
      <c r="F57" s="1835"/>
      <c r="G57" s="1835"/>
      <c r="H57" s="1836"/>
      <c r="I57" s="102"/>
      <c r="J57" s="87"/>
      <c r="K57" s="102"/>
      <c r="L57" s="1837"/>
      <c r="M57" s="1838"/>
      <c r="N57" s="111"/>
    </row>
    <row r="58" spans="2:14" ht="14.25" thickBot="1">
      <c r="B58" s="1848" t="s">
        <v>188</v>
      </c>
      <c r="C58" s="1849"/>
      <c r="D58" s="1849"/>
      <c r="E58" s="1849"/>
      <c r="F58" s="1849"/>
      <c r="G58" s="1849"/>
      <c r="H58" s="1849"/>
      <c r="I58" s="1849"/>
      <c r="J58" s="1849"/>
      <c r="K58" s="1849"/>
      <c r="L58" s="1849"/>
      <c r="M58" s="1850"/>
      <c r="N58" s="112">
        <v>0</v>
      </c>
    </row>
    <row r="59" spans="2:14">
      <c r="B59" s="1763" t="s">
        <v>52</v>
      </c>
      <c r="C59" s="1764"/>
      <c r="D59" s="1764"/>
      <c r="E59" s="1764"/>
      <c r="F59" s="1764"/>
      <c r="G59" s="1764"/>
      <c r="H59" s="1764"/>
      <c r="I59" s="1764"/>
      <c r="J59" s="1764"/>
      <c r="K59" s="1764"/>
      <c r="L59" s="1764"/>
      <c r="M59" s="1764"/>
      <c r="N59" s="1765"/>
    </row>
    <row r="60" spans="2:14">
      <c r="B60" s="1766"/>
      <c r="C60" s="1767"/>
      <c r="D60" s="1767"/>
      <c r="E60" s="1767"/>
      <c r="F60" s="1767"/>
      <c r="G60" s="1767"/>
      <c r="H60" s="1767"/>
      <c r="I60" s="1767"/>
      <c r="J60" s="1767"/>
      <c r="K60" s="1767"/>
      <c r="L60" s="1767"/>
      <c r="M60" s="1767"/>
      <c r="N60" s="1768"/>
    </row>
    <row r="61" spans="2:14" ht="13.5" thickBot="1">
      <c r="B61" s="1769"/>
      <c r="C61" s="1770"/>
      <c r="D61" s="1770"/>
      <c r="E61" s="1770"/>
      <c r="F61" s="1770"/>
      <c r="G61" s="1770"/>
      <c r="H61" s="1770"/>
      <c r="I61" s="1770"/>
      <c r="J61" s="1770"/>
      <c r="K61" s="1770"/>
      <c r="L61" s="1770"/>
      <c r="M61" s="1770"/>
      <c r="N61" s="1771"/>
    </row>
    <row r="62" spans="2:14" ht="13.5">
      <c r="B62" s="1826" t="s">
        <v>195</v>
      </c>
      <c r="C62" s="1851"/>
      <c r="D62" s="1851"/>
      <c r="E62" s="1851"/>
      <c r="F62" s="1851"/>
      <c r="G62" s="1851"/>
      <c r="H62" s="1851"/>
      <c r="I62" s="178" t="s">
        <v>196</v>
      </c>
      <c r="J62" s="181" t="s">
        <v>46</v>
      </c>
      <c r="K62" s="182" t="s">
        <v>197</v>
      </c>
      <c r="L62" s="1829" t="s">
        <v>186</v>
      </c>
      <c r="M62" s="1832"/>
      <c r="N62" s="179" t="s">
        <v>191</v>
      </c>
    </row>
    <row r="63" spans="2:14">
      <c r="B63" s="1888" t="s">
        <v>61</v>
      </c>
      <c r="C63" s="1889"/>
      <c r="D63" s="1889"/>
      <c r="E63" s="1889"/>
      <c r="F63" s="1889"/>
      <c r="G63" s="1889"/>
      <c r="H63" s="1900"/>
      <c r="I63" s="107">
        <v>54800</v>
      </c>
      <c r="J63" s="108">
        <v>1.85</v>
      </c>
      <c r="K63" s="109">
        <v>101380</v>
      </c>
      <c r="L63" s="1861">
        <v>520</v>
      </c>
      <c r="M63" s="1862"/>
      <c r="N63" s="110">
        <v>194.96153846153845</v>
      </c>
    </row>
    <row r="64" spans="2:14">
      <c r="B64" s="1888"/>
      <c r="C64" s="1889"/>
      <c r="D64" s="1889"/>
      <c r="E64" s="1889"/>
      <c r="F64" s="1889"/>
      <c r="G64" s="1889"/>
      <c r="H64" s="1900"/>
      <c r="I64" s="107"/>
      <c r="J64" s="108"/>
      <c r="K64" s="109"/>
      <c r="L64" s="1861"/>
      <c r="M64" s="1862"/>
      <c r="N64" s="110"/>
    </row>
    <row r="65" spans="2:14">
      <c r="B65" s="1888"/>
      <c r="C65" s="1889"/>
      <c r="D65" s="1889"/>
      <c r="E65" s="1889"/>
      <c r="F65" s="1889"/>
      <c r="G65" s="1889"/>
      <c r="H65" s="1900"/>
      <c r="I65" s="107"/>
      <c r="J65" s="108"/>
      <c r="K65" s="109"/>
      <c r="L65" s="1861"/>
      <c r="M65" s="1862"/>
      <c r="N65" s="110"/>
    </row>
    <row r="66" spans="2:14" ht="13.5" thickBot="1">
      <c r="B66" s="1888"/>
      <c r="C66" s="1889"/>
      <c r="D66" s="1889"/>
      <c r="E66" s="1889"/>
      <c r="F66" s="1889"/>
      <c r="G66" s="1889"/>
      <c r="H66" s="1900"/>
      <c r="I66" s="107"/>
      <c r="J66" s="108"/>
      <c r="K66" s="109"/>
      <c r="L66" s="1861"/>
      <c r="M66" s="1862"/>
      <c r="N66" s="110"/>
    </row>
    <row r="67" spans="2:14" ht="14.25" thickBot="1">
      <c r="B67" s="1848" t="s">
        <v>188</v>
      </c>
      <c r="C67" s="1849"/>
      <c r="D67" s="1849"/>
      <c r="E67" s="1849"/>
      <c r="F67" s="1849"/>
      <c r="G67" s="1849"/>
      <c r="H67" s="1849"/>
      <c r="I67" s="1849"/>
      <c r="J67" s="1849"/>
      <c r="K67" s="1849"/>
      <c r="L67" s="1849"/>
      <c r="M67" s="1850"/>
      <c r="N67" s="112">
        <v>194.96153846153845</v>
      </c>
    </row>
    <row r="68" spans="2:14" ht="13.5" thickBot="1">
      <c r="B68" s="85"/>
      <c r="C68" s="66"/>
      <c r="D68" s="66"/>
      <c r="E68" s="66"/>
      <c r="F68" s="66"/>
      <c r="G68" s="66"/>
      <c r="H68" s="66"/>
      <c r="I68" s="66"/>
      <c r="J68" s="66"/>
      <c r="K68" s="66"/>
      <c r="L68" s="66"/>
      <c r="M68" s="66"/>
      <c r="N68" s="73"/>
    </row>
    <row r="69" spans="2:14" ht="13.5" thickBot="1">
      <c r="B69" s="1854" t="s">
        <v>198</v>
      </c>
      <c r="C69" s="1855"/>
      <c r="D69" s="1855"/>
      <c r="E69" s="1855"/>
      <c r="F69" s="1855"/>
      <c r="G69" s="1855"/>
      <c r="H69" s="1855"/>
      <c r="I69" s="1855"/>
      <c r="J69" s="1855"/>
      <c r="K69" s="1855"/>
      <c r="L69" s="1855"/>
      <c r="M69" s="1856"/>
      <c r="N69" s="186">
        <v>2883.6884615384615</v>
      </c>
    </row>
    <row r="70" spans="2:14">
      <c r="B70" s="1763" t="s">
        <v>53</v>
      </c>
      <c r="C70" s="1764"/>
      <c r="D70" s="1764"/>
      <c r="E70" s="1764"/>
      <c r="F70" s="1764"/>
      <c r="G70" s="1764"/>
      <c r="H70" s="1764"/>
      <c r="I70" s="1764"/>
      <c r="J70" s="1764"/>
      <c r="K70" s="1764"/>
      <c r="L70" s="1764"/>
      <c r="M70" s="1764"/>
      <c r="N70" s="1765"/>
    </row>
    <row r="71" spans="2:14">
      <c r="B71" s="1766"/>
      <c r="C71" s="1767"/>
      <c r="D71" s="1767"/>
      <c r="E71" s="1767"/>
      <c r="F71" s="1767"/>
      <c r="G71" s="1767"/>
      <c r="H71" s="1767"/>
      <c r="I71" s="1767"/>
      <c r="J71" s="1767"/>
      <c r="K71" s="1767"/>
      <c r="L71" s="1767"/>
      <c r="M71" s="1767"/>
      <c r="N71" s="1768"/>
    </row>
    <row r="72" spans="2:14" ht="13.5" thickBot="1">
      <c r="B72" s="1769"/>
      <c r="C72" s="1770"/>
      <c r="D72" s="1770"/>
      <c r="E72" s="1770"/>
      <c r="F72" s="1770"/>
      <c r="G72" s="1770"/>
      <c r="H72" s="1770"/>
      <c r="I72" s="1770"/>
      <c r="J72" s="1770"/>
      <c r="K72" s="1770"/>
      <c r="L72" s="1770"/>
      <c r="M72" s="1770"/>
      <c r="N72" s="1771"/>
    </row>
    <row r="73" spans="2:14" ht="13.5">
      <c r="B73" s="1826" t="s">
        <v>50</v>
      </c>
      <c r="C73" s="1851"/>
      <c r="D73" s="1851"/>
      <c r="E73" s="1851"/>
      <c r="F73" s="1851"/>
      <c r="G73" s="1851"/>
      <c r="H73" s="1851"/>
      <c r="I73" s="181"/>
      <c r="J73" s="187"/>
      <c r="K73" s="184" t="s">
        <v>54</v>
      </c>
      <c r="L73" s="1857" t="s">
        <v>55</v>
      </c>
      <c r="M73" s="1858"/>
      <c r="N73" s="185"/>
    </row>
    <row r="74" spans="2:14">
      <c r="B74" s="1839" t="s">
        <v>44</v>
      </c>
      <c r="C74" s="1840"/>
      <c r="D74" s="1840"/>
      <c r="E74" s="1840"/>
      <c r="F74" s="1840"/>
      <c r="G74" s="1840"/>
      <c r="H74" s="1840"/>
      <c r="I74" s="113"/>
      <c r="J74" s="114"/>
      <c r="K74" s="192">
        <v>0.22</v>
      </c>
      <c r="L74" s="1877">
        <v>634.41146153846159</v>
      </c>
      <c r="M74" s="1878"/>
      <c r="N74" s="115"/>
    </row>
    <row r="75" spans="2:14">
      <c r="B75" s="116" t="s">
        <v>56</v>
      </c>
      <c r="C75" s="117"/>
      <c r="D75" s="117"/>
      <c r="E75" s="117"/>
      <c r="F75" s="117"/>
      <c r="G75" s="117"/>
      <c r="H75" s="117"/>
      <c r="I75" s="113"/>
      <c r="J75" s="114"/>
      <c r="K75" s="192">
        <v>0.05</v>
      </c>
      <c r="L75" s="1877">
        <v>144.18442307692308</v>
      </c>
      <c r="M75" s="1878"/>
      <c r="N75" s="115"/>
    </row>
    <row r="76" spans="2:14" ht="13.5" thickBot="1">
      <c r="B76" s="118" t="s">
        <v>45</v>
      </c>
      <c r="C76" s="119"/>
      <c r="D76" s="119"/>
      <c r="E76" s="119"/>
      <c r="F76" s="119"/>
      <c r="G76" s="119"/>
      <c r="H76" s="119"/>
      <c r="I76" s="120"/>
      <c r="J76" s="121"/>
      <c r="K76" s="192">
        <v>0.05</v>
      </c>
      <c r="L76" s="1879">
        <v>144.18442307692308</v>
      </c>
      <c r="M76" s="1880"/>
      <c r="N76" s="115"/>
    </row>
    <row r="77" spans="2:14" ht="14.25" thickBot="1">
      <c r="B77" s="1848" t="s">
        <v>188</v>
      </c>
      <c r="C77" s="1849"/>
      <c r="D77" s="1849"/>
      <c r="E77" s="1849"/>
      <c r="F77" s="1849"/>
      <c r="G77" s="1849"/>
      <c r="H77" s="1849"/>
      <c r="I77" s="1849"/>
      <c r="J77" s="1849"/>
      <c r="K77" s="1849"/>
      <c r="L77" s="1849"/>
      <c r="M77" s="1850"/>
      <c r="N77" s="122">
        <v>922.7803076923077</v>
      </c>
    </row>
    <row r="78" spans="2:14" ht="13.5" thickBot="1">
      <c r="B78" s="85"/>
      <c r="C78" s="66"/>
      <c r="D78" s="66"/>
      <c r="E78" s="66"/>
      <c r="F78" s="66"/>
      <c r="G78" s="66"/>
      <c r="H78" s="66"/>
      <c r="I78" s="66"/>
      <c r="J78" s="66"/>
      <c r="K78" s="66"/>
      <c r="L78" s="66"/>
      <c r="M78" s="66"/>
      <c r="N78" s="73"/>
    </row>
    <row r="79" spans="2:14" ht="13.5" thickBot="1">
      <c r="B79" s="1854" t="s">
        <v>199</v>
      </c>
      <c r="C79" s="1855"/>
      <c r="D79" s="1855"/>
      <c r="E79" s="1855"/>
      <c r="F79" s="1855"/>
      <c r="G79" s="1855"/>
      <c r="H79" s="1855"/>
      <c r="I79" s="1855"/>
      <c r="J79" s="1855"/>
      <c r="K79" s="1855"/>
      <c r="L79" s="1855"/>
      <c r="M79" s="1856"/>
      <c r="N79" s="188">
        <v>3806</v>
      </c>
    </row>
    <row r="80" spans="2:14" s="39" customFormat="1">
      <c r="B80" s="64"/>
      <c r="C80" s="65"/>
      <c r="D80" s="65"/>
      <c r="E80" s="65"/>
      <c r="F80" s="65"/>
      <c r="G80" s="65"/>
      <c r="H80" s="65"/>
      <c r="I80" s="65"/>
      <c r="J80" s="65"/>
      <c r="K80" s="65"/>
      <c r="L80" s="65"/>
      <c r="M80" s="65"/>
      <c r="N80" s="67"/>
    </row>
    <row r="81" spans="2:14" s="39" customFormat="1">
      <c r="B81" s="85"/>
      <c r="C81" s="66"/>
      <c r="D81" s="66"/>
      <c r="E81" s="66"/>
      <c r="F81" s="66"/>
      <c r="G81" s="66"/>
      <c r="H81" s="66"/>
      <c r="I81" s="66"/>
      <c r="J81" s="66"/>
      <c r="K81" s="66"/>
      <c r="L81" s="66"/>
      <c r="M81" s="66"/>
      <c r="N81" s="73"/>
    </row>
    <row r="82" spans="2:14" s="39" customFormat="1">
      <c r="B82" s="85"/>
      <c r="C82" s="66"/>
      <c r="D82" s="66"/>
      <c r="E82" s="66"/>
      <c r="F82" s="66"/>
      <c r="G82" s="66"/>
      <c r="H82" s="66"/>
      <c r="I82" s="66"/>
      <c r="J82" s="66"/>
      <c r="K82" s="66"/>
      <c r="L82" s="66"/>
      <c r="M82" s="66"/>
      <c r="N82" s="73"/>
    </row>
    <row r="83" spans="2:14" s="39" customFormat="1">
      <c r="B83" s="85"/>
      <c r="C83" s="66"/>
      <c r="D83" s="66"/>
      <c r="E83" s="66"/>
      <c r="F83" s="66"/>
      <c r="G83" s="71" t="s">
        <v>249</v>
      </c>
      <c r="H83" s="71"/>
      <c r="I83" s="71"/>
      <c r="J83" s="71"/>
      <c r="K83" s="66"/>
      <c r="L83" s="66"/>
      <c r="M83" s="66"/>
      <c r="N83" s="73"/>
    </row>
    <row r="84" spans="2:14" s="39" customFormat="1" ht="13.5">
      <c r="B84" s="123"/>
      <c r="C84" s="124"/>
      <c r="D84" s="124"/>
      <c r="E84" s="124"/>
      <c r="F84" s="124"/>
      <c r="G84" s="71" t="s">
        <v>250</v>
      </c>
      <c r="H84" s="124"/>
      <c r="I84" s="124"/>
      <c r="J84" s="124"/>
      <c r="K84" s="124"/>
      <c r="L84" s="124"/>
      <c r="M84" s="124"/>
      <c r="N84" s="125"/>
    </row>
    <row r="85" spans="2:14" s="39" customFormat="1" ht="13.5">
      <c r="B85" s="123"/>
      <c r="C85" s="124"/>
      <c r="D85" s="124"/>
      <c r="E85" s="124"/>
      <c r="F85" s="124"/>
      <c r="G85" s="71" t="s">
        <v>251</v>
      </c>
      <c r="J85" s="124"/>
      <c r="K85" s="124"/>
      <c r="L85" s="124"/>
      <c r="M85" s="124"/>
      <c r="N85" s="125"/>
    </row>
    <row r="86" spans="2:14" s="39" customFormat="1">
      <c r="B86" s="49"/>
      <c r="C86" s="81"/>
      <c r="D86" s="81"/>
      <c r="E86" s="81"/>
      <c r="F86" s="81"/>
      <c r="G86" s="71" t="s">
        <v>252</v>
      </c>
      <c r="H86" s="81"/>
      <c r="I86" s="81"/>
      <c r="J86" s="81"/>
      <c r="K86" s="81"/>
      <c r="L86" s="81"/>
      <c r="M86" s="81"/>
      <c r="N86" s="79"/>
    </row>
    <row r="87" spans="2:14" s="39" customFormat="1">
      <c r="B87" s="85"/>
      <c r="C87" s="66"/>
      <c r="D87" s="66"/>
      <c r="E87" s="66"/>
      <c r="F87" s="66"/>
      <c r="G87" s="66" t="s">
        <v>253</v>
      </c>
      <c r="H87" s="66"/>
      <c r="I87" s="66"/>
      <c r="J87" s="66"/>
      <c r="K87" s="66"/>
      <c r="L87" s="66"/>
      <c r="M87" s="66"/>
      <c r="N87" s="73"/>
    </row>
    <row r="88" spans="2:14" s="39" customFormat="1" ht="13.5">
      <c r="B88" s="92" t="s">
        <v>254</v>
      </c>
      <c r="C88" s="93"/>
      <c r="D88" s="93"/>
      <c r="E88" s="93"/>
      <c r="F88" s="93"/>
      <c r="G88" s="93"/>
      <c r="H88" s="93"/>
      <c r="I88" s="93"/>
      <c r="J88" s="93"/>
      <c r="K88" s="93"/>
      <c r="L88" s="93"/>
      <c r="M88" s="93"/>
      <c r="N88" s="94"/>
    </row>
    <row r="89" spans="2:14" s="39" customFormat="1">
      <c r="B89" s="1874"/>
      <c r="C89" s="1875"/>
      <c r="D89" s="1875"/>
      <c r="E89" s="1875"/>
      <c r="F89" s="1875"/>
      <c r="G89" s="1875"/>
      <c r="H89" s="1875"/>
      <c r="I89" s="1875"/>
      <c r="J89" s="1875"/>
      <c r="K89" s="1875"/>
      <c r="L89" s="1875"/>
      <c r="M89" s="1875"/>
      <c r="N89" s="1876"/>
    </row>
    <row r="90" spans="2:14" s="39" customFormat="1">
      <c r="B90" s="1874"/>
      <c r="C90" s="1875"/>
      <c r="D90" s="1875"/>
      <c r="E90" s="1875"/>
      <c r="F90" s="1875"/>
      <c r="G90" s="1875"/>
      <c r="H90" s="1875"/>
      <c r="I90" s="1875"/>
      <c r="J90" s="1875"/>
      <c r="K90" s="1875"/>
      <c r="L90" s="1875"/>
      <c r="M90" s="1875"/>
      <c r="N90" s="1876"/>
    </row>
    <row r="91" spans="2:14" s="39" customFormat="1">
      <c r="B91" s="49"/>
      <c r="C91" s="81"/>
      <c r="D91" s="81"/>
      <c r="E91" s="81"/>
      <c r="F91" s="81"/>
      <c r="G91" s="81"/>
      <c r="H91" s="81"/>
      <c r="I91" s="81"/>
      <c r="J91" s="81"/>
      <c r="K91" s="81"/>
      <c r="L91" s="81"/>
      <c r="M91" s="81"/>
      <c r="N91" s="79"/>
    </row>
    <row r="92" spans="2:14" s="39" customFormat="1">
      <c r="B92" s="406" t="s">
        <v>719</v>
      </c>
      <c r="C92" s="81"/>
      <c r="D92" s="81"/>
      <c r="E92" s="81"/>
      <c r="F92" s="81"/>
      <c r="G92" s="81"/>
      <c r="H92" s="81"/>
      <c r="I92" s="81"/>
      <c r="J92" s="81"/>
      <c r="K92" s="81"/>
      <c r="L92" s="81"/>
      <c r="M92" s="81"/>
      <c r="N92" s="79"/>
    </row>
    <row r="93" spans="2:14" s="39" customFormat="1" ht="12.75" customHeight="1">
      <c r="B93" s="1871" t="s">
        <v>720</v>
      </c>
      <c r="C93" s="1872"/>
      <c r="D93" s="1872"/>
      <c r="E93" s="1872"/>
      <c r="F93" s="1872"/>
      <c r="G93" s="1872"/>
      <c r="H93" s="1872"/>
      <c r="I93" s="1872"/>
      <c r="J93" s="1872"/>
      <c r="K93" s="1872"/>
      <c r="L93" s="1872"/>
      <c r="M93" s="1872"/>
      <c r="N93" s="1873"/>
    </row>
    <row r="94" spans="2:14" s="39" customFormat="1">
      <c r="B94" s="1871"/>
      <c r="C94" s="1872"/>
      <c r="D94" s="1872"/>
      <c r="E94" s="1872"/>
      <c r="F94" s="1872"/>
      <c r="G94" s="1872"/>
      <c r="H94" s="1872"/>
      <c r="I94" s="1872"/>
      <c r="J94" s="1872"/>
      <c r="K94" s="1872"/>
      <c r="L94" s="1872"/>
      <c r="M94" s="1872"/>
      <c r="N94" s="1873"/>
    </row>
    <row r="95" spans="2:14" s="39" customFormat="1">
      <c r="B95" s="1871" t="s">
        <v>721</v>
      </c>
      <c r="C95" s="1872"/>
      <c r="D95" s="1872"/>
      <c r="E95" s="1872"/>
      <c r="F95" s="1872"/>
      <c r="G95" s="1872"/>
      <c r="H95" s="1872"/>
      <c r="I95" s="1872"/>
      <c r="J95" s="1872"/>
      <c r="K95" s="1872"/>
      <c r="L95" s="1872"/>
      <c r="M95" s="1872"/>
      <c r="N95" s="1873"/>
    </row>
    <row r="96" spans="2:14" s="39" customFormat="1">
      <c r="B96" s="1871"/>
      <c r="C96" s="1872"/>
      <c r="D96" s="1872"/>
      <c r="E96" s="1872"/>
      <c r="F96" s="1872"/>
      <c r="G96" s="1872"/>
      <c r="H96" s="1872"/>
      <c r="I96" s="1872"/>
      <c r="J96" s="1872"/>
      <c r="K96" s="1872"/>
      <c r="L96" s="1872"/>
      <c r="M96" s="1872"/>
      <c r="N96" s="1873"/>
    </row>
    <row r="97" spans="2:14" s="39" customFormat="1">
      <c r="B97" s="49"/>
      <c r="C97" s="81"/>
      <c r="D97" s="81"/>
      <c r="E97" s="81"/>
      <c r="F97" s="81"/>
      <c r="G97" s="81"/>
      <c r="H97" s="81"/>
      <c r="I97" s="81"/>
      <c r="J97" s="81"/>
      <c r="K97" s="81"/>
      <c r="L97" s="81"/>
      <c r="M97" s="81"/>
      <c r="N97" s="79"/>
    </row>
    <row r="98" spans="2:14" s="39" customFormat="1">
      <c r="B98" s="85"/>
      <c r="C98" s="66"/>
      <c r="D98" s="66"/>
      <c r="E98" s="66"/>
      <c r="F98" s="66"/>
      <c r="G98" s="71" t="s">
        <v>249</v>
      </c>
      <c r="H98" s="66"/>
      <c r="I98" s="66"/>
      <c r="J98" s="66"/>
      <c r="K98" s="66"/>
      <c r="L98" s="66"/>
      <c r="M98" s="66"/>
      <c r="N98" s="73"/>
    </row>
    <row r="99" spans="2:14" s="39" customFormat="1">
      <c r="B99" s="85"/>
      <c r="C99" s="66"/>
      <c r="D99" s="66"/>
      <c r="E99" s="66"/>
      <c r="F99" s="66"/>
      <c r="G99" s="66" t="s">
        <v>250</v>
      </c>
      <c r="H99" s="86"/>
      <c r="I99" s="86"/>
      <c r="J99" s="86"/>
      <c r="K99" s="66"/>
      <c r="L99" s="66"/>
      <c r="M99" s="66"/>
      <c r="N99" s="73"/>
    </row>
    <row r="100" spans="2:14" s="39" customFormat="1">
      <c r="B100" s="85"/>
      <c r="C100" s="66"/>
      <c r="D100" s="66"/>
      <c r="E100" s="66"/>
      <c r="F100" s="66"/>
      <c r="G100" s="66" t="s">
        <v>255</v>
      </c>
      <c r="H100" s="80"/>
      <c r="I100" s="80"/>
      <c r="J100" s="80"/>
      <c r="M100" s="66"/>
      <c r="N100" s="73"/>
    </row>
    <row r="101" spans="2:14" s="39" customFormat="1">
      <c r="B101" s="127"/>
      <c r="C101" s="81"/>
      <c r="D101" s="81"/>
      <c r="E101" s="81"/>
      <c r="F101" s="81"/>
      <c r="G101" s="66" t="s">
        <v>252</v>
      </c>
      <c r="K101" s="81"/>
      <c r="L101" s="81"/>
      <c r="M101" s="81"/>
      <c r="N101" s="79"/>
    </row>
    <row r="102" spans="2:14" s="39" customFormat="1" ht="17.25" customHeight="1">
      <c r="B102" s="138" t="s">
        <v>722</v>
      </c>
      <c r="C102" s="128"/>
      <c r="D102" s="128"/>
      <c r="E102" s="66"/>
      <c r="F102" s="66"/>
      <c r="G102" s="66"/>
      <c r="H102" s="66"/>
      <c r="I102" s="66"/>
      <c r="J102" s="1863"/>
      <c r="K102" s="1863"/>
      <c r="L102" s="1863"/>
      <c r="M102" s="1863"/>
      <c r="N102" s="1864"/>
    </row>
    <row r="103" spans="2:14" s="39" customFormat="1" ht="18.75" customHeight="1" thickBot="1">
      <c r="B103" s="1867" t="s">
        <v>723</v>
      </c>
      <c r="C103" s="1868"/>
      <c r="D103" s="1868"/>
      <c r="E103" s="87"/>
      <c r="F103" s="87"/>
      <c r="G103" s="87"/>
      <c r="H103" s="87"/>
      <c r="I103" s="87"/>
      <c r="J103" s="1865"/>
      <c r="K103" s="1865"/>
      <c r="L103" s="1865"/>
      <c r="M103" s="1865"/>
      <c r="N103" s="1866"/>
    </row>
  </sheetData>
  <mergeCells count="97">
    <mergeCell ref="J102:N103"/>
    <mergeCell ref="B103:D103"/>
    <mergeCell ref="B64:H64"/>
    <mergeCell ref="L64:M64"/>
    <mergeCell ref="B51:M51"/>
    <mergeCell ref="B55:H55"/>
    <mergeCell ref="L55:M55"/>
    <mergeCell ref="B56:H56"/>
    <mergeCell ref="L56:M56"/>
    <mergeCell ref="B63:H63"/>
    <mergeCell ref="L63:M63"/>
    <mergeCell ref="B57:H57"/>
    <mergeCell ref="L57:M57"/>
    <mergeCell ref="B58:M58"/>
    <mergeCell ref="B62:H62"/>
    <mergeCell ref="L62:M62"/>
    <mergeCell ref="B52:N54"/>
    <mergeCell ref="B50:I50"/>
    <mergeCell ref="L50:M50"/>
    <mergeCell ref="I43:J43"/>
    <mergeCell ref="L43:M43"/>
    <mergeCell ref="B48:I48"/>
    <mergeCell ref="L48:M48"/>
    <mergeCell ref="B49:I49"/>
    <mergeCell ref="L49:M49"/>
    <mergeCell ref="B43:F43"/>
    <mergeCell ref="G43:H43"/>
    <mergeCell ref="B79:M79"/>
    <mergeCell ref="B89:N89"/>
    <mergeCell ref="B90:N90"/>
    <mergeCell ref="L39:M39"/>
    <mergeCell ref="B44:M44"/>
    <mergeCell ref="B40:F40"/>
    <mergeCell ref="G40:H40"/>
    <mergeCell ref="I40:J40"/>
    <mergeCell ref="L40:M40"/>
    <mergeCell ref="B41:F41"/>
    <mergeCell ref="G41:H41"/>
    <mergeCell ref="I41:J41"/>
    <mergeCell ref="L41:M41"/>
    <mergeCell ref="L42:M42"/>
    <mergeCell ref="B59:N61"/>
    <mergeCell ref="B45:N47"/>
    <mergeCell ref="B93:N94"/>
    <mergeCell ref="B95:N96"/>
    <mergeCell ref="L76:M76"/>
    <mergeCell ref="B65:H65"/>
    <mergeCell ref="L65:M65"/>
    <mergeCell ref="B66:H66"/>
    <mergeCell ref="L66:M66"/>
    <mergeCell ref="B67:M67"/>
    <mergeCell ref="B69:M69"/>
    <mergeCell ref="B73:H73"/>
    <mergeCell ref="L73:M73"/>
    <mergeCell ref="B74:H74"/>
    <mergeCell ref="L74:M74"/>
    <mergeCell ref="L75:M75"/>
    <mergeCell ref="B70:N72"/>
    <mergeCell ref="B77:M77"/>
    <mergeCell ref="B38:F38"/>
    <mergeCell ref="G38:H38"/>
    <mergeCell ref="I38:J38"/>
    <mergeCell ref="I39:J39"/>
    <mergeCell ref="B39:F39"/>
    <mergeCell ref="G39:H39"/>
    <mergeCell ref="L38:M38"/>
    <mergeCell ref="L34:M34"/>
    <mergeCell ref="C5:J5"/>
    <mergeCell ref="K6:K8"/>
    <mergeCell ref="L6:L8"/>
    <mergeCell ref="M6:M8"/>
    <mergeCell ref="L4:N5"/>
    <mergeCell ref="D25:M25"/>
    <mergeCell ref="E27:M27"/>
    <mergeCell ref="G29:M29"/>
    <mergeCell ref="C8:J8"/>
    <mergeCell ref="B31:N31"/>
    <mergeCell ref="B12:E12"/>
    <mergeCell ref="C33:K33"/>
    <mergeCell ref="C34:K34"/>
    <mergeCell ref="B35:N37"/>
    <mergeCell ref="N6:N8"/>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s>
  <pageMargins left="0.56999999999999995" right="0.39" top="1" bottom="1" header="0" footer="0"/>
  <pageSetup orientation="portrait"/>
  <headerFooter alignWithMargins="0"/>
  <drawing r:id="rId1"/>
  <legacyDrawing r:id="rId2"/>
  <oleObjects>
    <mc:AlternateContent xmlns:mc="http://schemas.openxmlformats.org/markup-compatibility/2006">
      <mc:Choice Requires="x14">
        <oleObject progId="PBrush" shapeId="19558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5585" r:id="rId3"/>
      </mc:Fallback>
    </mc:AlternateContent>
  </oleObjects>
  <mc:AlternateContent xmlns:mc="http://schemas.openxmlformats.org/markup-compatibility/2006">
    <mc:Choice Requires="x14">
      <controls>
        <mc:AlternateContent xmlns:mc="http://schemas.openxmlformats.org/markup-compatibility/2006">
          <mc:Choice Requires="x14">
            <control shapeId="19558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558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dimension ref="B1:N103"/>
  <sheetViews>
    <sheetView showGridLines="0" topLeftCell="A32" zoomScale="70" zoomScaleNormal="70"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thickBot="1">
      <c r="B34" s="176" t="s">
        <v>415</v>
      </c>
      <c r="C34" s="1885" t="s">
        <v>130</v>
      </c>
      <c r="D34" s="1887"/>
      <c r="E34" s="1887"/>
      <c r="F34" s="1887"/>
      <c r="G34" s="1887"/>
      <c r="H34" s="1887"/>
      <c r="I34" s="1887"/>
      <c r="J34" s="1887"/>
      <c r="K34" s="1886"/>
      <c r="L34" s="1885" t="s">
        <v>111</v>
      </c>
      <c r="M34" s="1886"/>
      <c r="N34" s="177">
        <v>8085</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489</v>
      </c>
      <c r="C39" s="1840"/>
      <c r="D39" s="1840"/>
      <c r="E39" s="1840"/>
      <c r="F39" s="1841"/>
      <c r="G39" s="1842"/>
      <c r="H39" s="1841"/>
      <c r="I39" s="1842"/>
      <c r="J39" s="1841"/>
      <c r="K39" s="88">
        <v>126000</v>
      </c>
      <c r="L39" s="1908">
        <v>25</v>
      </c>
      <c r="M39" s="1909"/>
      <c r="N39" s="89">
        <v>5040</v>
      </c>
    </row>
    <row r="40" spans="2:14">
      <c r="B40" s="1839" t="s">
        <v>58</v>
      </c>
      <c r="C40" s="1840"/>
      <c r="D40" s="1840"/>
      <c r="E40" s="1840"/>
      <c r="F40" s="1841"/>
      <c r="G40" s="1842"/>
      <c r="H40" s="1841"/>
      <c r="I40" s="1842"/>
      <c r="J40" s="1841"/>
      <c r="K40" s="88"/>
      <c r="L40" s="1908"/>
      <c r="M40" s="1909"/>
      <c r="N40" s="89">
        <v>36.207142857142856</v>
      </c>
    </row>
    <row r="41" spans="2:14" ht="13.5" thickBot="1">
      <c r="B41" s="1834"/>
      <c r="C41" s="1835"/>
      <c r="D41" s="1835"/>
      <c r="E41" s="1835"/>
      <c r="F41" s="1836"/>
      <c r="G41" s="1845"/>
      <c r="H41" s="1836"/>
      <c r="I41" s="1845"/>
      <c r="J41" s="1836"/>
      <c r="K41" s="88"/>
      <c r="L41" s="1906"/>
      <c r="M41" s="1907"/>
      <c r="N41" s="89"/>
    </row>
    <row r="42" spans="2:14" ht="14.25" thickBot="1">
      <c r="B42" s="1848" t="s">
        <v>188</v>
      </c>
      <c r="C42" s="1849"/>
      <c r="D42" s="1849"/>
      <c r="E42" s="1849"/>
      <c r="F42" s="1849"/>
      <c r="G42" s="1849"/>
      <c r="H42" s="1849"/>
      <c r="I42" s="1849"/>
      <c r="J42" s="1849"/>
      <c r="K42" s="1849"/>
      <c r="L42" s="1849"/>
      <c r="M42" s="1850"/>
      <c r="N42" s="91">
        <v>5076.2071428571426</v>
      </c>
    </row>
    <row r="43" spans="2:14">
      <c r="B43" s="1763" t="s">
        <v>189</v>
      </c>
      <c r="C43" s="1764"/>
      <c r="D43" s="1764"/>
      <c r="E43" s="1764"/>
      <c r="F43" s="1764"/>
      <c r="G43" s="1764"/>
      <c r="H43" s="1764"/>
      <c r="I43" s="1764"/>
      <c r="J43" s="1764"/>
      <c r="K43" s="1764"/>
      <c r="L43" s="1764"/>
      <c r="M43" s="1764"/>
      <c r="N43" s="1765"/>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c r="B47" s="1839"/>
      <c r="C47" s="1840"/>
      <c r="D47" s="1840"/>
      <c r="E47" s="1840"/>
      <c r="F47" s="1840"/>
      <c r="G47" s="1840"/>
      <c r="H47" s="1840"/>
      <c r="I47" s="1841"/>
      <c r="J47" s="397"/>
      <c r="K47" s="96"/>
      <c r="L47" s="1852"/>
      <c r="M47" s="1853"/>
      <c r="N47" s="89"/>
    </row>
    <row r="48" spans="2:14">
      <c r="B48" s="1839"/>
      <c r="C48" s="1840"/>
      <c r="D48" s="1840"/>
      <c r="E48" s="1840"/>
      <c r="F48" s="1840"/>
      <c r="G48" s="1840"/>
      <c r="H48" s="1840"/>
      <c r="I48" s="1841"/>
      <c r="J48" s="167"/>
      <c r="K48" s="132"/>
      <c r="L48" s="1852"/>
      <c r="M48" s="1853"/>
      <c r="N48" s="89"/>
    </row>
    <row r="49" spans="2:14" ht="13.5" thickBot="1">
      <c r="B49" s="1834"/>
      <c r="C49" s="1835"/>
      <c r="D49" s="1835"/>
      <c r="E49" s="1835"/>
      <c r="F49" s="1835"/>
      <c r="G49" s="1835"/>
      <c r="H49" s="1835"/>
      <c r="I49" s="1836"/>
      <c r="J49" s="126"/>
      <c r="K49" s="166"/>
      <c r="L49" s="1904"/>
      <c r="M49" s="1905"/>
      <c r="N49" s="89"/>
    </row>
    <row r="50" spans="2:14" ht="14.25" thickBot="1">
      <c r="B50" s="1848" t="s">
        <v>188</v>
      </c>
      <c r="C50" s="1849"/>
      <c r="D50" s="1849"/>
      <c r="E50" s="1849"/>
      <c r="F50" s="1849"/>
      <c r="G50" s="1849"/>
      <c r="H50" s="1849"/>
      <c r="I50" s="1849"/>
      <c r="J50" s="1849"/>
      <c r="K50" s="1849"/>
      <c r="L50" s="1849"/>
      <c r="M50" s="1850"/>
      <c r="N50" s="99">
        <v>0</v>
      </c>
    </row>
    <row r="51" spans="2:14">
      <c r="B51" s="1763" t="s">
        <v>51</v>
      </c>
      <c r="C51" s="1764"/>
      <c r="D51" s="1764"/>
      <c r="E51" s="1764"/>
      <c r="F51" s="1764"/>
      <c r="G51" s="1764"/>
      <c r="H51" s="1764"/>
      <c r="I51" s="1764"/>
      <c r="J51" s="1764"/>
      <c r="K51" s="1764"/>
      <c r="L51" s="1764"/>
      <c r="M51" s="1764"/>
      <c r="N51" s="1765"/>
    </row>
    <row r="52" spans="2:14">
      <c r="B52" s="1766"/>
      <c r="C52" s="1767"/>
      <c r="D52" s="1767"/>
      <c r="E52" s="1767"/>
      <c r="F52" s="1767"/>
      <c r="G52" s="1767"/>
      <c r="H52" s="1767"/>
      <c r="I52" s="1767"/>
      <c r="J52" s="1767"/>
      <c r="K52" s="1767"/>
      <c r="L52" s="1767"/>
      <c r="M52" s="1767"/>
      <c r="N52" s="1768"/>
    </row>
    <row r="53" spans="2:14" ht="13.5" thickBot="1">
      <c r="B53" s="1769"/>
      <c r="C53" s="1770"/>
      <c r="D53" s="1770"/>
      <c r="E53" s="1770"/>
      <c r="F53" s="1770"/>
      <c r="G53" s="1770"/>
      <c r="H53" s="1770"/>
      <c r="I53" s="1770"/>
      <c r="J53" s="1770"/>
      <c r="K53" s="1770"/>
      <c r="L53" s="1770"/>
      <c r="M53" s="1770"/>
      <c r="N53" s="1771"/>
    </row>
    <row r="54" spans="2:14" ht="13.5">
      <c r="B54" s="1826" t="s">
        <v>192</v>
      </c>
      <c r="C54" s="1851"/>
      <c r="D54" s="1851"/>
      <c r="E54" s="1851"/>
      <c r="F54" s="1851"/>
      <c r="G54" s="1851"/>
      <c r="H54" s="1851"/>
      <c r="I54" s="178" t="s">
        <v>193</v>
      </c>
      <c r="J54" s="181" t="s">
        <v>194</v>
      </c>
      <c r="K54" s="182" t="s">
        <v>310</v>
      </c>
      <c r="L54" s="1829" t="s">
        <v>39</v>
      </c>
      <c r="M54" s="1832"/>
      <c r="N54" s="179" t="s">
        <v>191</v>
      </c>
    </row>
    <row r="55" spans="2:14">
      <c r="B55" s="1839" t="s">
        <v>266</v>
      </c>
      <c r="C55" s="1840"/>
      <c r="D55" s="1840"/>
      <c r="E55" s="1840"/>
      <c r="F55" s="1840"/>
      <c r="G55" s="1840"/>
      <c r="H55" s="1841"/>
      <c r="I55" s="96">
        <v>1.3</v>
      </c>
      <c r="J55" s="133">
        <v>5</v>
      </c>
      <c r="K55" s="100">
        <v>6.5</v>
      </c>
      <c r="L55" s="1843">
        <v>852</v>
      </c>
      <c r="M55" s="1844"/>
      <c r="N55" s="135">
        <v>5538</v>
      </c>
    </row>
    <row r="56" spans="2:14">
      <c r="B56" s="1839"/>
      <c r="C56" s="1840"/>
      <c r="D56" s="1840"/>
      <c r="E56" s="1840"/>
      <c r="F56" s="1840"/>
      <c r="G56" s="1840"/>
      <c r="H56" s="1841"/>
      <c r="I56" s="96"/>
      <c r="J56" s="133"/>
      <c r="K56" s="100"/>
      <c r="L56" s="1843"/>
      <c r="M56" s="1844"/>
      <c r="N56" s="135"/>
    </row>
    <row r="57" spans="2:14" ht="13.5" thickBot="1">
      <c r="B57" s="1834"/>
      <c r="C57" s="1835"/>
      <c r="D57" s="1835"/>
      <c r="E57" s="1835"/>
      <c r="F57" s="1835"/>
      <c r="G57" s="1835"/>
      <c r="H57" s="1836"/>
      <c r="I57" s="165"/>
      <c r="J57" s="137"/>
      <c r="K57" s="100"/>
      <c r="L57" s="1837"/>
      <c r="M57" s="1838"/>
      <c r="N57" s="135"/>
    </row>
    <row r="58" spans="2:14" ht="14.25" thickBot="1">
      <c r="B58" s="1848" t="s">
        <v>188</v>
      </c>
      <c r="C58" s="1849"/>
      <c r="D58" s="1849"/>
      <c r="E58" s="1849"/>
      <c r="F58" s="1849"/>
      <c r="G58" s="1849"/>
      <c r="H58" s="1849"/>
      <c r="I58" s="1849"/>
      <c r="J58" s="1849"/>
      <c r="K58" s="1849"/>
      <c r="L58" s="1849"/>
      <c r="M58" s="1850"/>
      <c r="N58" s="112">
        <v>5538</v>
      </c>
    </row>
    <row r="59" spans="2:14">
      <c r="B59" s="1763" t="s">
        <v>52</v>
      </c>
      <c r="C59" s="1764"/>
      <c r="D59" s="1764"/>
      <c r="E59" s="1764"/>
      <c r="F59" s="1764"/>
      <c r="G59" s="1764"/>
      <c r="H59" s="1764"/>
      <c r="I59" s="1764"/>
      <c r="J59" s="1764"/>
      <c r="K59" s="1764"/>
      <c r="L59" s="1764"/>
      <c r="M59" s="1764"/>
      <c r="N59" s="1765"/>
    </row>
    <row r="60" spans="2:14">
      <c r="B60" s="1766"/>
      <c r="C60" s="1767"/>
      <c r="D60" s="1767"/>
      <c r="E60" s="1767"/>
      <c r="F60" s="1767"/>
      <c r="G60" s="1767"/>
      <c r="H60" s="1767"/>
      <c r="I60" s="1767"/>
      <c r="J60" s="1767"/>
      <c r="K60" s="1767"/>
      <c r="L60" s="1767"/>
      <c r="M60" s="1767"/>
      <c r="N60" s="1768"/>
    </row>
    <row r="61" spans="2:14" ht="13.5" thickBot="1">
      <c r="B61" s="1769"/>
      <c r="C61" s="1770"/>
      <c r="D61" s="1770"/>
      <c r="E61" s="1770"/>
      <c r="F61" s="1770"/>
      <c r="G61" s="1770"/>
      <c r="H61" s="1770"/>
      <c r="I61" s="1770"/>
      <c r="J61" s="1770"/>
      <c r="K61" s="1770"/>
      <c r="L61" s="1770"/>
      <c r="M61" s="1770"/>
      <c r="N61" s="1771"/>
    </row>
    <row r="62" spans="2:14" ht="13.5">
      <c r="B62" s="1826" t="s">
        <v>195</v>
      </c>
      <c r="C62" s="1851"/>
      <c r="D62" s="1851"/>
      <c r="E62" s="1851"/>
      <c r="F62" s="1851"/>
      <c r="G62" s="1851"/>
      <c r="H62" s="1851"/>
      <c r="I62" s="178" t="s">
        <v>196</v>
      </c>
      <c r="J62" s="181" t="s">
        <v>46</v>
      </c>
      <c r="K62" s="182" t="s">
        <v>197</v>
      </c>
      <c r="L62" s="1829" t="s">
        <v>186</v>
      </c>
      <c r="M62" s="1832"/>
      <c r="N62" s="179" t="s">
        <v>191</v>
      </c>
    </row>
    <row r="63" spans="2:14">
      <c r="B63" s="149" t="s">
        <v>61</v>
      </c>
      <c r="C63" s="150"/>
      <c r="D63" s="150"/>
      <c r="E63" s="150"/>
      <c r="F63" s="150"/>
      <c r="G63" s="150"/>
      <c r="H63" s="150"/>
      <c r="I63" s="107">
        <v>54800</v>
      </c>
      <c r="J63" s="108">
        <v>1.85</v>
      </c>
      <c r="K63" s="109">
        <v>101380</v>
      </c>
      <c r="L63" s="1861">
        <v>280</v>
      </c>
      <c r="M63" s="1862"/>
      <c r="N63" s="110">
        <v>362.07142857142856</v>
      </c>
    </row>
    <row r="64" spans="2:14">
      <c r="B64" s="149"/>
      <c r="C64" s="150"/>
      <c r="D64" s="150"/>
      <c r="E64" s="150"/>
      <c r="F64" s="150"/>
      <c r="G64" s="150"/>
      <c r="H64" s="150"/>
      <c r="I64" s="107"/>
      <c r="J64" s="108"/>
      <c r="K64" s="109"/>
      <c r="L64" s="1861"/>
      <c r="M64" s="1862"/>
      <c r="N64" s="110"/>
    </row>
    <row r="65" spans="2:14">
      <c r="B65" s="149"/>
      <c r="C65" s="150"/>
      <c r="D65" s="150"/>
      <c r="E65" s="150"/>
      <c r="F65" s="150"/>
      <c r="G65" s="150"/>
      <c r="H65" s="150"/>
      <c r="I65" s="107"/>
      <c r="J65" s="108"/>
      <c r="K65" s="109"/>
      <c r="L65" s="1859"/>
      <c r="M65" s="1860"/>
      <c r="N65" s="110"/>
    </row>
    <row r="66" spans="2:14" ht="13.5" thickBot="1">
      <c r="B66" s="1834"/>
      <c r="C66" s="1835"/>
      <c r="D66" s="1835"/>
      <c r="E66" s="1835"/>
      <c r="F66" s="1835"/>
      <c r="G66" s="1835"/>
      <c r="H66" s="1836"/>
      <c r="I66" s="102"/>
      <c r="J66" s="87"/>
      <c r="K66" s="102"/>
      <c r="L66" s="1837"/>
      <c r="M66" s="1838"/>
      <c r="N66" s="111"/>
    </row>
    <row r="67" spans="2:14" ht="14.25" thickBot="1">
      <c r="B67" s="1848" t="s">
        <v>188</v>
      </c>
      <c r="C67" s="1849"/>
      <c r="D67" s="1849"/>
      <c r="E67" s="1849"/>
      <c r="F67" s="1849"/>
      <c r="G67" s="1849"/>
      <c r="H67" s="1849"/>
      <c r="I67" s="1849"/>
      <c r="J67" s="1849"/>
      <c r="K67" s="1849"/>
      <c r="L67" s="1849"/>
      <c r="M67" s="1850"/>
      <c r="N67" s="112">
        <v>362.07142857142856</v>
      </c>
    </row>
    <row r="68" spans="2:14" ht="13.5" thickBot="1">
      <c r="B68" s="85"/>
      <c r="C68" s="66"/>
      <c r="D68" s="66"/>
      <c r="E68" s="66"/>
      <c r="F68" s="66"/>
      <c r="G68" s="66"/>
      <c r="H68" s="66"/>
      <c r="I68" s="66"/>
      <c r="J68" s="66"/>
      <c r="K68" s="66"/>
      <c r="L68" s="66"/>
      <c r="M68" s="66"/>
      <c r="N68" s="73"/>
    </row>
    <row r="69" spans="2:14" ht="13.5" thickBot="1">
      <c r="B69" s="1854" t="s">
        <v>198</v>
      </c>
      <c r="C69" s="1855"/>
      <c r="D69" s="1855"/>
      <c r="E69" s="1855"/>
      <c r="F69" s="1855"/>
      <c r="G69" s="1855"/>
      <c r="H69" s="1855"/>
      <c r="I69" s="1855"/>
      <c r="J69" s="1855"/>
      <c r="K69" s="1855"/>
      <c r="L69" s="1855"/>
      <c r="M69" s="1856"/>
      <c r="N69" s="186">
        <v>10976.278571428571</v>
      </c>
    </row>
    <row r="70" spans="2:14">
      <c r="B70" s="1763" t="s">
        <v>53</v>
      </c>
      <c r="C70" s="1764"/>
      <c r="D70" s="1764"/>
      <c r="E70" s="1764"/>
      <c r="F70" s="1764"/>
      <c r="G70" s="1764"/>
      <c r="H70" s="1764"/>
      <c r="I70" s="1764"/>
      <c r="J70" s="1764"/>
      <c r="K70" s="1764"/>
      <c r="L70" s="1764"/>
      <c r="M70" s="1764"/>
      <c r="N70" s="1765"/>
    </row>
    <row r="71" spans="2:14">
      <c r="B71" s="1766"/>
      <c r="C71" s="1767"/>
      <c r="D71" s="1767"/>
      <c r="E71" s="1767"/>
      <c r="F71" s="1767"/>
      <c r="G71" s="1767"/>
      <c r="H71" s="1767"/>
      <c r="I71" s="1767"/>
      <c r="J71" s="1767"/>
      <c r="K71" s="1767"/>
      <c r="L71" s="1767"/>
      <c r="M71" s="1767"/>
      <c r="N71" s="1768"/>
    </row>
    <row r="72" spans="2:14" ht="13.5" thickBot="1">
      <c r="B72" s="1769"/>
      <c r="C72" s="1770"/>
      <c r="D72" s="1770"/>
      <c r="E72" s="1770"/>
      <c r="F72" s="1770"/>
      <c r="G72" s="1770"/>
      <c r="H72" s="1770"/>
      <c r="I72" s="1770"/>
      <c r="J72" s="1770"/>
      <c r="K72" s="1770"/>
      <c r="L72" s="1770"/>
      <c r="M72" s="1770"/>
      <c r="N72" s="1771"/>
    </row>
    <row r="73" spans="2:14" ht="13.5">
      <c r="B73" s="1826" t="s">
        <v>50</v>
      </c>
      <c r="C73" s="1851"/>
      <c r="D73" s="1851"/>
      <c r="E73" s="1851"/>
      <c r="F73" s="1851"/>
      <c r="G73" s="1851"/>
      <c r="H73" s="1851"/>
      <c r="I73" s="181"/>
      <c r="J73" s="187"/>
      <c r="K73" s="184" t="s">
        <v>54</v>
      </c>
      <c r="L73" s="1857" t="s">
        <v>55</v>
      </c>
      <c r="M73" s="1858"/>
      <c r="N73" s="185"/>
    </row>
    <row r="74" spans="2:14">
      <c r="B74" s="1839" t="s">
        <v>44</v>
      </c>
      <c r="C74" s="1840"/>
      <c r="D74" s="1840"/>
      <c r="E74" s="1840"/>
      <c r="F74" s="1840"/>
      <c r="G74" s="1840"/>
      <c r="H74" s="1840"/>
      <c r="I74" s="113"/>
      <c r="J74" s="114"/>
      <c r="K74" s="192">
        <v>0.22</v>
      </c>
      <c r="L74" s="1877">
        <v>2414.7812857142858</v>
      </c>
      <c r="M74" s="1878"/>
      <c r="N74" s="115"/>
    </row>
    <row r="75" spans="2:14">
      <c r="B75" s="116" t="s">
        <v>56</v>
      </c>
      <c r="C75" s="117"/>
      <c r="D75" s="117"/>
      <c r="E75" s="117"/>
      <c r="F75" s="117"/>
      <c r="G75" s="117"/>
      <c r="H75" s="117"/>
      <c r="I75" s="113"/>
      <c r="J75" s="114"/>
      <c r="K75" s="192">
        <v>0.05</v>
      </c>
      <c r="L75" s="1877">
        <v>548.81392857142862</v>
      </c>
      <c r="M75" s="1878"/>
      <c r="N75" s="115"/>
    </row>
    <row r="76" spans="2:14" ht="13.5" thickBot="1">
      <c r="B76" s="118" t="s">
        <v>45</v>
      </c>
      <c r="C76" s="119"/>
      <c r="D76" s="119"/>
      <c r="E76" s="119"/>
      <c r="F76" s="119"/>
      <c r="G76" s="119"/>
      <c r="H76" s="119"/>
      <c r="I76" s="120"/>
      <c r="J76" s="121"/>
      <c r="K76" s="192">
        <v>0.05</v>
      </c>
      <c r="L76" s="1879">
        <v>548.81392857142862</v>
      </c>
      <c r="M76" s="1880"/>
      <c r="N76" s="115"/>
    </row>
    <row r="77" spans="2:14" ht="14.25" thickBot="1">
      <c r="B77" s="1848" t="s">
        <v>188</v>
      </c>
      <c r="C77" s="1849"/>
      <c r="D77" s="1849"/>
      <c r="E77" s="1849"/>
      <c r="F77" s="1849"/>
      <c r="G77" s="1849"/>
      <c r="H77" s="1849"/>
      <c r="I77" s="1849"/>
      <c r="J77" s="1849"/>
      <c r="K77" s="1849"/>
      <c r="L77" s="1849"/>
      <c r="M77" s="1850"/>
      <c r="N77" s="122">
        <v>3512.4091428571433</v>
      </c>
    </row>
    <row r="78" spans="2:14" ht="13.5" thickBot="1">
      <c r="B78" s="85"/>
      <c r="C78" s="66"/>
      <c r="D78" s="66"/>
      <c r="E78" s="66"/>
      <c r="F78" s="66"/>
      <c r="G78" s="66"/>
      <c r="H78" s="66"/>
      <c r="I78" s="66"/>
      <c r="J78" s="66"/>
      <c r="K78" s="66"/>
      <c r="L78" s="66"/>
      <c r="M78" s="66"/>
      <c r="N78" s="73"/>
    </row>
    <row r="79" spans="2:14" ht="13.5" thickBot="1">
      <c r="B79" s="1854" t="s">
        <v>199</v>
      </c>
      <c r="C79" s="1855"/>
      <c r="D79" s="1855"/>
      <c r="E79" s="1855"/>
      <c r="F79" s="1855"/>
      <c r="G79" s="1855"/>
      <c r="H79" s="1855"/>
      <c r="I79" s="1855"/>
      <c r="J79" s="1855"/>
      <c r="K79" s="1855"/>
      <c r="L79" s="1855"/>
      <c r="M79" s="1856"/>
      <c r="N79" s="188">
        <v>14489</v>
      </c>
    </row>
    <row r="80" spans="2:14">
      <c r="B80" s="64"/>
      <c r="C80" s="65"/>
      <c r="D80" s="65"/>
      <c r="E80" s="65"/>
      <c r="F80" s="65"/>
      <c r="G80" s="65"/>
      <c r="H80" s="65"/>
      <c r="I80" s="65"/>
      <c r="J80" s="65"/>
      <c r="K80" s="65"/>
      <c r="L80" s="65"/>
      <c r="M80" s="65"/>
      <c r="N80" s="67"/>
    </row>
    <row r="81" spans="2:14">
      <c r="B81" s="85"/>
      <c r="C81" s="66"/>
      <c r="D81" s="66"/>
      <c r="E81" s="66"/>
      <c r="F81" s="66"/>
      <c r="G81" s="66"/>
      <c r="H81" s="66"/>
      <c r="I81" s="66"/>
      <c r="J81" s="66"/>
      <c r="K81" s="66"/>
      <c r="L81" s="66"/>
      <c r="M81" s="66"/>
      <c r="N81" s="73"/>
    </row>
    <row r="82" spans="2:14">
      <c r="B82" s="85"/>
      <c r="C82" s="66"/>
      <c r="D82" s="66"/>
      <c r="E82" s="66"/>
      <c r="F82" s="66"/>
      <c r="G82" s="66"/>
      <c r="H82" s="66"/>
      <c r="I82" s="66"/>
      <c r="J82" s="66"/>
      <c r="K82" s="66"/>
      <c r="L82" s="66"/>
      <c r="M82" s="66"/>
      <c r="N82" s="73"/>
    </row>
    <row r="83" spans="2:14">
      <c r="B83" s="85"/>
      <c r="C83" s="66"/>
      <c r="D83" s="66"/>
      <c r="E83" s="66"/>
      <c r="F83" s="66"/>
      <c r="G83" s="71" t="s">
        <v>249</v>
      </c>
      <c r="H83" s="71"/>
      <c r="I83" s="71"/>
      <c r="J83" s="71"/>
      <c r="K83" s="66"/>
      <c r="L83" s="66"/>
      <c r="M83" s="66"/>
      <c r="N83" s="73"/>
    </row>
    <row r="84" spans="2:14" ht="13.5">
      <c r="B84" s="123"/>
      <c r="C84" s="124"/>
      <c r="D84" s="124"/>
      <c r="E84" s="124"/>
      <c r="F84" s="124"/>
      <c r="G84" s="71" t="s">
        <v>250</v>
      </c>
      <c r="H84" s="124"/>
      <c r="I84" s="124"/>
      <c r="J84" s="124"/>
      <c r="K84" s="124"/>
      <c r="L84" s="124"/>
      <c r="M84" s="124"/>
      <c r="N84" s="125"/>
    </row>
    <row r="85" spans="2:14" ht="13.5">
      <c r="B85" s="123"/>
      <c r="C85" s="124"/>
      <c r="D85" s="124"/>
      <c r="E85" s="124"/>
      <c r="F85" s="124"/>
      <c r="G85" s="71" t="s">
        <v>251</v>
      </c>
      <c r="J85" s="124"/>
      <c r="K85" s="124"/>
      <c r="L85" s="124"/>
      <c r="M85" s="124"/>
      <c r="N85" s="125"/>
    </row>
    <row r="86" spans="2:14">
      <c r="B86" s="49"/>
      <c r="C86" s="81"/>
      <c r="D86" s="81"/>
      <c r="E86" s="81"/>
      <c r="F86" s="81"/>
      <c r="G86" s="71" t="s">
        <v>252</v>
      </c>
      <c r="H86" s="81"/>
      <c r="I86" s="81"/>
      <c r="J86" s="81"/>
      <c r="K86" s="81"/>
      <c r="L86" s="81"/>
      <c r="M86" s="81"/>
      <c r="N86" s="79"/>
    </row>
    <row r="87" spans="2:14">
      <c r="B87" s="85"/>
      <c r="C87" s="66"/>
      <c r="D87" s="66"/>
      <c r="E87" s="66"/>
      <c r="F87" s="66"/>
      <c r="G87" s="66" t="s">
        <v>253</v>
      </c>
      <c r="H87" s="66"/>
      <c r="I87" s="66"/>
      <c r="J87" s="66"/>
      <c r="K87" s="66"/>
      <c r="L87" s="66"/>
      <c r="M87" s="66"/>
      <c r="N87" s="73"/>
    </row>
    <row r="88" spans="2:14" ht="13.5">
      <c r="B88" s="92" t="s">
        <v>254</v>
      </c>
      <c r="C88" s="93"/>
      <c r="D88" s="93"/>
      <c r="E88" s="93"/>
      <c r="F88" s="93"/>
      <c r="G88" s="93"/>
      <c r="H88" s="93"/>
      <c r="I88" s="93"/>
      <c r="J88" s="93"/>
      <c r="K88" s="93"/>
      <c r="L88" s="93"/>
      <c r="M88" s="93"/>
      <c r="N88" s="94"/>
    </row>
    <row r="89" spans="2:14">
      <c r="B89" s="1874"/>
      <c r="C89" s="1875"/>
      <c r="D89" s="1875"/>
      <c r="E89" s="1875"/>
      <c r="F89" s="1875"/>
      <c r="G89" s="1875"/>
      <c r="H89" s="1875"/>
      <c r="I89" s="1875"/>
      <c r="J89" s="1875"/>
      <c r="K89" s="1875"/>
      <c r="L89" s="1875"/>
      <c r="M89" s="1875"/>
      <c r="N89" s="1876"/>
    </row>
    <row r="90" spans="2:14">
      <c r="B90" s="1874"/>
      <c r="C90" s="1875"/>
      <c r="D90" s="1875"/>
      <c r="E90" s="1875"/>
      <c r="F90" s="1875"/>
      <c r="G90" s="1875"/>
      <c r="H90" s="1875"/>
      <c r="I90" s="1875"/>
      <c r="J90" s="1875"/>
      <c r="K90" s="1875"/>
      <c r="L90" s="1875"/>
      <c r="M90" s="1875"/>
      <c r="N90" s="1876"/>
    </row>
    <row r="91" spans="2:14">
      <c r="B91" s="49"/>
      <c r="C91" s="81"/>
      <c r="D91" s="81"/>
      <c r="E91" s="81"/>
      <c r="F91" s="81"/>
      <c r="G91" s="81"/>
      <c r="H91" s="81"/>
      <c r="I91" s="81"/>
      <c r="J91" s="81"/>
      <c r="K91" s="81"/>
      <c r="L91" s="81"/>
      <c r="M91" s="81"/>
      <c r="N91" s="79"/>
    </row>
    <row r="92" spans="2:14">
      <c r="B92" s="406" t="s">
        <v>719</v>
      </c>
      <c r="C92" s="81"/>
      <c r="D92" s="81"/>
      <c r="E92" s="81"/>
      <c r="F92" s="81"/>
      <c r="G92" s="81"/>
      <c r="H92" s="81"/>
      <c r="I92" s="81"/>
      <c r="J92" s="81"/>
      <c r="K92" s="81"/>
      <c r="L92" s="81"/>
      <c r="M92" s="81"/>
      <c r="N92" s="79"/>
    </row>
    <row r="93" spans="2:14" ht="12.75" customHeight="1">
      <c r="B93" s="1871" t="s">
        <v>720</v>
      </c>
      <c r="C93" s="1872"/>
      <c r="D93" s="1872"/>
      <c r="E93" s="1872"/>
      <c r="F93" s="1872"/>
      <c r="G93" s="1872"/>
      <c r="H93" s="1872"/>
      <c r="I93" s="1872"/>
      <c r="J93" s="1872"/>
      <c r="K93" s="1872"/>
      <c r="L93" s="1872"/>
      <c r="M93" s="1872"/>
      <c r="N93" s="1873"/>
    </row>
    <row r="94" spans="2:14">
      <c r="B94" s="1871"/>
      <c r="C94" s="1872"/>
      <c r="D94" s="1872"/>
      <c r="E94" s="1872"/>
      <c r="F94" s="1872"/>
      <c r="G94" s="1872"/>
      <c r="H94" s="1872"/>
      <c r="I94" s="1872"/>
      <c r="J94" s="1872"/>
      <c r="K94" s="1872"/>
      <c r="L94" s="1872"/>
      <c r="M94" s="1872"/>
      <c r="N94" s="1873"/>
    </row>
    <row r="95" spans="2:14">
      <c r="B95" s="1871" t="s">
        <v>721</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49"/>
      <c r="C97" s="81"/>
      <c r="D97" s="81"/>
      <c r="E97" s="81"/>
      <c r="F97" s="81"/>
      <c r="G97" s="81"/>
      <c r="H97" s="81"/>
      <c r="I97" s="81"/>
      <c r="J97" s="81"/>
      <c r="K97" s="81"/>
      <c r="L97" s="81"/>
      <c r="M97" s="81"/>
      <c r="N97" s="79"/>
    </row>
    <row r="98" spans="2:14">
      <c r="B98" s="85"/>
      <c r="C98" s="66"/>
      <c r="D98" s="66"/>
      <c r="E98" s="66"/>
      <c r="F98" s="66"/>
      <c r="G98" s="71" t="s">
        <v>249</v>
      </c>
      <c r="H98" s="66"/>
      <c r="I98" s="66"/>
      <c r="J98" s="66"/>
      <c r="K98" s="66"/>
      <c r="L98" s="66"/>
      <c r="M98" s="66"/>
      <c r="N98" s="73"/>
    </row>
    <row r="99" spans="2:14">
      <c r="B99" s="85"/>
      <c r="C99" s="66"/>
      <c r="D99" s="66"/>
      <c r="E99" s="66"/>
      <c r="F99" s="66"/>
      <c r="G99" s="66" t="s">
        <v>250</v>
      </c>
      <c r="H99" s="86"/>
      <c r="I99" s="86"/>
      <c r="J99" s="86"/>
      <c r="K99" s="66"/>
      <c r="L99" s="66"/>
      <c r="M99" s="66"/>
      <c r="N99" s="73"/>
    </row>
    <row r="100" spans="2:14">
      <c r="B100" s="85"/>
      <c r="C100" s="66"/>
      <c r="D100" s="66"/>
      <c r="E100" s="66"/>
      <c r="F100" s="66"/>
      <c r="G100" s="66" t="s">
        <v>255</v>
      </c>
      <c r="H100" s="80"/>
      <c r="I100" s="80"/>
      <c r="J100" s="80"/>
      <c r="M100" s="66"/>
      <c r="N100" s="73"/>
    </row>
    <row r="101" spans="2:14">
      <c r="B101" s="127"/>
      <c r="C101" s="81"/>
      <c r="D101" s="81"/>
      <c r="E101" s="81"/>
      <c r="F101" s="81"/>
      <c r="G101" s="66" t="s">
        <v>252</v>
      </c>
      <c r="K101" s="81"/>
      <c r="L101" s="81"/>
      <c r="M101" s="81"/>
      <c r="N101" s="79"/>
    </row>
    <row r="102" spans="2:14" ht="17.25" customHeight="1">
      <c r="B102" s="138" t="s">
        <v>722</v>
      </c>
      <c r="C102" s="128"/>
      <c r="D102" s="128"/>
      <c r="E102" s="66"/>
      <c r="F102" s="66"/>
      <c r="G102" s="66"/>
      <c r="H102" s="66"/>
      <c r="I102" s="66"/>
      <c r="J102" s="1863"/>
      <c r="K102" s="1863"/>
      <c r="L102" s="1863"/>
      <c r="M102" s="1863"/>
      <c r="N102" s="1864"/>
    </row>
    <row r="103" spans="2:14" ht="18.75" customHeight="1" thickBot="1">
      <c r="B103" s="1867" t="s">
        <v>723</v>
      </c>
      <c r="C103" s="1868"/>
      <c r="D103" s="1868"/>
      <c r="E103" s="87"/>
      <c r="F103" s="87"/>
      <c r="G103" s="87"/>
      <c r="H103" s="87"/>
      <c r="I103" s="87"/>
      <c r="J103" s="1865"/>
      <c r="K103" s="1865"/>
      <c r="L103" s="1865"/>
      <c r="M103" s="1865"/>
      <c r="N103" s="1866"/>
    </row>
  </sheetData>
  <mergeCells count="93">
    <mergeCell ref="J102:N103"/>
    <mergeCell ref="B103:D103"/>
    <mergeCell ref="B12:E12"/>
    <mergeCell ref="B93:N94"/>
    <mergeCell ref="B95:N96"/>
    <mergeCell ref="B51:N53"/>
    <mergeCell ref="D20:M21"/>
    <mergeCell ref="D23:M23"/>
    <mergeCell ref="D13:G13"/>
    <mergeCell ref="J13:M13"/>
    <mergeCell ref="L14:N14"/>
    <mergeCell ref="H19:M19"/>
    <mergeCell ref="D25:M25"/>
    <mergeCell ref="E27:M27"/>
    <mergeCell ref="G29:M29"/>
    <mergeCell ref="B31:N3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C33:K33"/>
    <mergeCell ref="L34:M34"/>
    <mergeCell ref="B38:F38"/>
    <mergeCell ref="G38:H38"/>
    <mergeCell ref="I38:J38"/>
    <mergeCell ref="L38:M38"/>
    <mergeCell ref="C34:K34"/>
    <mergeCell ref="B35:N37"/>
    <mergeCell ref="B41:F41"/>
    <mergeCell ref="G41:H41"/>
    <mergeCell ref="I41:J41"/>
    <mergeCell ref="L41:M41"/>
    <mergeCell ref="B39:F39"/>
    <mergeCell ref="G39:H39"/>
    <mergeCell ref="I39:J39"/>
    <mergeCell ref="L39:M39"/>
    <mergeCell ref="B40:F40"/>
    <mergeCell ref="G40:H40"/>
    <mergeCell ref="I40:J40"/>
    <mergeCell ref="L40:M40"/>
    <mergeCell ref="B42:M42"/>
    <mergeCell ref="B46:I46"/>
    <mergeCell ref="L46:M46"/>
    <mergeCell ref="B47:I47"/>
    <mergeCell ref="L47:M47"/>
    <mergeCell ref="B43:N45"/>
    <mergeCell ref="B48:I48"/>
    <mergeCell ref="L48:M48"/>
    <mergeCell ref="B49:I49"/>
    <mergeCell ref="L49:M49"/>
    <mergeCell ref="B50:M50"/>
    <mergeCell ref="B54:H54"/>
    <mergeCell ref="L54:M54"/>
    <mergeCell ref="B55:H55"/>
    <mergeCell ref="L55:M55"/>
    <mergeCell ref="B56:H56"/>
    <mergeCell ref="L56:M56"/>
    <mergeCell ref="B57:H57"/>
    <mergeCell ref="L57:M57"/>
    <mergeCell ref="B58:M58"/>
    <mergeCell ref="B62:H62"/>
    <mergeCell ref="L62:M62"/>
    <mergeCell ref="B59:N61"/>
    <mergeCell ref="L63:M63"/>
    <mergeCell ref="L64:M64"/>
    <mergeCell ref="L65:M65"/>
    <mergeCell ref="B66:H66"/>
    <mergeCell ref="L66:M66"/>
    <mergeCell ref="B67:M67"/>
    <mergeCell ref="B69:M69"/>
    <mergeCell ref="B73:H73"/>
    <mergeCell ref="L73:M73"/>
    <mergeCell ref="B74:H74"/>
    <mergeCell ref="L74:M74"/>
    <mergeCell ref="B70:N72"/>
    <mergeCell ref="B90:N90"/>
    <mergeCell ref="L75:M75"/>
    <mergeCell ref="L76:M76"/>
    <mergeCell ref="B77:M77"/>
    <mergeCell ref="B79:M79"/>
    <mergeCell ref="B89:N89"/>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02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2753" r:id="rId3"/>
      </mc:Fallback>
    </mc:AlternateContent>
  </oleObjects>
  <mc:AlternateContent xmlns:mc="http://schemas.openxmlformats.org/markup-compatibility/2006">
    <mc:Choice Requires="x14">
      <controls>
        <mc:AlternateContent xmlns:mc="http://schemas.openxmlformats.org/markup-compatibility/2006">
          <mc:Choice Requires="x14">
            <control shapeId="2027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27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7"/>
  <dimension ref="B1:N107"/>
  <sheetViews>
    <sheetView showGridLines="0" topLeftCell="E26" zoomScale="70" zoomScaleNormal="70" workbookViewId="0">
      <selection sqref="A1:XFD1048576"/>
    </sheetView>
  </sheetViews>
  <sheetFormatPr baseColWidth="10" defaultColWidth="11.42578125" defaultRowHeight="12.75"/>
  <cols>
    <col min="1" max="1" width="3.140625" style="39" customWidth="1"/>
    <col min="2" max="8" width="11.42578125" style="39"/>
    <col min="9" max="10" width="11.5703125" style="39" bestFit="1" customWidth="1"/>
    <col min="11" max="11" width="12.28515625" style="39" customWidth="1"/>
    <col min="12" max="12" width="11.5703125" style="39" bestFit="1" customWidth="1"/>
    <col min="13" max="13" width="11.42578125" style="39"/>
    <col min="14" max="14" width="11.85546875" style="39" bestFit="1"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ht="12.75" customHeight="1">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thickBot="1">
      <c r="B34" s="176" t="s">
        <v>416</v>
      </c>
      <c r="C34" s="1885" t="s">
        <v>153</v>
      </c>
      <c r="D34" s="1887"/>
      <c r="E34" s="1887"/>
      <c r="F34" s="1887"/>
      <c r="G34" s="1887"/>
      <c r="H34" s="1887"/>
      <c r="I34" s="1887"/>
      <c r="J34" s="1887"/>
      <c r="K34" s="1886"/>
      <c r="L34" s="1885" t="s">
        <v>111</v>
      </c>
      <c r="M34" s="1886"/>
      <c r="N34" s="177">
        <v>809</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546</v>
      </c>
      <c r="C39" s="1840"/>
      <c r="D39" s="1840"/>
      <c r="E39" s="1840"/>
      <c r="F39" s="1841"/>
      <c r="G39" s="1842"/>
      <c r="H39" s="1841"/>
      <c r="I39" s="1842"/>
      <c r="J39" s="1841"/>
      <c r="K39" s="88">
        <v>84000</v>
      </c>
      <c r="L39" s="1908">
        <v>10</v>
      </c>
      <c r="M39" s="1909"/>
      <c r="N39" s="89">
        <v>8400</v>
      </c>
    </row>
    <row r="40" spans="2:14">
      <c r="B40" s="1839" t="s">
        <v>489</v>
      </c>
      <c r="C40" s="1840"/>
      <c r="D40" s="1840"/>
      <c r="E40" s="1840"/>
      <c r="F40" s="1841"/>
      <c r="G40" s="1842"/>
      <c r="H40" s="1841"/>
      <c r="I40" s="1842"/>
      <c r="J40" s="1841"/>
      <c r="K40" s="88">
        <v>126000</v>
      </c>
      <c r="L40" s="1908">
        <v>50</v>
      </c>
      <c r="M40" s="1909"/>
      <c r="N40" s="89">
        <v>2520</v>
      </c>
    </row>
    <row r="41" spans="2:14">
      <c r="B41" s="1839" t="s">
        <v>77</v>
      </c>
      <c r="C41" s="1840"/>
      <c r="D41" s="1840"/>
      <c r="E41" s="1840"/>
      <c r="F41" s="1841"/>
      <c r="G41" s="1842"/>
      <c r="H41" s="1841"/>
      <c r="I41" s="1842"/>
      <c r="J41" s="1841"/>
      <c r="K41" s="88"/>
      <c r="L41" s="1908"/>
      <c r="M41" s="1909"/>
      <c r="N41" s="89">
        <v>173.49068750000004</v>
      </c>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11093.4906875</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5</v>
      </c>
      <c r="C48" s="1840"/>
      <c r="D48" s="1840"/>
      <c r="E48" s="1840"/>
      <c r="F48" s="1840"/>
      <c r="G48" s="1840"/>
      <c r="H48" s="1840"/>
      <c r="I48" s="1841"/>
      <c r="J48" s="131" t="s">
        <v>43</v>
      </c>
      <c r="K48" s="132">
        <v>0.4</v>
      </c>
      <c r="L48" s="1852">
        <v>11100</v>
      </c>
      <c r="M48" s="1853"/>
      <c r="N48" s="89">
        <v>4440</v>
      </c>
    </row>
    <row r="49" spans="2:14">
      <c r="B49" s="1839" t="s">
        <v>267</v>
      </c>
      <c r="C49" s="1840"/>
      <c r="D49" s="1840"/>
      <c r="E49" s="1840"/>
      <c r="F49" s="1840"/>
      <c r="G49" s="1840"/>
      <c r="H49" s="1840"/>
      <c r="I49" s="1841"/>
      <c r="J49" s="131" t="s">
        <v>32</v>
      </c>
      <c r="K49" s="132">
        <v>1</v>
      </c>
      <c r="L49" s="1852">
        <v>450</v>
      </c>
      <c r="M49" s="1853"/>
      <c r="N49" s="89">
        <v>450</v>
      </c>
    </row>
    <row r="50" spans="2:14">
      <c r="B50" s="1839" t="s">
        <v>67</v>
      </c>
      <c r="C50" s="1840"/>
      <c r="D50" s="1840"/>
      <c r="E50" s="1840"/>
      <c r="F50" s="1840"/>
      <c r="G50" s="1840"/>
      <c r="H50" s="1840"/>
      <c r="I50" s="1841"/>
      <c r="J50" s="131" t="s">
        <v>31</v>
      </c>
      <c r="K50" s="132">
        <v>0.5</v>
      </c>
      <c r="L50" s="1852">
        <v>954</v>
      </c>
      <c r="M50" s="1853"/>
      <c r="N50" s="89">
        <v>477</v>
      </c>
    </row>
    <row r="51" spans="2:14">
      <c r="B51" s="1839" t="s">
        <v>64</v>
      </c>
      <c r="C51" s="1840"/>
      <c r="D51" s="1840"/>
      <c r="E51" s="1840"/>
      <c r="F51" s="1840"/>
      <c r="G51" s="1840"/>
      <c r="H51" s="1840"/>
      <c r="I51" s="1841"/>
      <c r="J51" s="131" t="s">
        <v>31</v>
      </c>
      <c r="K51" s="132">
        <v>2</v>
      </c>
      <c r="L51" s="1852">
        <v>1900</v>
      </c>
      <c r="M51" s="1853"/>
      <c r="N51" s="89">
        <v>3800</v>
      </c>
    </row>
    <row r="52" spans="2:14">
      <c r="B52" s="1839" t="s">
        <v>149</v>
      </c>
      <c r="C52" s="1840"/>
      <c r="D52" s="1840"/>
      <c r="E52" s="1840"/>
      <c r="F52" s="1840"/>
      <c r="G52" s="1840"/>
      <c r="H52" s="1840"/>
      <c r="I52" s="1841"/>
      <c r="J52" s="95"/>
      <c r="K52" s="132"/>
      <c r="L52" s="1852"/>
      <c r="M52" s="1853"/>
      <c r="N52" s="89">
        <v>11000.4</v>
      </c>
    </row>
    <row r="53" spans="2:14" ht="13.5" thickBot="1">
      <c r="B53" s="1839"/>
      <c r="C53" s="1840"/>
      <c r="D53" s="1840"/>
      <c r="E53" s="1840"/>
      <c r="F53" s="1840"/>
      <c r="G53" s="1840"/>
      <c r="H53" s="1840"/>
      <c r="I53" s="1841"/>
      <c r="J53" s="397"/>
      <c r="K53" s="399"/>
      <c r="L53" s="1852"/>
      <c r="M53" s="1853"/>
      <c r="N53" s="89"/>
    </row>
    <row r="54" spans="2:14" ht="14.25" thickBot="1">
      <c r="B54" s="1848" t="s">
        <v>188</v>
      </c>
      <c r="C54" s="1849"/>
      <c r="D54" s="1849"/>
      <c r="E54" s="1849"/>
      <c r="F54" s="1849"/>
      <c r="G54" s="1849"/>
      <c r="H54" s="1849"/>
      <c r="I54" s="1849"/>
      <c r="J54" s="1849"/>
      <c r="K54" s="1849"/>
      <c r="L54" s="1849"/>
      <c r="M54" s="1850"/>
      <c r="N54" s="99">
        <v>20167.400000000001</v>
      </c>
    </row>
    <row r="55" spans="2:14">
      <c r="B55" s="1763" t="s">
        <v>51</v>
      </c>
      <c r="C55" s="1764"/>
      <c r="D55" s="1764"/>
      <c r="E55" s="1764"/>
      <c r="F55" s="1764"/>
      <c r="G55" s="1764"/>
      <c r="H55" s="1764"/>
      <c r="I55" s="1764"/>
      <c r="J55" s="1764"/>
      <c r="K55" s="1764"/>
      <c r="L55" s="1764"/>
      <c r="M55" s="1764"/>
      <c r="N55" s="1765"/>
    </row>
    <row r="56" spans="2:14">
      <c r="B56" s="1766"/>
      <c r="C56" s="1767"/>
      <c r="D56" s="1767"/>
      <c r="E56" s="1767"/>
      <c r="F56" s="1767"/>
      <c r="G56" s="1767"/>
      <c r="H56" s="1767"/>
      <c r="I56" s="1767"/>
      <c r="J56" s="1767"/>
      <c r="K56" s="1767"/>
      <c r="L56" s="1767"/>
      <c r="M56" s="1767"/>
      <c r="N56" s="1768"/>
    </row>
    <row r="57" spans="2:14" ht="13.5" thickBot="1">
      <c r="B57" s="1769"/>
      <c r="C57" s="1770"/>
      <c r="D57" s="1770"/>
      <c r="E57" s="1770"/>
      <c r="F57" s="1770"/>
      <c r="G57" s="1770"/>
      <c r="H57" s="1770"/>
      <c r="I57" s="1770"/>
      <c r="J57" s="1770"/>
      <c r="K57" s="1770"/>
      <c r="L57" s="1770"/>
      <c r="M57" s="1770"/>
      <c r="N57" s="1771"/>
    </row>
    <row r="58" spans="2:14" ht="13.5">
      <c r="B58" s="1826" t="s">
        <v>192</v>
      </c>
      <c r="C58" s="1851"/>
      <c r="D58" s="1851"/>
      <c r="E58" s="1851"/>
      <c r="F58" s="1851"/>
      <c r="G58" s="1851"/>
      <c r="H58" s="1851"/>
      <c r="I58" s="178" t="s">
        <v>193</v>
      </c>
      <c r="J58" s="181" t="s">
        <v>194</v>
      </c>
      <c r="K58" s="182" t="s">
        <v>310</v>
      </c>
      <c r="L58" s="1829" t="s">
        <v>39</v>
      </c>
      <c r="M58" s="1832"/>
      <c r="N58" s="179" t="s">
        <v>191</v>
      </c>
    </row>
    <row r="59" spans="2:14">
      <c r="B59" s="1839" t="s">
        <v>13</v>
      </c>
      <c r="C59" s="1840"/>
      <c r="D59" s="1840"/>
      <c r="E59" s="1840"/>
      <c r="F59" s="1840"/>
      <c r="G59" s="1840"/>
      <c r="H59" s="1840"/>
      <c r="I59" s="96">
        <v>1.4</v>
      </c>
      <c r="J59" s="133">
        <v>5</v>
      </c>
      <c r="K59" s="100">
        <v>7</v>
      </c>
      <c r="L59" s="1843">
        <v>852</v>
      </c>
      <c r="M59" s="1844"/>
      <c r="N59" s="135">
        <v>5964</v>
      </c>
    </row>
    <row r="60" spans="2:14">
      <c r="B60" s="1839"/>
      <c r="C60" s="1840"/>
      <c r="D60" s="1840"/>
      <c r="E60" s="1840"/>
      <c r="F60" s="1840"/>
      <c r="G60" s="1840"/>
      <c r="H60" s="1840"/>
      <c r="I60" s="96"/>
      <c r="J60" s="133"/>
      <c r="K60" s="100"/>
      <c r="L60" s="1843"/>
      <c r="M60" s="1844"/>
      <c r="N60" s="135"/>
    </row>
    <row r="61" spans="2:14" ht="13.5" thickBot="1">
      <c r="B61" s="1834"/>
      <c r="C61" s="1835"/>
      <c r="D61" s="1835"/>
      <c r="E61" s="1835"/>
      <c r="F61" s="1835"/>
      <c r="G61" s="1835"/>
      <c r="H61" s="1835"/>
      <c r="I61" s="165"/>
      <c r="J61" s="137"/>
      <c r="K61" s="100"/>
      <c r="L61" s="1837"/>
      <c r="M61" s="1838"/>
      <c r="N61" s="135"/>
    </row>
    <row r="62" spans="2:14" ht="14.25" thickBot="1">
      <c r="B62" s="1848" t="s">
        <v>188</v>
      </c>
      <c r="C62" s="1849"/>
      <c r="D62" s="1849"/>
      <c r="E62" s="1849"/>
      <c r="F62" s="1849"/>
      <c r="G62" s="1849"/>
      <c r="H62" s="1849"/>
      <c r="I62" s="1849"/>
      <c r="J62" s="1849"/>
      <c r="K62" s="1849"/>
      <c r="L62" s="1849"/>
      <c r="M62" s="1850"/>
      <c r="N62" s="112">
        <v>5964</v>
      </c>
    </row>
    <row r="63" spans="2:14">
      <c r="B63" s="1763" t="s">
        <v>52</v>
      </c>
      <c r="C63" s="1764"/>
      <c r="D63" s="1764"/>
      <c r="E63" s="1764"/>
      <c r="F63" s="1764"/>
      <c r="G63" s="1764"/>
      <c r="H63" s="1764"/>
      <c r="I63" s="1764"/>
      <c r="J63" s="1764"/>
      <c r="K63" s="1764"/>
      <c r="L63" s="1764"/>
      <c r="M63" s="1764"/>
      <c r="N63" s="1765"/>
    </row>
    <row r="64" spans="2:14">
      <c r="B64" s="1766"/>
      <c r="C64" s="1767"/>
      <c r="D64" s="1767"/>
      <c r="E64" s="1767"/>
      <c r="F64" s="1767"/>
      <c r="G64" s="1767"/>
      <c r="H64" s="1767"/>
      <c r="I64" s="1767"/>
      <c r="J64" s="1767"/>
      <c r="K64" s="1767"/>
      <c r="L64" s="1767"/>
      <c r="M64" s="1767"/>
      <c r="N64" s="1768"/>
    </row>
    <row r="65" spans="2:14" ht="13.5" thickBot="1">
      <c r="B65" s="1769"/>
      <c r="C65" s="1770"/>
      <c r="D65" s="1770"/>
      <c r="E65" s="1770"/>
      <c r="F65" s="1770"/>
      <c r="G65" s="1770"/>
      <c r="H65" s="1770"/>
      <c r="I65" s="1770"/>
      <c r="J65" s="1770"/>
      <c r="K65" s="1770"/>
      <c r="L65" s="1770"/>
      <c r="M65" s="1770"/>
      <c r="N65" s="1771"/>
    </row>
    <row r="66" spans="2:14" ht="13.5">
      <c r="B66" s="1826" t="s">
        <v>195</v>
      </c>
      <c r="C66" s="1851"/>
      <c r="D66" s="1851"/>
      <c r="E66" s="1851"/>
      <c r="F66" s="1851"/>
      <c r="G66" s="1851"/>
      <c r="H66" s="1851"/>
      <c r="I66" s="178" t="s">
        <v>196</v>
      </c>
      <c r="J66" s="181" t="s">
        <v>46</v>
      </c>
      <c r="K66" s="182" t="s">
        <v>197</v>
      </c>
      <c r="L66" s="1829" t="s">
        <v>186</v>
      </c>
      <c r="M66" s="1832"/>
      <c r="N66" s="179" t="s">
        <v>191</v>
      </c>
    </row>
    <row r="67" spans="2:14">
      <c r="B67" s="105" t="s">
        <v>63</v>
      </c>
      <c r="C67" s="106"/>
      <c r="D67" s="106"/>
      <c r="E67" s="106"/>
      <c r="F67" s="106"/>
      <c r="G67" s="106"/>
      <c r="H67" s="106"/>
      <c r="I67" s="107">
        <v>109600</v>
      </c>
      <c r="J67" s="108">
        <v>1.85</v>
      </c>
      <c r="K67" s="109">
        <v>202760</v>
      </c>
      <c r="L67" s="1861">
        <v>80</v>
      </c>
      <c r="M67" s="1862"/>
      <c r="N67" s="110">
        <v>2534.5</v>
      </c>
    </row>
    <row r="68" spans="2:14">
      <c r="B68" s="105" t="s">
        <v>48</v>
      </c>
      <c r="C68" s="106"/>
      <c r="D68" s="106"/>
      <c r="E68" s="106"/>
      <c r="F68" s="106"/>
      <c r="G68" s="106"/>
      <c r="H68" s="106"/>
      <c r="I68" s="107">
        <v>40446</v>
      </c>
      <c r="J68" s="108">
        <v>1.85</v>
      </c>
      <c r="K68" s="109">
        <v>74825.100000000006</v>
      </c>
      <c r="L68" s="1861">
        <v>80</v>
      </c>
      <c r="M68" s="1862"/>
      <c r="N68" s="110">
        <v>935.31375000000003</v>
      </c>
    </row>
    <row r="69" spans="2:14">
      <c r="B69" s="105"/>
      <c r="C69" s="106"/>
      <c r="D69" s="106"/>
      <c r="E69" s="106"/>
      <c r="F69" s="106"/>
      <c r="G69" s="106"/>
      <c r="H69" s="106"/>
      <c r="I69" s="107"/>
      <c r="J69" s="108"/>
      <c r="K69" s="109"/>
      <c r="L69" s="1859"/>
      <c r="M69" s="1860"/>
      <c r="N69" s="110"/>
    </row>
    <row r="70" spans="2:14" ht="13.5" thickBot="1">
      <c r="B70" s="1834"/>
      <c r="C70" s="1835"/>
      <c r="D70" s="1835"/>
      <c r="E70" s="1835"/>
      <c r="F70" s="1835"/>
      <c r="G70" s="1835"/>
      <c r="H70" s="1835"/>
      <c r="I70" s="102"/>
      <c r="J70" s="87"/>
      <c r="K70" s="102"/>
      <c r="L70" s="1837"/>
      <c r="M70" s="1838"/>
      <c r="N70" s="111"/>
    </row>
    <row r="71" spans="2:14" ht="14.25" thickBot="1">
      <c r="B71" s="1848" t="s">
        <v>188</v>
      </c>
      <c r="C71" s="1849"/>
      <c r="D71" s="1849"/>
      <c r="E71" s="1849"/>
      <c r="F71" s="1849"/>
      <c r="G71" s="1849"/>
      <c r="H71" s="1849"/>
      <c r="I71" s="1849"/>
      <c r="J71" s="1849"/>
      <c r="K71" s="1849"/>
      <c r="L71" s="1849"/>
      <c r="M71" s="1850"/>
      <c r="N71" s="112">
        <v>3469.8137500000003</v>
      </c>
    </row>
    <row r="72" spans="2:14" ht="13.5" thickBot="1">
      <c r="B72" s="85"/>
      <c r="C72" s="66"/>
      <c r="D72" s="66"/>
      <c r="E72" s="66"/>
      <c r="F72" s="66"/>
      <c r="G72" s="66"/>
      <c r="H72" s="66"/>
      <c r="I72" s="66"/>
      <c r="J72" s="66"/>
      <c r="K72" s="66"/>
      <c r="L72" s="66"/>
      <c r="M72" s="66"/>
      <c r="N72" s="73"/>
    </row>
    <row r="73" spans="2:14" ht="13.5" thickBot="1">
      <c r="B73" s="1854" t="s">
        <v>198</v>
      </c>
      <c r="C73" s="1855"/>
      <c r="D73" s="1855"/>
      <c r="E73" s="1855"/>
      <c r="F73" s="1855"/>
      <c r="G73" s="1855"/>
      <c r="H73" s="1855"/>
      <c r="I73" s="1855"/>
      <c r="J73" s="1855"/>
      <c r="K73" s="1855"/>
      <c r="L73" s="1855"/>
      <c r="M73" s="1856"/>
      <c r="N73" s="186">
        <v>40694.704437500004</v>
      </c>
    </row>
    <row r="74" spans="2:14">
      <c r="B74" s="1763" t="s">
        <v>53</v>
      </c>
      <c r="C74" s="1764"/>
      <c r="D74" s="1764"/>
      <c r="E74" s="1764"/>
      <c r="F74" s="1764"/>
      <c r="G74" s="1764"/>
      <c r="H74" s="1764"/>
      <c r="I74" s="1764"/>
      <c r="J74" s="1764"/>
      <c r="K74" s="1764"/>
      <c r="L74" s="1764"/>
      <c r="M74" s="1764"/>
      <c r="N74" s="1765"/>
    </row>
    <row r="75" spans="2:14">
      <c r="B75" s="1766"/>
      <c r="C75" s="1767"/>
      <c r="D75" s="1767"/>
      <c r="E75" s="1767"/>
      <c r="F75" s="1767"/>
      <c r="G75" s="1767"/>
      <c r="H75" s="1767"/>
      <c r="I75" s="1767"/>
      <c r="J75" s="1767"/>
      <c r="K75" s="1767"/>
      <c r="L75" s="1767"/>
      <c r="M75" s="1767"/>
      <c r="N75" s="1768"/>
    </row>
    <row r="76" spans="2:14" ht="13.5" thickBot="1">
      <c r="B76" s="1769"/>
      <c r="C76" s="1770"/>
      <c r="D76" s="1770"/>
      <c r="E76" s="1770"/>
      <c r="F76" s="1770"/>
      <c r="G76" s="1770"/>
      <c r="H76" s="1770"/>
      <c r="I76" s="1770"/>
      <c r="J76" s="1770"/>
      <c r="K76" s="1770"/>
      <c r="L76" s="1770"/>
      <c r="M76" s="1770"/>
      <c r="N76" s="1771"/>
    </row>
    <row r="77" spans="2:14" ht="13.5">
      <c r="B77" s="1826" t="s">
        <v>50</v>
      </c>
      <c r="C77" s="1851"/>
      <c r="D77" s="1851"/>
      <c r="E77" s="1851"/>
      <c r="F77" s="1851"/>
      <c r="G77" s="1851"/>
      <c r="H77" s="1851"/>
      <c r="I77" s="181"/>
      <c r="J77" s="187"/>
      <c r="K77" s="184" t="s">
        <v>54</v>
      </c>
      <c r="L77" s="1857" t="s">
        <v>55</v>
      </c>
      <c r="M77" s="1858"/>
      <c r="N77" s="185"/>
    </row>
    <row r="78" spans="2:14">
      <c r="B78" s="1839" t="s">
        <v>44</v>
      </c>
      <c r="C78" s="1840"/>
      <c r="D78" s="1840"/>
      <c r="E78" s="1840"/>
      <c r="F78" s="1840"/>
      <c r="G78" s="1840"/>
      <c r="H78" s="1840"/>
      <c r="I78" s="113"/>
      <c r="J78" s="114"/>
      <c r="K78" s="192">
        <v>0.22</v>
      </c>
      <c r="L78" s="1877">
        <v>8952.8349762500002</v>
      </c>
      <c r="M78" s="1878"/>
      <c r="N78" s="115"/>
    </row>
    <row r="79" spans="2:14">
      <c r="B79" s="116" t="s">
        <v>56</v>
      </c>
      <c r="C79" s="117"/>
      <c r="D79" s="117"/>
      <c r="E79" s="117"/>
      <c r="F79" s="117"/>
      <c r="G79" s="117"/>
      <c r="H79" s="117"/>
      <c r="I79" s="113"/>
      <c r="J79" s="114"/>
      <c r="K79" s="192">
        <v>0.05</v>
      </c>
      <c r="L79" s="1877">
        <v>2034.7352218750002</v>
      </c>
      <c r="M79" s="1878"/>
      <c r="N79" s="115"/>
    </row>
    <row r="80" spans="2:14" ht="13.5" thickBot="1">
      <c r="B80" s="118" t="s">
        <v>45</v>
      </c>
      <c r="C80" s="119"/>
      <c r="D80" s="119"/>
      <c r="E80" s="119"/>
      <c r="F80" s="119"/>
      <c r="G80" s="119"/>
      <c r="H80" s="119"/>
      <c r="I80" s="120"/>
      <c r="J80" s="121"/>
      <c r="K80" s="192">
        <v>0.05</v>
      </c>
      <c r="L80" s="1879">
        <v>2034.7352218750002</v>
      </c>
      <c r="M80" s="1880"/>
      <c r="N80" s="115"/>
    </row>
    <row r="81" spans="2:14" ht="14.25" thickBot="1">
      <c r="B81" s="1848" t="s">
        <v>188</v>
      </c>
      <c r="C81" s="1849"/>
      <c r="D81" s="1849"/>
      <c r="E81" s="1849"/>
      <c r="F81" s="1849"/>
      <c r="G81" s="1849"/>
      <c r="H81" s="1849"/>
      <c r="I81" s="1849"/>
      <c r="J81" s="1849"/>
      <c r="K81" s="1849"/>
      <c r="L81" s="1849"/>
      <c r="M81" s="1850"/>
      <c r="N81" s="122">
        <v>13022.305420000001</v>
      </c>
    </row>
    <row r="82" spans="2:14" ht="13.5" thickBot="1">
      <c r="B82" s="85"/>
      <c r="C82" s="66"/>
      <c r="D82" s="66"/>
      <c r="E82" s="66"/>
      <c r="F82" s="66"/>
      <c r="G82" s="66"/>
      <c r="H82" s="66"/>
      <c r="I82" s="66"/>
      <c r="J82" s="66"/>
      <c r="K82" s="66"/>
      <c r="L82" s="66"/>
      <c r="M82" s="66"/>
      <c r="N82" s="73"/>
    </row>
    <row r="83" spans="2:14" ht="13.5" thickBot="1">
      <c r="B83" s="1854" t="s">
        <v>199</v>
      </c>
      <c r="C83" s="1855"/>
      <c r="D83" s="1855"/>
      <c r="E83" s="1855"/>
      <c r="F83" s="1855"/>
      <c r="G83" s="1855"/>
      <c r="H83" s="1855"/>
      <c r="I83" s="1855"/>
      <c r="J83" s="1855"/>
      <c r="K83" s="1855"/>
      <c r="L83" s="1855"/>
      <c r="M83" s="1856"/>
      <c r="N83" s="188">
        <v>53717</v>
      </c>
    </row>
    <row r="84" spans="2:14">
      <c r="B84" s="64"/>
      <c r="C84" s="65"/>
      <c r="D84" s="65"/>
      <c r="E84" s="65"/>
      <c r="F84" s="65"/>
      <c r="G84" s="65"/>
      <c r="H84" s="65"/>
      <c r="I84" s="65"/>
      <c r="J84" s="65"/>
      <c r="K84" s="65"/>
      <c r="L84" s="65"/>
      <c r="M84" s="65"/>
      <c r="N84" s="67"/>
    </row>
    <row r="85" spans="2:14">
      <c r="B85" s="85"/>
      <c r="C85" s="66"/>
      <c r="D85" s="66"/>
      <c r="E85" s="66"/>
      <c r="F85" s="66"/>
      <c r="G85" s="66"/>
      <c r="H85" s="66"/>
      <c r="I85" s="66"/>
      <c r="J85" s="66"/>
      <c r="K85" s="66"/>
      <c r="L85" s="66"/>
      <c r="M85" s="66"/>
      <c r="N85" s="73"/>
    </row>
    <row r="86" spans="2:14">
      <c r="B86" s="85"/>
      <c r="C86" s="66"/>
      <c r="D86" s="66"/>
      <c r="E86" s="66"/>
      <c r="F86" s="66"/>
      <c r="G86" s="66"/>
      <c r="H86" s="66"/>
      <c r="I86" s="66"/>
      <c r="J86" s="66"/>
      <c r="K86" s="66"/>
      <c r="L86" s="66"/>
      <c r="M86" s="66"/>
      <c r="N86" s="73"/>
    </row>
    <row r="87" spans="2:14">
      <c r="B87" s="85"/>
      <c r="C87" s="66"/>
      <c r="D87" s="66"/>
      <c r="E87" s="66"/>
      <c r="F87" s="66"/>
      <c r="G87" s="71" t="s">
        <v>249</v>
      </c>
      <c r="H87" s="71"/>
      <c r="I87" s="71"/>
      <c r="J87" s="71"/>
      <c r="K87" s="66"/>
      <c r="L87" s="66"/>
      <c r="M87" s="66"/>
      <c r="N87" s="73"/>
    </row>
    <row r="88" spans="2:14" ht="13.5">
      <c r="B88" s="123"/>
      <c r="C88" s="124"/>
      <c r="D88" s="124"/>
      <c r="E88" s="124"/>
      <c r="F88" s="124"/>
      <c r="G88" s="71" t="s">
        <v>250</v>
      </c>
      <c r="H88" s="124"/>
      <c r="I88" s="124"/>
      <c r="J88" s="124"/>
      <c r="K88" s="124"/>
      <c r="L88" s="124"/>
      <c r="M88" s="124"/>
      <c r="N88" s="125"/>
    </row>
    <row r="89" spans="2:14" ht="13.5">
      <c r="B89" s="123"/>
      <c r="C89" s="124"/>
      <c r="D89" s="124"/>
      <c r="E89" s="124"/>
      <c r="F89" s="124"/>
      <c r="G89" s="71" t="s">
        <v>251</v>
      </c>
      <c r="J89" s="124"/>
      <c r="K89" s="124"/>
      <c r="L89" s="124"/>
      <c r="M89" s="124"/>
      <c r="N89" s="125"/>
    </row>
    <row r="90" spans="2:14">
      <c r="B90" s="49"/>
      <c r="C90" s="81"/>
      <c r="D90" s="81"/>
      <c r="E90" s="81"/>
      <c r="F90" s="81"/>
      <c r="G90" s="71" t="s">
        <v>252</v>
      </c>
      <c r="H90" s="81"/>
      <c r="I90" s="81"/>
      <c r="J90" s="81"/>
      <c r="K90" s="81"/>
      <c r="L90" s="81"/>
      <c r="M90" s="81"/>
      <c r="N90" s="79"/>
    </row>
    <row r="91" spans="2:14">
      <c r="B91" s="85"/>
      <c r="C91" s="66"/>
      <c r="D91" s="66"/>
      <c r="E91" s="66"/>
      <c r="F91" s="66"/>
      <c r="G91" s="66" t="s">
        <v>253</v>
      </c>
      <c r="H91" s="66"/>
      <c r="I91" s="66"/>
      <c r="J91" s="66"/>
      <c r="K91" s="66"/>
      <c r="L91" s="66"/>
      <c r="M91" s="66"/>
      <c r="N91" s="73"/>
    </row>
    <row r="92" spans="2:14" ht="13.5">
      <c r="B92" s="92" t="s">
        <v>254</v>
      </c>
      <c r="C92" s="93"/>
      <c r="D92" s="93"/>
      <c r="E92" s="93"/>
      <c r="F92" s="93"/>
      <c r="G92" s="93"/>
      <c r="H92" s="93"/>
      <c r="I92" s="93"/>
      <c r="J92" s="93"/>
      <c r="K92" s="93"/>
      <c r="L92" s="93"/>
      <c r="M92" s="93"/>
      <c r="N92" s="94"/>
    </row>
    <row r="93" spans="2:14">
      <c r="B93" s="1874"/>
      <c r="C93" s="1875"/>
      <c r="D93" s="1875"/>
      <c r="E93" s="1875"/>
      <c r="F93" s="1875"/>
      <c r="G93" s="1875"/>
      <c r="H93" s="1875"/>
      <c r="I93" s="1875"/>
      <c r="J93" s="1875"/>
      <c r="K93" s="1875"/>
      <c r="L93" s="1875"/>
      <c r="M93" s="1875"/>
      <c r="N93" s="1876"/>
    </row>
    <row r="94" spans="2:14">
      <c r="B94" s="1874"/>
      <c r="C94" s="1875"/>
      <c r="D94" s="1875"/>
      <c r="E94" s="1875"/>
      <c r="F94" s="1875"/>
      <c r="G94" s="1875"/>
      <c r="H94" s="1875"/>
      <c r="I94" s="1875"/>
      <c r="J94" s="1875"/>
      <c r="K94" s="1875"/>
      <c r="L94" s="1875"/>
      <c r="M94" s="1875"/>
      <c r="N94" s="1876"/>
    </row>
    <row r="95" spans="2:14">
      <c r="B95" s="49"/>
      <c r="C95" s="81"/>
      <c r="D95" s="81"/>
      <c r="E95" s="81"/>
      <c r="F95" s="81"/>
      <c r="G95" s="81"/>
      <c r="H95" s="81"/>
      <c r="I95" s="81"/>
      <c r="J95" s="81"/>
      <c r="K95" s="81"/>
      <c r="L95" s="81"/>
      <c r="M95" s="81"/>
      <c r="N95" s="79"/>
    </row>
    <row r="96" spans="2:14">
      <c r="B96" s="406" t="s">
        <v>719</v>
      </c>
      <c r="C96" s="81"/>
      <c r="D96" s="81"/>
      <c r="E96" s="81"/>
      <c r="F96" s="81"/>
      <c r="G96" s="81"/>
      <c r="H96" s="81"/>
      <c r="I96" s="81"/>
      <c r="J96" s="81"/>
      <c r="K96" s="81"/>
      <c r="L96" s="81"/>
      <c r="M96" s="81"/>
      <c r="N96" s="79"/>
    </row>
    <row r="97" spans="2:14" ht="12.75" customHeight="1">
      <c r="B97" s="1871" t="s">
        <v>720</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1871" t="s">
        <v>721</v>
      </c>
      <c r="C99" s="1872"/>
      <c r="D99" s="1872"/>
      <c r="E99" s="1872"/>
      <c r="F99" s="1872"/>
      <c r="G99" s="1872"/>
      <c r="H99" s="1872"/>
      <c r="I99" s="1872"/>
      <c r="J99" s="1872"/>
      <c r="K99" s="1872"/>
      <c r="L99" s="1872"/>
      <c r="M99" s="1872"/>
      <c r="N99" s="1873"/>
    </row>
    <row r="100" spans="2:14">
      <c r="B100" s="1871"/>
      <c r="C100" s="1872"/>
      <c r="D100" s="1872"/>
      <c r="E100" s="1872"/>
      <c r="F100" s="1872"/>
      <c r="G100" s="1872"/>
      <c r="H100" s="1872"/>
      <c r="I100" s="1872"/>
      <c r="J100" s="1872"/>
      <c r="K100" s="1872"/>
      <c r="L100" s="1872"/>
      <c r="M100" s="1872"/>
      <c r="N100" s="1873"/>
    </row>
    <row r="101" spans="2:14">
      <c r="B101" s="49"/>
      <c r="C101" s="81"/>
      <c r="D101" s="81"/>
      <c r="E101" s="81"/>
      <c r="F101" s="81"/>
      <c r="G101" s="81"/>
      <c r="H101" s="81"/>
      <c r="I101" s="81"/>
      <c r="J101" s="81"/>
      <c r="K101" s="81"/>
      <c r="L101" s="81"/>
      <c r="M101" s="81"/>
      <c r="N101" s="79"/>
    </row>
    <row r="102" spans="2:14">
      <c r="B102" s="85"/>
      <c r="C102" s="66"/>
      <c r="D102" s="66"/>
      <c r="E102" s="66"/>
      <c r="F102" s="66"/>
      <c r="G102" s="71" t="s">
        <v>249</v>
      </c>
      <c r="H102" s="66"/>
      <c r="I102" s="66"/>
      <c r="J102" s="66"/>
      <c r="K102" s="66"/>
      <c r="L102" s="66"/>
      <c r="M102" s="66"/>
      <c r="N102" s="73"/>
    </row>
    <row r="103" spans="2:14">
      <c r="B103" s="85"/>
      <c r="C103" s="66"/>
      <c r="D103" s="66"/>
      <c r="E103" s="66"/>
      <c r="F103" s="66"/>
      <c r="G103" s="66" t="s">
        <v>250</v>
      </c>
      <c r="H103" s="86"/>
      <c r="I103" s="86"/>
      <c r="J103" s="86"/>
      <c r="K103" s="66"/>
      <c r="L103" s="66"/>
      <c r="M103" s="66"/>
      <c r="N103" s="73"/>
    </row>
    <row r="104" spans="2:14">
      <c r="B104" s="85"/>
      <c r="C104" s="66"/>
      <c r="D104" s="66"/>
      <c r="E104" s="66"/>
      <c r="F104" s="66"/>
      <c r="G104" s="66" t="s">
        <v>255</v>
      </c>
      <c r="H104" s="80"/>
      <c r="I104" s="80"/>
      <c r="J104" s="80"/>
      <c r="M104" s="66"/>
      <c r="N104" s="73"/>
    </row>
    <row r="105" spans="2:14">
      <c r="B105" s="127"/>
      <c r="C105" s="81"/>
      <c r="D105" s="81"/>
      <c r="E105" s="81"/>
      <c r="F105" s="81"/>
      <c r="G105" s="66" t="s">
        <v>252</v>
      </c>
      <c r="K105" s="81"/>
      <c r="L105" s="81"/>
      <c r="M105" s="81"/>
      <c r="N105" s="79"/>
    </row>
    <row r="106" spans="2:14" ht="17.25" customHeight="1">
      <c r="B106" s="138" t="s">
        <v>722</v>
      </c>
      <c r="C106" s="128"/>
      <c r="D106" s="128"/>
      <c r="E106" s="66"/>
      <c r="F106" s="66"/>
      <c r="G106" s="66"/>
      <c r="H106" s="66"/>
      <c r="I106" s="66"/>
      <c r="J106" s="1863"/>
      <c r="K106" s="1863"/>
      <c r="L106" s="1863"/>
      <c r="M106" s="1863"/>
      <c r="N106" s="1864"/>
    </row>
    <row r="107" spans="2:14" ht="18.75" customHeight="1" thickBot="1">
      <c r="B107" s="1867" t="s">
        <v>723</v>
      </c>
      <c r="C107" s="1868"/>
      <c r="D107" s="1868"/>
      <c r="E107" s="87"/>
      <c r="F107" s="87"/>
      <c r="G107" s="87"/>
      <c r="H107" s="87"/>
      <c r="I107" s="87"/>
      <c r="J107" s="1865"/>
      <c r="K107" s="1865"/>
      <c r="L107" s="1865"/>
      <c r="M107" s="1865"/>
      <c r="N107" s="1866"/>
    </row>
  </sheetData>
  <mergeCells count="103">
    <mergeCell ref="J106:N107"/>
    <mergeCell ref="B107:D107"/>
    <mergeCell ref="B12:E12"/>
    <mergeCell ref="B97:N98"/>
    <mergeCell ref="B99:N100"/>
    <mergeCell ref="B44:N46"/>
    <mergeCell ref="B55:N57"/>
    <mergeCell ref="B74:N76"/>
    <mergeCell ref="B63:N65"/>
    <mergeCell ref="B51:I51"/>
    <mergeCell ref="L51:M51"/>
    <mergeCell ref="B52:I52"/>
    <mergeCell ref="L52:M52"/>
    <mergeCell ref="B47:I47"/>
    <mergeCell ref="B50:I50"/>
    <mergeCell ref="L50:M50"/>
    <mergeCell ref="B49:I49"/>
    <mergeCell ref="L49:M49"/>
    <mergeCell ref="B48:I48"/>
    <mergeCell ref="L48:M48"/>
    <mergeCell ref="B54:M54"/>
    <mergeCell ref="D20:M21"/>
    <mergeCell ref="D23:M23"/>
    <mergeCell ref="D13:G1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1:F41"/>
    <mergeCell ref="G41:H41"/>
    <mergeCell ref="I41:J41"/>
    <mergeCell ref="L41:M41"/>
    <mergeCell ref="B40:F40"/>
    <mergeCell ref="G40:H40"/>
    <mergeCell ref="I40:J40"/>
    <mergeCell ref="L40:M40"/>
    <mergeCell ref="B42:F42"/>
    <mergeCell ref="G42:H42"/>
    <mergeCell ref="I42:J42"/>
    <mergeCell ref="L42:M42"/>
    <mergeCell ref="B43:M43"/>
    <mergeCell ref="B58:H58"/>
    <mergeCell ref="L58:M58"/>
    <mergeCell ref="B59:H59"/>
    <mergeCell ref="L59:M59"/>
    <mergeCell ref="B53:I53"/>
    <mergeCell ref="L53:M53"/>
    <mergeCell ref="B60:H60"/>
    <mergeCell ref="L60:M60"/>
    <mergeCell ref="L47:M47"/>
    <mergeCell ref="B61:H61"/>
    <mergeCell ref="L61:M61"/>
    <mergeCell ref="B62:M62"/>
    <mergeCell ref="L77:M77"/>
    <mergeCell ref="B66:H66"/>
    <mergeCell ref="L66:M66"/>
    <mergeCell ref="L67:M67"/>
    <mergeCell ref="L68:M68"/>
    <mergeCell ref="L69:M69"/>
    <mergeCell ref="B83:M83"/>
    <mergeCell ref="B93:N93"/>
    <mergeCell ref="B94:N94"/>
    <mergeCell ref="B78:H78"/>
    <mergeCell ref="L78:M78"/>
    <mergeCell ref="L79:M79"/>
    <mergeCell ref="L80:M80"/>
    <mergeCell ref="B81:M81"/>
    <mergeCell ref="B70:H70"/>
    <mergeCell ref="L70:M70"/>
    <mergeCell ref="B71:M71"/>
    <mergeCell ref="B73:M73"/>
    <mergeCell ref="B77:H77"/>
  </mergeCells>
  <phoneticPr fontId="0" type="noConversion"/>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3777" r:id="rId4"/>
      </mc:Fallback>
    </mc:AlternateContent>
  </oleObjects>
  <mc:AlternateContent xmlns:mc="http://schemas.openxmlformats.org/markup-compatibility/2006">
    <mc:Choice Requires="x14">
      <controls>
        <mc:AlternateContent xmlns:mc="http://schemas.openxmlformats.org/markup-compatibility/2006">
          <mc:Choice Requires="x14">
            <control shapeId="203780" r:id="rId6"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3781" r:id="rId7"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8"/>
  <dimension ref="B1:N106"/>
  <sheetViews>
    <sheetView showGridLines="0" topLeftCell="A29" zoomScale="70" zoomScaleNormal="70" workbookViewId="0">
      <selection sqref="A1:XFD1048576"/>
    </sheetView>
  </sheetViews>
  <sheetFormatPr baseColWidth="10" defaultColWidth="11.42578125" defaultRowHeight="12.75"/>
  <cols>
    <col min="1" max="1" width="3.140625" style="32" customWidth="1"/>
    <col min="2" max="16384" width="11.42578125" style="32"/>
  </cols>
  <sheetData>
    <row r="1" spans="2:14" ht="13.5" thickBot="1"/>
    <row r="2" spans="2:14" s="39" customFormat="1">
      <c r="B2" s="1772"/>
      <c r="C2" s="1774"/>
      <c r="D2" s="1775"/>
      <c r="E2" s="1775"/>
      <c r="F2" s="1775"/>
      <c r="G2" s="1775"/>
      <c r="H2" s="1775"/>
      <c r="I2" s="1775"/>
      <c r="J2" s="1776"/>
      <c r="K2" s="1777" t="s">
        <v>228</v>
      </c>
      <c r="L2" s="1779" t="s">
        <v>716</v>
      </c>
      <c r="M2" s="1780"/>
      <c r="N2" s="1781"/>
    </row>
    <row r="3" spans="2:14" s="39" customFormat="1" ht="13.5">
      <c r="B3" s="1773"/>
      <c r="C3" s="1785" t="s">
        <v>69</v>
      </c>
      <c r="D3" s="1786"/>
      <c r="E3" s="1786"/>
      <c r="F3" s="1786"/>
      <c r="G3" s="1786"/>
      <c r="H3" s="1786"/>
      <c r="I3" s="1786"/>
      <c r="J3" s="1787"/>
      <c r="K3" s="1778"/>
      <c r="L3" s="1782"/>
      <c r="M3" s="1783"/>
      <c r="N3" s="1784"/>
    </row>
    <row r="4" spans="2:14" s="39" customFormat="1" ht="13.5">
      <c r="B4" s="1773"/>
      <c r="C4" s="1788" t="s">
        <v>303</v>
      </c>
      <c r="D4" s="1789"/>
      <c r="E4" s="1789"/>
      <c r="F4" s="1789"/>
      <c r="G4" s="1789"/>
      <c r="H4" s="1789"/>
      <c r="I4" s="1789"/>
      <c r="J4" s="1790"/>
      <c r="K4" s="1791" t="s">
        <v>230</v>
      </c>
      <c r="L4" s="1793">
        <v>2</v>
      </c>
      <c r="M4" s="1794"/>
      <c r="N4" s="1795"/>
    </row>
    <row r="5" spans="2:14" s="39" customFormat="1">
      <c r="B5" s="1773"/>
      <c r="C5" s="1799" t="s">
        <v>715</v>
      </c>
      <c r="D5" s="1800"/>
      <c r="E5" s="1800"/>
      <c r="F5" s="1800"/>
      <c r="G5" s="1800"/>
      <c r="H5" s="1800"/>
      <c r="I5" s="1800"/>
      <c r="J5" s="1801"/>
      <c r="K5" s="1792"/>
      <c r="L5" s="1796"/>
      <c r="M5" s="1797"/>
      <c r="N5" s="1798"/>
    </row>
    <row r="6" spans="2:14" s="39" customFormat="1" ht="12.75" customHeight="1">
      <c r="B6" s="1773"/>
      <c r="C6" s="1805" t="s">
        <v>304</v>
      </c>
      <c r="D6" s="1806"/>
      <c r="E6" s="1806"/>
      <c r="F6" s="1806"/>
      <c r="G6" s="1806"/>
      <c r="H6" s="1806"/>
      <c r="I6" s="1806"/>
      <c r="J6" s="1807"/>
      <c r="K6" s="1791" t="s">
        <v>232</v>
      </c>
      <c r="L6" s="1791">
        <v>1</v>
      </c>
      <c r="M6" s="1791" t="s">
        <v>233</v>
      </c>
      <c r="N6" s="1803">
        <v>1</v>
      </c>
    </row>
    <row r="7" spans="2:14" s="39" customFormat="1">
      <c r="B7" s="1773"/>
      <c r="C7" s="1805"/>
      <c r="D7" s="1806"/>
      <c r="E7" s="1806"/>
      <c r="F7" s="1806"/>
      <c r="G7" s="1806"/>
      <c r="H7" s="1806"/>
      <c r="I7" s="1806"/>
      <c r="J7" s="1807"/>
      <c r="K7" s="1802"/>
      <c r="L7" s="1802"/>
      <c r="M7" s="1802"/>
      <c r="N7" s="1804"/>
    </row>
    <row r="8" spans="2:14" s="39" customFormat="1">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I12" s="39"/>
      <c r="J12" s="403"/>
      <c r="K12" s="51"/>
      <c r="L12" s="39"/>
      <c r="M12" s="39"/>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thickBot="1">
      <c r="B34" s="176" t="s">
        <v>417</v>
      </c>
      <c r="C34" s="1885" t="s">
        <v>165</v>
      </c>
      <c r="D34" s="1887"/>
      <c r="E34" s="1887"/>
      <c r="F34" s="1887"/>
      <c r="G34" s="1887"/>
      <c r="H34" s="1887"/>
      <c r="I34" s="1887"/>
      <c r="J34" s="1887"/>
      <c r="K34" s="1886"/>
      <c r="L34" s="1885" t="s">
        <v>111</v>
      </c>
      <c r="M34" s="1886"/>
      <c r="N34" s="177">
        <v>5189</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489</v>
      </c>
      <c r="C39" s="1840"/>
      <c r="D39" s="1840"/>
      <c r="E39" s="1840"/>
      <c r="F39" s="1841"/>
      <c r="G39" s="1842"/>
      <c r="H39" s="1841"/>
      <c r="I39" s="1842"/>
      <c r="J39" s="1841"/>
      <c r="K39" s="88">
        <v>126000</v>
      </c>
      <c r="L39" s="1908">
        <v>30</v>
      </c>
      <c r="M39" s="1909"/>
      <c r="N39" s="89">
        <v>4200</v>
      </c>
    </row>
    <row r="40" spans="2:14">
      <c r="B40" s="1839" t="s">
        <v>208</v>
      </c>
      <c r="C40" s="1840"/>
      <c r="D40" s="1840"/>
      <c r="E40" s="1840"/>
      <c r="F40" s="1841"/>
      <c r="G40" s="1842"/>
      <c r="H40" s="1841"/>
      <c r="I40" s="1842"/>
      <c r="J40" s="1841"/>
      <c r="K40" s="88"/>
      <c r="L40" s="1908"/>
      <c r="M40" s="1909"/>
      <c r="N40" s="89">
        <v>4.2241666666666671</v>
      </c>
    </row>
    <row r="41" spans="2:14">
      <c r="B41" s="1839"/>
      <c r="C41" s="1840"/>
      <c r="D41" s="1840"/>
      <c r="E41" s="1840"/>
      <c r="F41" s="1841"/>
      <c r="G41" s="1842"/>
      <c r="H41" s="1841"/>
      <c r="I41" s="1842"/>
      <c r="J41" s="1841"/>
      <c r="K41" s="88"/>
      <c r="L41" s="1908"/>
      <c r="M41" s="1909"/>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4204.2241666666669</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c r="C48" s="1840"/>
      <c r="D48" s="1840"/>
      <c r="E48" s="1840"/>
      <c r="F48" s="1840"/>
      <c r="G48" s="1840"/>
      <c r="H48" s="1840"/>
      <c r="I48" s="1841"/>
      <c r="J48" s="397"/>
      <c r="K48" s="96"/>
      <c r="L48" s="1852"/>
      <c r="M48" s="1853"/>
      <c r="N48" s="89"/>
    </row>
    <row r="49" spans="2:14">
      <c r="B49" s="1839"/>
      <c r="C49" s="1840"/>
      <c r="D49" s="1840"/>
      <c r="E49" s="1840"/>
      <c r="F49" s="1840"/>
      <c r="G49" s="1840"/>
      <c r="H49" s="1840"/>
      <c r="I49" s="1841"/>
      <c r="J49" s="131"/>
      <c r="K49" s="132"/>
      <c r="L49" s="1852"/>
      <c r="M49" s="1853"/>
      <c r="N49" s="89"/>
    </row>
    <row r="50" spans="2:14">
      <c r="B50" s="1839"/>
      <c r="C50" s="1840"/>
      <c r="D50" s="1840"/>
      <c r="E50" s="1840"/>
      <c r="F50" s="1840"/>
      <c r="G50" s="1840"/>
      <c r="H50" s="1840"/>
      <c r="I50" s="1841"/>
      <c r="J50" s="131"/>
      <c r="K50" s="132"/>
      <c r="L50" s="1852"/>
      <c r="M50" s="1853"/>
      <c r="N50" s="89"/>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126"/>
      <c r="K52" s="166"/>
      <c r="L52" s="1852"/>
      <c r="M52" s="1853"/>
      <c r="N52" s="89"/>
    </row>
    <row r="53" spans="2:14" ht="14.25" thickBot="1">
      <c r="B53" s="1848" t="s">
        <v>188</v>
      </c>
      <c r="C53" s="1849"/>
      <c r="D53" s="1849"/>
      <c r="E53" s="1849"/>
      <c r="F53" s="1849"/>
      <c r="G53" s="1849"/>
      <c r="H53" s="1849"/>
      <c r="I53" s="1849"/>
      <c r="J53" s="1849"/>
      <c r="K53" s="1849"/>
      <c r="L53" s="1849"/>
      <c r="M53" s="1850"/>
      <c r="N53" s="99">
        <v>0</v>
      </c>
    </row>
    <row r="54" spans="2:14">
      <c r="B54" s="1763" t="s">
        <v>51</v>
      </c>
      <c r="C54" s="1764"/>
      <c r="D54" s="1764"/>
      <c r="E54" s="1764"/>
      <c r="F54" s="1764"/>
      <c r="G54" s="1764"/>
      <c r="H54" s="1764"/>
      <c r="I54" s="1764"/>
      <c r="J54" s="1764"/>
      <c r="K54" s="1764"/>
      <c r="L54" s="1764"/>
      <c r="M54" s="1764"/>
      <c r="N54" s="1765"/>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t="s">
        <v>13</v>
      </c>
      <c r="C58" s="1840"/>
      <c r="D58" s="1840"/>
      <c r="E58" s="1840"/>
      <c r="F58" s="1840"/>
      <c r="G58" s="1840"/>
      <c r="H58" s="1840"/>
      <c r="I58" s="96">
        <v>1.3</v>
      </c>
      <c r="J58" s="133">
        <v>5</v>
      </c>
      <c r="K58" s="100">
        <v>6.5</v>
      </c>
      <c r="L58" s="1843">
        <v>852</v>
      </c>
      <c r="M58" s="1844"/>
      <c r="N58" s="135">
        <v>5538</v>
      </c>
    </row>
    <row r="59" spans="2:14">
      <c r="B59" s="1839"/>
      <c r="C59" s="1840"/>
      <c r="D59" s="1840"/>
      <c r="E59" s="1840"/>
      <c r="F59" s="1840"/>
      <c r="G59" s="1840"/>
      <c r="H59" s="1840"/>
      <c r="I59" s="96"/>
      <c r="J59" s="133"/>
      <c r="K59" s="100"/>
      <c r="L59" s="1843"/>
      <c r="M59" s="1844"/>
      <c r="N59" s="135"/>
    </row>
    <row r="60" spans="2:14" ht="13.5" thickBot="1">
      <c r="B60" s="1834"/>
      <c r="C60" s="1835"/>
      <c r="D60" s="1835"/>
      <c r="E60" s="1835"/>
      <c r="F60" s="1835"/>
      <c r="G60" s="1835"/>
      <c r="H60" s="1835"/>
      <c r="I60" s="165"/>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5538</v>
      </c>
    </row>
    <row r="62" spans="2:14">
      <c r="B62" s="1763" t="s">
        <v>52</v>
      </c>
      <c r="C62" s="1764"/>
      <c r="D62" s="1764"/>
      <c r="E62" s="1764"/>
      <c r="F62" s="1764"/>
      <c r="G62" s="1764"/>
      <c r="H62" s="1764"/>
      <c r="I62" s="1764"/>
      <c r="J62" s="1764"/>
      <c r="K62" s="1764"/>
      <c r="L62" s="1764"/>
      <c r="M62" s="1764"/>
      <c r="N62" s="1765"/>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181" t="s">
        <v>46</v>
      </c>
      <c r="K65" s="182" t="s">
        <v>197</v>
      </c>
      <c r="L65" s="1829" t="s">
        <v>186</v>
      </c>
      <c r="M65" s="1832"/>
      <c r="N65" s="179" t="s">
        <v>191</v>
      </c>
    </row>
    <row r="66" spans="2:14">
      <c r="B66" s="149" t="s">
        <v>72</v>
      </c>
      <c r="C66" s="150"/>
      <c r="D66" s="150"/>
      <c r="E66" s="150"/>
      <c r="F66" s="150"/>
      <c r="G66" s="150"/>
      <c r="H66" s="150"/>
      <c r="I66" s="107">
        <v>27400</v>
      </c>
      <c r="J66" s="108">
        <v>1.85</v>
      </c>
      <c r="K66" s="109">
        <v>50690</v>
      </c>
      <c r="L66" s="1861">
        <v>240</v>
      </c>
      <c r="M66" s="1862"/>
      <c r="N66" s="110">
        <v>211.20833333333334</v>
      </c>
    </row>
    <row r="67" spans="2:14">
      <c r="B67" s="149"/>
      <c r="C67" s="150"/>
      <c r="D67" s="150"/>
      <c r="E67" s="150"/>
      <c r="F67" s="150"/>
      <c r="G67" s="150"/>
      <c r="H67" s="150"/>
      <c r="I67" s="107"/>
      <c r="J67" s="108"/>
      <c r="K67" s="109"/>
      <c r="L67" s="1861"/>
      <c r="M67" s="1862"/>
      <c r="N67" s="110"/>
    </row>
    <row r="68" spans="2:14">
      <c r="B68" s="149"/>
      <c r="C68" s="150"/>
      <c r="D68" s="150"/>
      <c r="E68" s="150"/>
      <c r="F68" s="150"/>
      <c r="G68" s="150"/>
      <c r="H68" s="150"/>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211.20833333333334</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9953.432499999999</v>
      </c>
    </row>
    <row r="73" spans="2:14">
      <c r="B73" s="1763" t="s">
        <v>53</v>
      </c>
      <c r="C73" s="1764"/>
      <c r="D73" s="1764"/>
      <c r="E73" s="1764"/>
      <c r="F73" s="1764"/>
      <c r="G73" s="1764"/>
      <c r="H73" s="1764"/>
      <c r="I73" s="1764"/>
      <c r="J73" s="1764"/>
      <c r="K73" s="1764"/>
      <c r="L73" s="1764"/>
      <c r="M73" s="1764"/>
      <c r="N73" s="1765"/>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181"/>
      <c r="J76" s="187"/>
      <c r="K76" s="184" t="s">
        <v>54</v>
      </c>
      <c r="L76" s="1857" t="s">
        <v>55</v>
      </c>
      <c r="M76" s="1858"/>
      <c r="N76" s="185"/>
    </row>
    <row r="77" spans="2:14">
      <c r="B77" s="1839" t="s">
        <v>44</v>
      </c>
      <c r="C77" s="1840"/>
      <c r="D77" s="1840"/>
      <c r="E77" s="1840"/>
      <c r="F77" s="1840"/>
      <c r="G77" s="1840"/>
      <c r="H77" s="1840"/>
      <c r="I77" s="113"/>
      <c r="J77" s="114"/>
      <c r="K77" s="192">
        <v>0.22</v>
      </c>
      <c r="L77" s="1877">
        <v>2189.75515</v>
      </c>
      <c r="M77" s="1878"/>
      <c r="N77" s="115"/>
    </row>
    <row r="78" spans="2:14">
      <c r="B78" s="116" t="s">
        <v>56</v>
      </c>
      <c r="C78" s="117"/>
      <c r="D78" s="117"/>
      <c r="E78" s="117"/>
      <c r="F78" s="117"/>
      <c r="G78" s="117"/>
      <c r="H78" s="117"/>
      <c r="I78" s="113"/>
      <c r="J78" s="114"/>
      <c r="K78" s="192">
        <v>0.05</v>
      </c>
      <c r="L78" s="1877">
        <v>497.67162499999995</v>
      </c>
      <c r="M78" s="1878"/>
      <c r="N78" s="115"/>
    </row>
    <row r="79" spans="2:14" ht="13.5" thickBot="1">
      <c r="B79" s="118" t="s">
        <v>45</v>
      </c>
      <c r="C79" s="119"/>
      <c r="D79" s="119"/>
      <c r="E79" s="119"/>
      <c r="F79" s="119"/>
      <c r="G79" s="119"/>
      <c r="H79" s="119"/>
      <c r="I79" s="120"/>
      <c r="J79" s="121"/>
      <c r="K79" s="192">
        <v>0.05</v>
      </c>
      <c r="L79" s="1879">
        <v>497.67162499999995</v>
      </c>
      <c r="M79" s="1880"/>
      <c r="N79" s="115"/>
    </row>
    <row r="80" spans="2:14" ht="14.25" thickBot="1">
      <c r="B80" s="1848" t="s">
        <v>188</v>
      </c>
      <c r="C80" s="1849"/>
      <c r="D80" s="1849"/>
      <c r="E80" s="1849"/>
      <c r="F80" s="1849"/>
      <c r="G80" s="1849"/>
      <c r="H80" s="1849"/>
      <c r="I80" s="1849"/>
      <c r="J80" s="1849"/>
      <c r="K80" s="1849"/>
      <c r="L80" s="1849"/>
      <c r="M80" s="1850"/>
      <c r="N80" s="122">
        <v>3185.0983999999999</v>
      </c>
    </row>
    <row r="81" spans="2:14" ht="13.5" thickBot="1">
      <c r="B81" s="85"/>
      <c r="C81" s="66"/>
      <c r="D81" s="66"/>
      <c r="E81" s="66"/>
      <c r="F81" s="66"/>
      <c r="G81" s="66"/>
      <c r="H81" s="66"/>
      <c r="I81" s="66"/>
      <c r="J81" s="66"/>
      <c r="K81" s="66"/>
      <c r="L81" s="66"/>
      <c r="M81" s="66"/>
      <c r="N81" s="73"/>
    </row>
    <row r="82" spans="2:14" ht="13.5" thickBot="1">
      <c r="B82" s="1854" t="s">
        <v>199</v>
      </c>
      <c r="C82" s="1855"/>
      <c r="D82" s="1855"/>
      <c r="E82" s="1855"/>
      <c r="F82" s="1855"/>
      <c r="G82" s="1855"/>
      <c r="H82" s="1855"/>
      <c r="I82" s="1855"/>
      <c r="J82" s="1855"/>
      <c r="K82" s="1855"/>
      <c r="L82" s="1855"/>
      <c r="M82" s="1856"/>
      <c r="N82" s="188">
        <v>13139</v>
      </c>
    </row>
    <row r="83" spans="2:14" s="39" customFormat="1">
      <c r="B83" s="64"/>
      <c r="C83" s="65"/>
      <c r="D83" s="65"/>
      <c r="E83" s="65"/>
      <c r="F83" s="65"/>
      <c r="G83" s="65"/>
      <c r="H83" s="65"/>
      <c r="I83" s="65"/>
      <c r="J83" s="65"/>
      <c r="K83" s="65"/>
      <c r="L83" s="65"/>
      <c r="M83" s="65"/>
      <c r="N83" s="67"/>
    </row>
    <row r="84" spans="2:14" s="39" customFormat="1">
      <c r="B84" s="85"/>
      <c r="C84" s="66"/>
      <c r="D84" s="66"/>
      <c r="E84" s="66"/>
      <c r="F84" s="66"/>
      <c r="G84" s="66"/>
      <c r="H84" s="66"/>
      <c r="I84" s="66"/>
      <c r="J84" s="66"/>
      <c r="K84" s="66"/>
      <c r="L84" s="66"/>
      <c r="M84" s="66"/>
      <c r="N84" s="73"/>
    </row>
    <row r="85" spans="2:14" s="39" customFormat="1">
      <c r="B85" s="85"/>
      <c r="C85" s="66"/>
      <c r="D85" s="66"/>
      <c r="E85" s="66"/>
      <c r="F85" s="66"/>
      <c r="G85" s="66"/>
      <c r="H85" s="66"/>
      <c r="I85" s="66"/>
      <c r="J85" s="66"/>
      <c r="K85" s="66"/>
      <c r="L85" s="66"/>
      <c r="M85" s="66"/>
      <c r="N85" s="73"/>
    </row>
    <row r="86" spans="2:14" s="39" customFormat="1">
      <c r="B86" s="85"/>
      <c r="C86" s="66"/>
      <c r="D86" s="66"/>
      <c r="E86" s="66"/>
      <c r="F86" s="66"/>
      <c r="G86" s="71" t="s">
        <v>249</v>
      </c>
      <c r="H86" s="71"/>
      <c r="I86" s="71"/>
      <c r="J86" s="71"/>
      <c r="K86" s="66"/>
      <c r="L86" s="66"/>
      <c r="M86" s="66"/>
      <c r="N86" s="73"/>
    </row>
    <row r="87" spans="2:14" s="39" customFormat="1" ht="13.5">
      <c r="B87" s="123"/>
      <c r="C87" s="124"/>
      <c r="D87" s="124"/>
      <c r="E87" s="124"/>
      <c r="F87" s="124"/>
      <c r="G87" s="71" t="s">
        <v>250</v>
      </c>
      <c r="H87" s="124"/>
      <c r="I87" s="124"/>
      <c r="J87" s="124"/>
      <c r="K87" s="124"/>
      <c r="L87" s="124"/>
      <c r="M87" s="124"/>
      <c r="N87" s="125"/>
    </row>
    <row r="88" spans="2:14" s="39" customFormat="1" ht="13.5">
      <c r="B88" s="123"/>
      <c r="C88" s="124"/>
      <c r="D88" s="124"/>
      <c r="E88" s="124"/>
      <c r="F88" s="124"/>
      <c r="G88" s="71" t="s">
        <v>251</v>
      </c>
      <c r="J88" s="124"/>
      <c r="K88" s="124"/>
      <c r="L88" s="124"/>
      <c r="M88" s="124"/>
      <c r="N88" s="125"/>
    </row>
    <row r="89" spans="2:14" s="39" customFormat="1">
      <c r="B89" s="49"/>
      <c r="C89" s="81"/>
      <c r="D89" s="81"/>
      <c r="E89" s="81"/>
      <c r="F89" s="81"/>
      <c r="G89" s="71" t="s">
        <v>252</v>
      </c>
      <c r="H89" s="81"/>
      <c r="I89" s="81"/>
      <c r="J89" s="81"/>
      <c r="K89" s="81"/>
      <c r="L89" s="81"/>
      <c r="M89" s="81"/>
      <c r="N89" s="79"/>
    </row>
    <row r="90" spans="2:14" s="39" customFormat="1">
      <c r="B90" s="85"/>
      <c r="C90" s="66"/>
      <c r="D90" s="66"/>
      <c r="E90" s="66"/>
      <c r="F90" s="66"/>
      <c r="G90" s="66" t="s">
        <v>253</v>
      </c>
      <c r="H90" s="66"/>
      <c r="I90" s="66"/>
      <c r="J90" s="66"/>
      <c r="K90" s="66"/>
      <c r="L90" s="66"/>
      <c r="M90" s="66"/>
      <c r="N90" s="73"/>
    </row>
    <row r="91" spans="2:14" s="39" customFormat="1" ht="13.5">
      <c r="B91" s="92" t="s">
        <v>254</v>
      </c>
      <c r="C91" s="93"/>
      <c r="D91" s="93"/>
      <c r="E91" s="93"/>
      <c r="F91" s="93"/>
      <c r="G91" s="93"/>
      <c r="H91" s="93"/>
      <c r="I91" s="93"/>
      <c r="J91" s="93"/>
      <c r="K91" s="93"/>
      <c r="L91" s="93"/>
      <c r="M91" s="93"/>
      <c r="N91" s="94"/>
    </row>
    <row r="92" spans="2:14" s="39" customFormat="1">
      <c r="B92" s="1874"/>
      <c r="C92" s="1875"/>
      <c r="D92" s="1875"/>
      <c r="E92" s="1875"/>
      <c r="F92" s="1875"/>
      <c r="G92" s="1875"/>
      <c r="H92" s="1875"/>
      <c r="I92" s="1875"/>
      <c r="J92" s="1875"/>
      <c r="K92" s="1875"/>
      <c r="L92" s="1875"/>
      <c r="M92" s="1875"/>
      <c r="N92" s="1876"/>
    </row>
    <row r="93" spans="2:14" s="39" customFormat="1">
      <c r="B93" s="1874"/>
      <c r="C93" s="1875"/>
      <c r="D93" s="1875"/>
      <c r="E93" s="1875"/>
      <c r="F93" s="1875"/>
      <c r="G93" s="1875"/>
      <c r="H93" s="1875"/>
      <c r="I93" s="1875"/>
      <c r="J93" s="1875"/>
      <c r="K93" s="1875"/>
      <c r="L93" s="1875"/>
      <c r="M93" s="1875"/>
      <c r="N93" s="1876"/>
    </row>
    <row r="94" spans="2:14" s="39" customFormat="1">
      <c r="B94" s="49"/>
      <c r="C94" s="81"/>
      <c r="D94" s="81"/>
      <c r="E94" s="81"/>
      <c r="F94" s="81"/>
      <c r="G94" s="81"/>
      <c r="H94" s="81"/>
      <c r="I94" s="81"/>
      <c r="J94" s="81"/>
      <c r="K94" s="81"/>
      <c r="L94" s="81"/>
      <c r="M94" s="81"/>
      <c r="N94" s="79"/>
    </row>
    <row r="95" spans="2:14" s="39" customFormat="1">
      <c r="B95" s="406" t="s">
        <v>719</v>
      </c>
      <c r="C95" s="81"/>
      <c r="D95" s="81"/>
      <c r="E95" s="81"/>
      <c r="F95" s="81"/>
      <c r="G95" s="81"/>
      <c r="H95" s="81"/>
      <c r="I95" s="81"/>
      <c r="J95" s="81"/>
      <c r="K95" s="81"/>
      <c r="L95" s="81"/>
      <c r="M95" s="81"/>
      <c r="N95" s="79"/>
    </row>
    <row r="96" spans="2:14" s="39" customFormat="1" ht="12.75" customHeight="1">
      <c r="B96" s="1871" t="s">
        <v>720</v>
      </c>
      <c r="C96" s="1872"/>
      <c r="D96" s="1872"/>
      <c r="E96" s="1872"/>
      <c r="F96" s="1872"/>
      <c r="G96" s="1872"/>
      <c r="H96" s="1872"/>
      <c r="I96" s="1872"/>
      <c r="J96" s="1872"/>
      <c r="K96" s="1872"/>
      <c r="L96" s="1872"/>
      <c r="M96" s="1872"/>
      <c r="N96" s="1873"/>
    </row>
    <row r="97" spans="2:14" s="39" customFormat="1">
      <c r="B97" s="1871"/>
      <c r="C97" s="1872"/>
      <c r="D97" s="1872"/>
      <c r="E97" s="1872"/>
      <c r="F97" s="1872"/>
      <c r="G97" s="1872"/>
      <c r="H97" s="1872"/>
      <c r="I97" s="1872"/>
      <c r="J97" s="1872"/>
      <c r="K97" s="1872"/>
      <c r="L97" s="1872"/>
      <c r="M97" s="1872"/>
      <c r="N97" s="1873"/>
    </row>
    <row r="98" spans="2:14" s="39" customFormat="1">
      <c r="B98" s="1871" t="s">
        <v>721</v>
      </c>
      <c r="C98" s="1872"/>
      <c r="D98" s="1872"/>
      <c r="E98" s="1872"/>
      <c r="F98" s="1872"/>
      <c r="G98" s="1872"/>
      <c r="H98" s="1872"/>
      <c r="I98" s="1872"/>
      <c r="J98" s="1872"/>
      <c r="K98" s="1872"/>
      <c r="L98" s="1872"/>
      <c r="M98" s="1872"/>
      <c r="N98" s="1873"/>
    </row>
    <row r="99" spans="2:14" s="39" customFormat="1">
      <c r="B99" s="1871"/>
      <c r="C99" s="1872"/>
      <c r="D99" s="1872"/>
      <c r="E99" s="1872"/>
      <c r="F99" s="1872"/>
      <c r="G99" s="1872"/>
      <c r="H99" s="1872"/>
      <c r="I99" s="1872"/>
      <c r="J99" s="1872"/>
      <c r="K99" s="1872"/>
      <c r="L99" s="1872"/>
      <c r="M99" s="1872"/>
      <c r="N99" s="1873"/>
    </row>
    <row r="100" spans="2:14" s="39" customFormat="1">
      <c r="B100" s="49"/>
      <c r="C100" s="81"/>
      <c r="D100" s="81"/>
      <c r="E100" s="81"/>
      <c r="F100" s="81"/>
      <c r="G100" s="81"/>
      <c r="H100" s="81"/>
      <c r="I100" s="81"/>
      <c r="J100" s="81"/>
      <c r="K100" s="81"/>
      <c r="L100" s="81"/>
      <c r="M100" s="81"/>
      <c r="N100" s="79"/>
    </row>
    <row r="101" spans="2:14" s="39" customFormat="1">
      <c r="B101" s="85"/>
      <c r="C101" s="66"/>
      <c r="D101" s="66"/>
      <c r="E101" s="66"/>
      <c r="F101" s="66"/>
      <c r="G101" s="71" t="s">
        <v>249</v>
      </c>
      <c r="H101" s="66"/>
      <c r="I101" s="66"/>
      <c r="J101" s="66"/>
      <c r="K101" s="66"/>
      <c r="L101" s="66"/>
      <c r="M101" s="66"/>
      <c r="N101" s="73"/>
    </row>
    <row r="102" spans="2:14" s="39" customFormat="1">
      <c r="B102" s="85"/>
      <c r="C102" s="66"/>
      <c r="D102" s="66"/>
      <c r="E102" s="66"/>
      <c r="F102" s="66"/>
      <c r="G102" s="66" t="s">
        <v>250</v>
      </c>
      <c r="H102" s="86"/>
      <c r="I102" s="86"/>
      <c r="J102" s="86"/>
      <c r="K102" s="66"/>
      <c r="L102" s="66"/>
      <c r="M102" s="66"/>
      <c r="N102" s="73"/>
    </row>
    <row r="103" spans="2:14" s="39" customFormat="1">
      <c r="B103" s="85"/>
      <c r="C103" s="66"/>
      <c r="D103" s="66"/>
      <c r="E103" s="66"/>
      <c r="F103" s="66"/>
      <c r="G103" s="66" t="s">
        <v>255</v>
      </c>
      <c r="H103" s="80"/>
      <c r="I103" s="80"/>
      <c r="J103" s="80"/>
      <c r="M103" s="66"/>
      <c r="N103" s="73"/>
    </row>
    <row r="104" spans="2:14" s="39" customFormat="1">
      <c r="B104" s="127"/>
      <c r="C104" s="81"/>
      <c r="D104" s="81"/>
      <c r="E104" s="81"/>
      <c r="F104" s="81"/>
      <c r="G104" s="66" t="s">
        <v>252</v>
      </c>
      <c r="K104" s="81"/>
      <c r="L104" s="81"/>
      <c r="M104" s="81"/>
      <c r="N104" s="79"/>
    </row>
    <row r="105" spans="2:14" s="39" customFormat="1" ht="17.25" customHeight="1">
      <c r="B105" s="138" t="s">
        <v>722</v>
      </c>
      <c r="C105" s="128"/>
      <c r="D105" s="128"/>
      <c r="E105" s="66"/>
      <c r="F105" s="66"/>
      <c r="G105" s="66"/>
      <c r="H105" s="66"/>
      <c r="I105" s="66"/>
      <c r="J105" s="1863"/>
      <c r="K105" s="1863"/>
      <c r="L105" s="1863"/>
      <c r="M105" s="1863"/>
      <c r="N105" s="1864"/>
    </row>
    <row r="106" spans="2:14" s="39" customFormat="1"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B73:N75"/>
    <mergeCell ref="B62:N6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B12:E12"/>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I52"/>
    <mergeCell ref="L52:M52"/>
    <mergeCell ref="B53:M53"/>
    <mergeCell ref="B57:H57"/>
    <mergeCell ref="L57:M57"/>
    <mergeCell ref="B54:N56"/>
    <mergeCell ref="B58:H58"/>
    <mergeCell ref="L58:M58"/>
    <mergeCell ref="B59:H59"/>
    <mergeCell ref="L59:M59"/>
    <mergeCell ref="B60:H60"/>
    <mergeCell ref="L60:M60"/>
    <mergeCell ref="B61:M61"/>
    <mergeCell ref="B65:H65"/>
    <mergeCell ref="L65:M65"/>
    <mergeCell ref="L66:M66"/>
    <mergeCell ref="L67:M67"/>
    <mergeCell ref="L78:M78"/>
    <mergeCell ref="L79:M79"/>
    <mergeCell ref="B80:M80"/>
    <mergeCell ref="B82:M82"/>
    <mergeCell ref="B92:N92"/>
    <mergeCell ref="B93:N93"/>
    <mergeCell ref="B96:N97"/>
    <mergeCell ref="B98:N99"/>
    <mergeCell ref="L68:M68"/>
    <mergeCell ref="B69:H69"/>
    <mergeCell ref="L69:M69"/>
    <mergeCell ref="B70:M70"/>
    <mergeCell ref="B72:M72"/>
    <mergeCell ref="B76:H76"/>
    <mergeCell ref="L76:M76"/>
    <mergeCell ref="B77:H77"/>
    <mergeCell ref="L77:M7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480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2"/>
  <dimension ref="B1:N105"/>
  <sheetViews>
    <sheetView showGridLines="0" topLeftCell="A26" zoomScale="70" zoomScaleNormal="70" workbookViewId="0">
      <selection sqref="A1:XFD1048576"/>
    </sheetView>
  </sheetViews>
  <sheetFormatPr baseColWidth="10" defaultColWidth="11.42578125" defaultRowHeight="12.75"/>
  <cols>
    <col min="1" max="1" width="3.140625" style="32" customWidth="1"/>
    <col min="2" max="8" width="11.42578125" style="32"/>
    <col min="9" max="10" width="11.5703125" style="32" bestFit="1" customWidth="1"/>
    <col min="11" max="11" width="12.140625" style="32" customWidth="1"/>
    <col min="12" max="12" width="11.5703125" style="32" bestFit="1" customWidth="1"/>
    <col min="13" max="13" width="11.42578125" style="32"/>
    <col min="14" max="14" width="14.42578125" style="32" customWidth="1"/>
    <col min="15" max="16384" width="11.42578125" style="32"/>
  </cols>
  <sheetData>
    <row r="1" spans="2:14" ht="13.5" thickBot="1"/>
    <row r="2" spans="2:14" s="39" customFormat="1">
      <c r="B2" s="1772"/>
      <c r="C2" s="1774"/>
      <c r="D2" s="1775"/>
      <c r="E2" s="1775"/>
      <c r="F2" s="1775"/>
      <c r="G2" s="1775"/>
      <c r="H2" s="1775"/>
      <c r="I2" s="1775"/>
      <c r="J2" s="1776"/>
      <c r="K2" s="1777" t="s">
        <v>228</v>
      </c>
      <c r="L2" s="1779" t="s">
        <v>716</v>
      </c>
      <c r="M2" s="1780"/>
      <c r="N2" s="1781"/>
    </row>
    <row r="3" spans="2:14" s="39" customFormat="1" ht="13.5">
      <c r="B3" s="1773"/>
      <c r="C3" s="1785" t="s">
        <v>69</v>
      </c>
      <c r="D3" s="1786"/>
      <c r="E3" s="1786"/>
      <c r="F3" s="1786"/>
      <c r="G3" s="1786"/>
      <c r="H3" s="1786"/>
      <c r="I3" s="1786"/>
      <c r="J3" s="1787"/>
      <c r="K3" s="1778"/>
      <c r="L3" s="1782"/>
      <c r="M3" s="1783"/>
      <c r="N3" s="1784"/>
    </row>
    <row r="4" spans="2:14" s="39" customFormat="1" ht="13.5">
      <c r="B4" s="1773"/>
      <c r="C4" s="1788" t="s">
        <v>303</v>
      </c>
      <c r="D4" s="1789"/>
      <c r="E4" s="1789"/>
      <c r="F4" s="1789"/>
      <c r="G4" s="1789"/>
      <c r="H4" s="1789"/>
      <c r="I4" s="1789"/>
      <c r="J4" s="1790"/>
      <c r="K4" s="1791" t="s">
        <v>230</v>
      </c>
      <c r="L4" s="1793">
        <v>2</v>
      </c>
      <c r="M4" s="1794"/>
      <c r="N4" s="1795"/>
    </row>
    <row r="5" spans="2:14" s="39" customFormat="1">
      <c r="B5" s="1773"/>
      <c r="C5" s="1799" t="s">
        <v>715</v>
      </c>
      <c r="D5" s="1800"/>
      <c r="E5" s="1800"/>
      <c r="F5" s="1800"/>
      <c r="G5" s="1800"/>
      <c r="H5" s="1800"/>
      <c r="I5" s="1800"/>
      <c r="J5" s="1801"/>
      <c r="K5" s="1792"/>
      <c r="L5" s="1796"/>
      <c r="M5" s="1797"/>
      <c r="N5" s="1798"/>
    </row>
    <row r="6" spans="2:14" s="39" customFormat="1" ht="12.75" customHeight="1">
      <c r="B6" s="1773"/>
      <c r="C6" s="1805" t="s">
        <v>304</v>
      </c>
      <c r="D6" s="1806"/>
      <c r="E6" s="1806"/>
      <c r="F6" s="1806"/>
      <c r="G6" s="1806"/>
      <c r="H6" s="1806"/>
      <c r="I6" s="1806"/>
      <c r="J6" s="1807"/>
      <c r="K6" s="1791" t="s">
        <v>232</v>
      </c>
      <c r="L6" s="1791">
        <v>1</v>
      </c>
      <c r="M6" s="1791" t="s">
        <v>233</v>
      </c>
      <c r="N6" s="1803">
        <v>1</v>
      </c>
    </row>
    <row r="7" spans="2:14" s="39" customFormat="1">
      <c r="B7" s="1773"/>
      <c r="C7" s="1805"/>
      <c r="D7" s="1806"/>
      <c r="E7" s="1806"/>
      <c r="F7" s="1806"/>
      <c r="G7" s="1806"/>
      <c r="H7" s="1806"/>
      <c r="I7" s="1806"/>
      <c r="J7" s="1807"/>
      <c r="K7" s="1802"/>
      <c r="L7" s="1802"/>
      <c r="M7" s="1802"/>
      <c r="N7" s="1804"/>
    </row>
    <row r="8" spans="2:14" s="39" customFormat="1">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I12" s="39"/>
      <c r="J12" s="403"/>
      <c r="K12" s="51"/>
      <c r="L12" s="39"/>
      <c r="M12" s="39"/>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thickBot="1">
      <c r="B34" s="176" t="s">
        <v>92</v>
      </c>
      <c r="C34" s="1885" t="s">
        <v>1473</v>
      </c>
      <c r="D34" s="1887"/>
      <c r="E34" s="1887"/>
      <c r="F34" s="1887"/>
      <c r="G34" s="1887"/>
      <c r="H34" s="1887"/>
      <c r="I34" s="1887"/>
      <c r="J34" s="1887"/>
      <c r="K34" s="1886"/>
      <c r="L34" s="1885" t="s">
        <v>111</v>
      </c>
      <c r="M34" s="1886"/>
      <c r="N34" s="177">
        <v>6522</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6</v>
      </c>
      <c r="C39" s="1840"/>
      <c r="D39" s="1840"/>
      <c r="E39" s="1840"/>
      <c r="F39" s="1841"/>
      <c r="G39" s="1842"/>
      <c r="H39" s="1841"/>
      <c r="I39" s="1842"/>
      <c r="J39" s="1841"/>
      <c r="K39" s="88">
        <v>8400</v>
      </c>
      <c r="L39" s="1908">
        <v>3.5</v>
      </c>
      <c r="M39" s="1909"/>
      <c r="N39" s="89">
        <v>2400</v>
      </c>
    </row>
    <row r="40" spans="2:14">
      <c r="B40" s="1839" t="s">
        <v>77</v>
      </c>
      <c r="C40" s="1840"/>
      <c r="D40" s="1840"/>
      <c r="E40" s="1840"/>
      <c r="F40" s="1841"/>
      <c r="G40" s="1842"/>
      <c r="H40" s="1841"/>
      <c r="I40" s="1842"/>
      <c r="J40" s="1841"/>
      <c r="K40" s="88"/>
      <c r="L40" s="1908"/>
      <c r="M40" s="1909"/>
      <c r="N40" s="89">
        <v>405.16982142857142</v>
      </c>
    </row>
    <row r="41" spans="2:14">
      <c r="B41" s="1839"/>
      <c r="C41" s="1840"/>
      <c r="D41" s="1840"/>
      <c r="E41" s="1840"/>
      <c r="F41" s="1841"/>
      <c r="G41" s="1842"/>
      <c r="H41" s="1841"/>
      <c r="I41" s="1842"/>
      <c r="J41" s="1841"/>
      <c r="K41" s="88"/>
      <c r="L41" s="1908"/>
      <c r="M41" s="1909"/>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2805.1698214285716</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73</v>
      </c>
      <c r="C48" s="1840"/>
      <c r="D48" s="1840"/>
      <c r="E48" s="1840"/>
      <c r="F48" s="1840"/>
      <c r="G48" s="1840"/>
      <c r="H48" s="1840"/>
      <c r="I48" s="1841"/>
      <c r="J48" s="131" t="s">
        <v>34</v>
      </c>
      <c r="K48" s="132">
        <v>30</v>
      </c>
      <c r="L48" s="1852">
        <v>55</v>
      </c>
      <c r="M48" s="1853"/>
      <c r="N48" s="89">
        <v>1650</v>
      </c>
    </row>
    <row r="49" spans="2:14">
      <c r="B49" s="1839"/>
      <c r="C49" s="1840"/>
      <c r="D49" s="1840"/>
      <c r="E49" s="1840"/>
      <c r="F49" s="1840"/>
      <c r="G49" s="1840"/>
      <c r="H49" s="1840"/>
      <c r="I49" s="1841"/>
      <c r="J49" s="131"/>
      <c r="K49" s="132"/>
      <c r="L49" s="1852"/>
      <c r="M49" s="1853"/>
      <c r="N49" s="89"/>
    </row>
    <row r="50" spans="2:14">
      <c r="B50" s="1839"/>
      <c r="C50" s="1840"/>
      <c r="D50" s="1840"/>
      <c r="E50" s="1840"/>
      <c r="F50" s="1840"/>
      <c r="G50" s="1840"/>
      <c r="H50" s="1840"/>
      <c r="I50" s="1841"/>
      <c r="J50" s="131"/>
      <c r="K50" s="132"/>
      <c r="L50" s="1852"/>
      <c r="M50" s="1853"/>
      <c r="N50" s="89"/>
    </row>
    <row r="51" spans="2:14" ht="13.5" thickBot="1">
      <c r="B51" s="1839"/>
      <c r="C51" s="1840"/>
      <c r="D51" s="1840"/>
      <c r="E51" s="1840"/>
      <c r="F51" s="1840"/>
      <c r="G51" s="1840"/>
      <c r="H51" s="1840"/>
      <c r="I51" s="1841"/>
      <c r="J51" s="126"/>
      <c r="K51" s="166"/>
      <c r="L51" s="1852"/>
      <c r="M51" s="1853"/>
      <c r="N51" s="89"/>
    </row>
    <row r="52" spans="2:14" ht="14.25" thickBot="1">
      <c r="B52" s="1848" t="s">
        <v>188</v>
      </c>
      <c r="C52" s="1849"/>
      <c r="D52" s="1849"/>
      <c r="E52" s="1849"/>
      <c r="F52" s="1849"/>
      <c r="G52" s="1849"/>
      <c r="H52" s="1849"/>
      <c r="I52" s="1849"/>
      <c r="J52" s="1849"/>
      <c r="K52" s="1849"/>
      <c r="L52" s="1849"/>
      <c r="M52" s="1850"/>
      <c r="N52" s="99">
        <v>1650</v>
      </c>
    </row>
    <row r="53" spans="2:14">
      <c r="B53" s="1763" t="s">
        <v>51</v>
      </c>
      <c r="C53" s="1764"/>
      <c r="D53" s="1764"/>
      <c r="E53" s="1764"/>
      <c r="F53" s="1764"/>
      <c r="G53" s="1764"/>
      <c r="H53" s="1764"/>
      <c r="I53" s="1764"/>
      <c r="J53" s="1764"/>
      <c r="K53" s="1764"/>
      <c r="L53" s="1764"/>
      <c r="M53" s="1764"/>
      <c r="N53" s="1765"/>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81" t="s">
        <v>194</v>
      </c>
      <c r="K56" s="182" t="s">
        <v>310</v>
      </c>
      <c r="L56" s="1829" t="s">
        <v>39</v>
      </c>
      <c r="M56" s="1832"/>
      <c r="N56" s="179" t="s">
        <v>191</v>
      </c>
    </row>
    <row r="57" spans="2:14">
      <c r="B57" s="1839" t="s">
        <v>270</v>
      </c>
      <c r="C57" s="1840"/>
      <c r="D57" s="1840"/>
      <c r="E57" s="1840"/>
      <c r="F57" s="1840"/>
      <c r="G57" s="1840"/>
      <c r="H57" s="1840"/>
      <c r="I57" s="96">
        <v>1.3</v>
      </c>
      <c r="J57" s="133">
        <v>10</v>
      </c>
      <c r="K57" s="100">
        <v>13</v>
      </c>
      <c r="L57" s="1843">
        <v>852</v>
      </c>
      <c r="M57" s="1844"/>
      <c r="N57" s="135">
        <v>11076</v>
      </c>
    </row>
    <row r="58" spans="2:14">
      <c r="B58" s="1839"/>
      <c r="C58" s="1840"/>
      <c r="D58" s="1840"/>
      <c r="E58" s="1840"/>
      <c r="F58" s="1840"/>
      <c r="G58" s="1840"/>
      <c r="H58" s="1840"/>
      <c r="I58" s="96"/>
      <c r="J58" s="133"/>
      <c r="K58" s="100"/>
      <c r="L58" s="1843"/>
      <c r="M58" s="1844"/>
      <c r="N58" s="135"/>
    </row>
    <row r="59" spans="2:14" ht="13.5" thickBot="1">
      <c r="B59" s="1834"/>
      <c r="C59" s="1835"/>
      <c r="D59" s="1835"/>
      <c r="E59" s="1835"/>
      <c r="F59" s="1835"/>
      <c r="G59" s="1835"/>
      <c r="H59" s="1835"/>
      <c r="I59" s="165"/>
      <c r="J59" s="137"/>
      <c r="K59" s="100"/>
      <c r="L59" s="1837"/>
      <c r="M59" s="1838"/>
      <c r="N59" s="135"/>
    </row>
    <row r="60" spans="2:14" ht="14.25" thickBot="1">
      <c r="B60" s="1848" t="s">
        <v>188</v>
      </c>
      <c r="C60" s="1849"/>
      <c r="D60" s="1849"/>
      <c r="E60" s="1849"/>
      <c r="F60" s="1849"/>
      <c r="G60" s="1849"/>
      <c r="H60" s="1849"/>
      <c r="I60" s="1849"/>
      <c r="J60" s="1849"/>
      <c r="K60" s="1849"/>
      <c r="L60" s="1849"/>
      <c r="M60" s="1850"/>
      <c r="N60" s="112">
        <v>11076</v>
      </c>
    </row>
    <row r="61" spans="2:14">
      <c r="B61" s="1763" t="s">
        <v>52</v>
      </c>
      <c r="C61" s="1764"/>
      <c r="D61" s="1764"/>
      <c r="E61" s="1764"/>
      <c r="F61" s="1764"/>
      <c r="G61" s="1764"/>
      <c r="H61" s="1764"/>
      <c r="I61" s="1764"/>
      <c r="J61" s="1764"/>
      <c r="K61" s="1764"/>
      <c r="L61" s="1764"/>
      <c r="M61" s="1764"/>
      <c r="N61" s="1765"/>
    </row>
    <row r="62" spans="2:14">
      <c r="B62" s="1766"/>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4">
      <c r="B65" s="149" t="s">
        <v>62</v>
      </c>
      <c r="C65" s="150"/>
      <c r="D65" s="150"/>
      <c r="E65" s="150"/>
      <c r="F65" s="150"/>
      <c r="G65" s="150"/>
      <c r="H65" s="150"/>
      <c r="I65" s="107">
        <v>82200</v>
      </c>
      <c r="J65" s="108">
        <v>1.85</v>
      </c>
      <c r="K65" s="109">
        <v>152070</v>
      </c>
      <c r="L65" s="1861">
        <v>28</v>
      </c>
      <c r="M65" s="1862"/>
      <c r="N65" s="110">
        <v>5431.0714285714284</v>
      </c>
    </row>
    <row r="66" spans="2:14">
      <c r="B66" s="149" t="s">
        <v>48</v>
      </c>
      <c r="C66" s="150"/>
      <c r="D66" s="150"/>
      <c r="E66" s="150"/>
      <c r="F66" s="150"/>
      <c r="G66" s="150"/>
      <c r="H66" s="150"/>
      <c r="I66" s="107">
        <v>40446</v>
      </c>
      <c r="J66" s="108">
        <v>1.85</v>
      </c>
      <c r="K66" s="109">
        <v>74825.100000000006</v>
      </c>
      <c r="L66" s="1861">
        <v>28</v>
      </c>
      <c r="M66" s="1862"/>
      <c r="N66" s="110">
        <v>2672.3250000000003</v>
      </c>
    </row>
    <row r="67" spans="2:14">
      <c r="B67" s="149"/>
      <c r="C67" s="150"/>
      <c r="D67" s="150"/>
      <c r="E67" s="150"/>
      <c r="F67" s="150"/>
      <c r="G67" s="150"/>
      <c r="H67" s="150"/>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8103.3964285714283</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23634.56625</v>
      </c>
    </row>
    <row r="72" spans="2:14">
      <c r="B72" s="1763" t="s">
        <v>53</v>
      </c>
      <c r="C72" s="1764"/>
      <c r="D72" s="1764"/>
      <c r="E72" s="1764"/>
      <c r="F72" s="1764"/>
      <c r="G72" s="1764"/>
      <c r="H72" s="1764"/>
      <c r="I72" s="1764"/>
      <c r="J72" s="1764"/>
      <c r="K72" s="1764"/>
      <c r="L72" s="1764"/>
      <c r="M72" s="1764"/>
      <c r="N72" s="1765"/>
    </row>
    <row r="73" spans="2:14">
      <c r="B73" s="1766"/>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81"/>
      <c r="J75" s="187"/>
      <c r="K75" s="184" t="s">
        <v>54</v>
      </c>
      <c r="L75" s="1857" t="s">
        <v>55</v>
      </c>
      <c r="M75" s="1858"/>
      <c r="N75" s="185"/>
    </row>
    <row r="76" spans="2:14">
      <c r="B76" s="1839" t="s">
        <v>44</v>
      </c>
      <c r="C76" s="1840"/>
      <c r="D76" s="1840"/>
      <c r="E76" s="1840"/>
      <c r="F76" s="1840"/>
      <c r="G76" s="1840"/>
      <c r="H76" s="1840"/>
      <c r="I76" s="113"/>
      <c r="J76" s="114"/>
      <c r="K76" s="192">
        <v>0.22</v>
      </c>
      <c r="L76" s="1877">
        <v>5199.6045750000003</v>
      </c>
      <c r="M76" s="1878"/>
      <c r="N76" s="115"/>
    </row>
    <row r="77" spans="2:14">
      <c r="B77" s="116" t="s">
        <v>56</v>
      </c>
      <c r="C77" s="117"/>
      <c r="D77" s="117"/>
      <c r="E77" s="117"/>
      <c r="F77" s="117"/>
      <c r="G77" s="117"/>
      <c r="H77" s="117"/>
      <c r="I77" s="113"/>
      <c r="J77" s="114"/>
      <c r="K77" s="192">
        <v>0.05</v>
      </c>
      <c r="L77" s="1877">
        <v>1181.7283125000001</v>
      </c>
      <c r="M77" s="1878"/>
      <c r="N77" s="115"/>
    </row>
    <row r="78" spans="2:14" ht="13.5" thickBot="1">
      <c r="B78" s="118" t="s">
        <v>45</v>
      </c>
      <c r="C78" s="119"/>
      <c r="D78" s="119"/>
      <c r="E78" s="119"/>
      <c r="F78" s="119"/>
      <c r="G78" s="119"/>
      <c r="H78" s="119"/>
      <c r="I78" s="120"/>
      <c r="J78" s="121"/>
      <c r="K78" s="192">
        <v>0.05</v>
      </c>
      <c r="L78" s="1879">
        <v>1181.7283125000001</v>
      </c>
      <c r="M78" s="1880"/>
      <c r="N78" s="115"/>
    </row>
    <row r="79" spans="2:14" ht="14.25" thickBot="1">
      <c r="B79" s="1848" t="s">
        <v>188</v>
      </c>
      <c r="C79" s="1849"/>
      <c r="D79" s="1849"/>
      <c r="E79" s="1849"/>
      <c r="F79" s="1849"/>
      <c r="G79" s="1849"/>
      <c r="H79" s="1849"/>
      <c r="I79" s="1849"/>
      <c r="J79" s="1849"/>
      <c r="K79" s="1849"/>
      <c r="L79" s="1849"/>
      <c r="M79" s="1850"/>
      <c r="N79" s="122">
        <v>7563.061200000001</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31198</v>
      </c>
    </row>
    <row r="82" spans="2:14" s="39" customFormat="1">
      <c r="B82" s="64"/>
      <c r="C82" s="65"/>
      <c r="D82" s="65"/>
      <c r="E82" s="65"/>
      <c r="F82" s="65"/>
      <c r="G82" s="65"/>
      <c r="H82" s="65"/>
      <c r="I82" s="65"/>
      <c r="J82" s="65"/>
      <c r="K82" s="65"/>
      <c r="L82" s="65"/>
      <c r="M82" s="65"/>
      <c r="N82" s="67"/>
    </row>
    <row r="83" spans="2:14" s="39" customFormat="1">
      <c r="B83" s="85"/>
      <c r="C83" s="66"/>
      <c r="D83" s="66"/>
      <c r="E83" s="66"/>
      <c r="F83" s="66"/>
      <c r="G83" s="66"/>
      <c r="H83" s="66"/>
      <c r="I83" s="66"/>
      <c r="J83" s="66"/>
      <c r="K83" s="66"/>
      <c r="L83" s="66"/>
      <c r="M83" s="66"/>
      <c r="N83" s="73"/>
    </row>
    <row r="84" spans="2:14" s="39" customFormat="1">
      <c r="B84" s="85"/>
      <c r="C84" s="66"/>
      <c r="D84" s="66"/>
      <c r="E84" s="66"/>
      <c r="F84" s="66"/>
      <c r="G84" s="66"/>
      <c r="H84" s="66"/>
      <c r="I84" s="66"/>
      <c r="J84" s="66"/>
      <c r="K84" s="66"/>
      <c r="L84" s="66"/>
      <c r="M84" s="66"/>
      <c r="N84" s="73"/>
    </row>
    <row r="85" spans="2:14" s="39" customFormat="1">
      <c r="B85" s="85"/>
      <c r="C85" s="66"/>
      <c r="D85" s="66"/>
      <c r="E85" s="66"/>
      <c r="F85" s="66"/>
      <c r="G85" s="71" t="s">
        <v>249</v>
      </c>
      <c r="H85" s="71"/>
      <c r="I85" s="71"/>
      <c r="J85" s="71"/>
      <c r="K85" s="66"/>
      <c r="L85" s="66"/>
      <c r="M85" s="66"/>
      <c r="N85" s="73"/>
    </row>
    <row r="86" spans="2:14" s="39" customFormat="1" ht="13.5">
      <c r="B86" s="123"/>
      <c r="C86" s="124"/>
      <c r="D86" s="124"/>
      <c r="E86" s="124"/>
      <c r="F86" s="124"/>
      <c r="G86" s="71" t="s">
        <v>250</v>
      </c>
      <c r="H86" s="124"/>
      <c r="I86" s="124"/>
      <c r="J86" s="124"/>
      <c r="K86" s="124"/>
      <c r="L86" s="124"/>
      <c r="M86" s="124"/>
      <c r="N86" s="125"/>
    </row>
    <row r="87" spans="2:14" s="39" customFormat="1" ht="13.5">
      <c r="B87" s="123"/>
      <c r="C87" s="124"/>
      <c r="D87" s="124"/>
      <c r="E87" s="124"/>
      <c r="F87" s="124"/>
      <c r="G87" s="71" t="s">
        <v>251</v>
      </c>
      <c r="J87" s="124"/>
      <c r="K87" s="124"/>
      <c r="L87" s="124"/>
      <c r="M87" s="124"/>
      <c r="N87" s="125"/>
    </row>
    <row r="88" spans="2:14" s="39" customFormat="1">
      <c r="B88" s="49"/>
      <c r="C88" s="81"/>
      <c r="D88" s="81"/>
      <c r="E88" s="81"/>
      <c r="F88" s="81"/>
      <c r="G88" s="71" t="s">
        <v>252</v>
      </c>
      <c r="H88" s="81"/>
      <c r="I88" s="81"/>
      <c r="J88" s="81"/>
      <c r="K88" s="81"/>
      <c r="L88" s="81"/>
      <c r="M88" s="81"/>
      <c r="N88" s="79"/>
    </row>
    <row r="89" spans="2:14" s="39" customFormat="1">
      <c r="B89" s="85"/>
      <c r="C89" s="66"/>
      <c r="D89" s="66"/>
      <c r="E89" s="66"/>
      <c r="F89" s="66"/>
      <c r="G89" s="66" t="s">
        <v>253</v>
      </c>
      <c r="H89" s="66"/>
      <c r="I89" s="66"/>
      <c r="J89" s="66"/>
      <c r="K89" s="66"/>
      <c r="L89" s="66"/>
      <c r="M89" s="66"/>
      <c r="N89" s="73"/>
    </row>
    <row r="90" spans="2:14" s="39" customFormat="1" ht="13.5">
      <c r="B90" s="92" t="s">
        <v>254</v>
      </c>
      <c r="C90" s="93"/>
      <c r="D90" s="93"/>
      <c r="E90" s="93"/>
      <c r="F90" s="93"/>
      <c r="G90" s="93"/>
      <c r="H90" s="93"/>
      <c r="I90" s="93"/>
      <c r="J90" s="93"/>
      <c r="K90" s="93"/>
      <c r="L90" s="93"/>
      <c r="M90" s="93"/>
      <c r="N90" s="94"/>
    </row>
    <row r="91" spans="2:14" s="39" customFormat="1">
      <c r="B91" s="1874"/>
      <c r="C91" s="1875"/>
      <c r="D91" s="1875"/>
      <c r="E91" s="1875"/>
      <c r="F91" s="1875"/>
      <c r="G91" s="1875"/>
      <c r="H91" s="1875"/>
      <c r="I91" s="1875"/>
      <c r="J91" s="1875"/>
      <c r="K91" s="1875"/>
      <c r="L91" s="1875"/>
      <c r="M91" s="1875"/>
      <c r="N91" s="1876"/>
    </row>
    <row r="92" spans="2:14" s="39" customFormat="1">
      <c r="B92" s="1874"/>
      <c r="C92" s="1875"/>
      <c r="D92" s="1875"/>
      <c r="E92" s="1875"/>
      <c r="F92" s="1875"/>
      <c r="G92" s="1875"/>
      <c r="H92" s="1875"/>
      <c r="I92" s="1875"/>
      <c r="J92" s="1875"/>
      <c r="K92" s="1875"/>
      <c r="L92" s="1875"/>
      <c r="M92" s="1875"/>
      <c r="N92" s="1876"/>
    </row>
    <row r="93" spans="2:14" s="39" customFormat="1">
      <c r="B93" s="49"/>
      <c r="C93" s="81"/>
      <c r="D93" s="81"/>
      <c r="E93" s="81"/>
      <c r="F93" s="81"/>
      <c r="G93" s="81"/>
      <c r="H93" s="81"/>
      <c r="I93" s="81"/>
      <c r="J93" s="81"/>
      <c r="K93" s="81"/>
      <c r="L93" s="81"/>
      <c r="M93" s="81"/>
      <c r="N93" s="79"/>
    </row>
    <row r="94" spans="2:14" s="39" customFormat="1">
      <c r="B94" s="406" t="s">
        <v>719</v>
      </c>
      <c r="C94" s="81"/>
      <c r="D94" s="81"/>
      <c r="E94" s="81"/>
      <c r="F94" s="81"/>
      <c r="G94" s="81"/>
      <c r="H94" s="81"/>
      <c r="I94" s="81"/>
      <c r="J94" s="81"/>
      <c r="K94" s="81"/>
      <c r="L94" s="81"/>
      <c r="M94" s="81"/>
      <c r="N94" s="79"/>
    </row>
    <row r="95" spans="2:14" s="39" customFormat="1" ht="12.75" customHeight="1">
      <c r="B95" s="1871" t="s">
        <v>720</v>
      </c>
      <c r="C95" s="1872"/>
      <c r="D95" s="1872"/>
      <c r="E95" s="1872"/>
      <c r="F95" s="1872"/>
      <c r="G95" s="1872"/>
      <c r="H95" s="1872"/>
      <c r="I95" s="1872"/>
      <c r="J95" s="1872"/>
      <c r="K95" s="1872"/>
      <c r="L95" s="1872"/>
      <c r="M95" s="1872"/>
      <c r="N95" s="1873"/>
    </row>
    <row r="96" spans="2:14" s="39" customFormat="1">
      <c r="B96" s="1871"/>
      <c r="C96" s="1872"/>
      <c r="D96" s="1872"/>
      <c r="E96" s="1872"/>
      <c r="F96" s="1872"/>
      <c r="G96" s="1872"/>
      <c r="H96" s="1872"/>
      <c r="I96" s="1872"/>
      <c r="J96" s="1872"/>
      <c r="K96" s="1872"/>
      <c r="L96" s="1872"/>
      <c r="M96" s="1872"/>
      <c r="N96" s="1873"/>
    </row>
    <row r="97" spans="2:14" s="39" customFormat="1">
      <c r="B97" s="1871" t="s">
        <v>721</v>
      </c>
      <c r="C97" s="1872"/>
      <c r="D97" s="1872"/>
      <c r="E97" s="1872"/>
      <c r="F97" s="1872"/>
      <c r="G97" s="1872"/>
      <c r="H97" s="1872"/>
      <c r="I97" s="1872"/>
      <c r="J97" s="1872"/>
      <c r="K97" s="1872"/>
      <c r="L97" s="1872"/>
      <c r="M97" s="1872"/>
      <c r="N97" s="1873"/>
    </row>
    <row r="98" spans="2:14" s="39" customFormat="1">
      <c r="B98" s="1871"/>
      <c r="C98" s="1872"/>
      <c r="D98" s="1872"/>
      <c r="E98" s="1872"/>
      <c r="F98" s="1872"/>
      <c r="G98" s="1872"/>
      <c r="H98" s="1872"/>
      <c r="I98" s="1872"/>
      <c r="J98" s="1872"/>
      <c r="K98" s="1872"/>
      <c r="L98" s="1872"/>
      <c r="M98" s="1872"/>
      <c r="N98" s="1873"/>
    </row>
    <row r="99" spans="2:14" s="39" customFormat="1">
      <c r="B99" s="49"/>
      <c r="C99" s="81"/>
      <c r="D99" s="81"/>
      <c r="E99" s="81"/>
      <c r="F99" s="81"/>
      <c r="G99" s="81"/>
      <c r="H99" s="81"/>
      <c r="I99" s="81"/>
      <c r="J99" s="81"/>
      <c r="K99" s="81"/>
      <c r="L99" s="81"/>
      <c r="M99" s="81"/>
      <c r="N99" s="79"/>
    </row>
    <row r="100" spans="2:14" s="39" customFormat="1">
      <c r="B100" s="85"/>
      <c r="C100" s="66"/>
      <c r="D100" s="66"/>
      <c r="E100" s="66"/>
      <c r="F100" s="66"/>
      <c r="G100" s="71" t="s">
        <v>249</v>
      </c>
      <c r="H100" s="66"/>
      <c r="I100" s="66"/>
      <c r="J100" s="66"/>
      <c r="K100" s="66"/>
      <c r="L100" s="66"/>
      <c r="M100" s="66"/>
      <c r="N100" s="73"/>
    </row>
    <row r="101" spans="2:14" s="39" customFormat="1">
      <c r="B101" s="85"/>
      <c r="C101" s="66"/>
      <c r="D101" s="66"/>
      <c r="E101" s="66"/>
      <c r="F101" s="66"/>
      <c r="G101" s="66" t="s">
        <v>250</v>
      </c>
      <c r="H101" s="86"/>
      <c r="I101" s="86"/>
      <c r="J101" s="86"/>
      <c r="K101" s="66"/>
      <c r="L101" s="66"/>
      <c r="M101" s="66"/>
      <c r="N101" s="73"/>
    </row>
    <row r="102" spans="2:14" s="39" customFormat="1">
      <c r="B102" s="85"/>
      <c r="C102" s="66"/>
      <c r="D102" s="66"/>
      <c r="E102" s="66"/>
      <c r="F102" s="66"/>
      <c r="G102" s="66" t="s">
        <v>255</v>
      </c>
      <c r="H102" s="80"/>
      <c r="I102" s="80"/>
      <c r="J102" s="80"/>
      <c r="M102" s="66"/>
      <c r="N102" s="73"/>
    </row>
    <row r="103" spans="2:14" s="39" customFormat="1">
      <c r="B103" s="127"/>
      <c r="C103" s="81"/>
      <c r="D103" s="81"/>
      <c r="E103" s="81"/>
      <c r="F103" s="81"/>
      <c r="G103" s="66" t="s">
        <v>252</v>
      </c>
      <c r="K103" s="81"/>
      <c r="L103" s="81"/>
      <c r="M103" s="81"/>
      <c r="N103" s="79"/>
    </row>
    <row r="104" spans="2:14" s="39" customFormat="1" ht="17.25" customHeight="1">
      <c r="B104" s="138" t="s">
        <v>722</v>
      </c>
      <c r="C104" s="128"/>
      <c r="D104" s="128"/>
      <c r="E104" s="66"/>
      <c r="F104" s="66"/>
      <c r="G104" s="66"/>
      <c r="H104" s="66"/>
      <c r="I104" s="66"/>
      <c r="J104" s="1863"/>
      <c r="K104" s="1863"/>
      <c r="L104" s="1863"/>
      <c r="M104" s="1863"/>
      <c r="N104" s="1864"/>
    </row>
    <row r="105" spans="2:14" s="39" customFormat="1" ht="18.75" customHeight="1" thickBot="1">
      <c r="B105" s="1867" t="s">
        <v>723</v>
      </c>
      <c r="C105" s="1868"/>
      <c r="D105" s="1868"/>
      <c r="E105" s="87"/>
      <c r="F105" s="87"/>
      <c r="G105" s="87"/>
      <c r="H105" s="87"/>
      <c r="I105" s="87"/>
      <c r="J105" s="1865"/>
      <c r="K105" s="1865"/>
      <c r="L105" s="1865"/>
      <c r="M105" s="1865"/>
      <c r="N105" s="1866"/>
    </row>
  </sheetData>
  <mergeCells count="99">
    <mergeCell ref="J104:N105"/>
    <mergeCell ref="B105:D105"/>
    <mergeCell ref="B72:N74"/>
    <mergeCell ref="B61:N6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B12:E12"/>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4:N46"/>
    <mergeCell ref="B48:I48"/>
    <mergeCell ref="L48:M48"/>
    <mergeCell ref="B49:I49"/>
    <mergeCell ref="L49:M49"/>
    <mergeCell ref="B50:I50"/>
    <mergeCell ref="L50:M50"/>
    <mergeCell ref="B51:I51"/>
    <mergeCell ref="L51:M51"/>
    <mergeCell ref="B52:M52"/>
    <mergeCell ref="B56:H56"/>
    <mergeCell ref="L56:M56"/>
    <mergeCell ref="B53:N55"/>
    <mergeCell ref="B57:H57"/>
    <mergeCell ref="L57:M57"/>
    <mergeCell ref="B58:H58"/>
    <mergeCell ref="L58:M58"/>
    <mergeCell ref="B59:H59"/>
    <mergeCell ref="L59:M59"/>
    <mergeCell ref="B60:M60"/>
    <mergeCell ref="B64:H64"/>
    <mergeCell ref="L64:M64"/>
    <mergeCell ref="L65:M65"/>
    <mergeCell ref="L66:M66"/>
    <mergeCell ref="L77:M77"/>
    <mergeCell ref="B95:N96"/>
    <mergeCell ref="B97:N98"/>
    <mergeCell ref="L67:M67"/>
    <mergeCell ref="B68:H68"/>
    <mergeCell ref="L68:M68"/>
    <mergeCell ref="B69:M69"/>
    <mergeCell ref="B71:M71"/>
    <mergeCell ref="B75:H75"/>
    <mergeCell ref="L75:M75"/>
    <mergeCell ref="B76:H76"/>
    <mergeCell ref="L76:M76"/>
    <mergeCell ref="L78:M78"/>
    <mergeCell ref="B79:M79"/>
    <mergeCell ref="B81:M81"/>
    <mergeCell ref="B91:N91"/>
    <mergeCell ref="B92:N92"/>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088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8897" r:id="rId3"/>
      </mc:Fallback>
    </mc:AlternateContent>
  </oleObjects>
  <mc:AlternateContent xmlns:mc="http://schemas.openxmlformats.org/markup-compatibility/2006">
    <mc:Choice Requires="x14">
      <controls>
        <mc:AlternateContent xmlns:mc="http://schemas.openxmlformats.org/markup-compatibility/2006">
          <mc:Choice Requires="x14">
            <control shapeId="2089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89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37" zoomScale="70" zoomScaleNormal="70" workbookViewId="0">
      <selection sqref="A1:XFD1048576"/>
    </sheetView>
  </sheetViews>
  <sheetFormatPr baseColWidth="10" defaultColWidth="11.42578125" defaultRowHeight="12.75"/>
  <cols>
    <col min="1" max="1" width="3.140625" style="32" customWidth="1"/>
    <col min="2" max="8" width="11.42578125" style="32"/>
    <col min="9" max="10" width="11.5703125" style="32" bestFit="1" customWidth="1"/>
    <col min="11" max="11" width="12.140625" style="32" customWidth="1"/>
    <col min="12" max="12" width="11.5703125" style="32" bestFit="1" customWidth="1"/>
    <col min="13" max="13" width="11.42578125" style="32"/>
    <col min="14" max="14" width="14.42578125" style="32" customWidth="1"/>
    <col min="15" max="16384" width="11.42578125" style="32"/>
  </cols>
  <sheetData>
    <row r="1" spans="2:14" ht="13.5" thickBot="1"/>
    <row r="2" spans="2:14" s="39" customFormat="1">
      <c r="B2" s="1772"/>
      <c r="C2" s="1774"/>
      <c r="D2" s="1775"/>
      <c r="E2" s="1775"/>
      <c r="F2" s="1775"/>
      <c r="G2" s="1775"/>
      <c r="H2" s="1775"/>
      <c r="I2" s="1775"/>
      <c r="J2" s="1776"/>
      <c r="K2" s="1777" t="s">
        <v>228</v>
      </c>
      <c r="L2" s="1779" t="s">
        <v>716</v>
      </c>
      <c r="M2" s="1780"/>
      <c r="N2" s="1781"/>
    </row>
    <row r="3" spans="2:14" s="39" customFormat="1" ht="13.5">
      <c r="B3" s="1773"/>
      <c r="C3" s="1785" t="s">
        <v>69</v>
      </c>
      <c r="D3" s="1786"/>
      <c r="E3" s="1786"/>
      <c r="F3" s="1786"/>
      <c r="G3" s="1786"/>
      <c r="H3" s="1786"/>
      <c r="I3" s="1786"/>
      <c r="J3" s="1787"/>
      <c r="K3" s="1778"/>
      <c r="L3" s="1782"/>
      <c r="M3" s="1783"/>
      <c r="N3" s="1784"/>
    </row>
    <row r="4" spans="2:14" s="39" customFormat="1" ht="13.5">
      <c r="B4" s="1773"/>
      <c r="C4" s="1788" t="s">
        <v>303</v>
      </c>
      <c r="D4" s="1789"/>
      <c r="E4" s="1789"/>
      <c r="F4" s="1789"/>
      <c r="G4" s="1789"/>
      <c r="H4" s="1789"/>
      <c r="I4" s="1789"/>
      <c r="J4" s="1790"/>
      <c r="K4" s="1791" t="s">
        <v>230</v>
      </c>
      <c r="L4" s="1793">
        <v>2</v>
      </c>
      <c r="M4" s="1794"/>
      <c r="N4" s="1795"/>
    </row>
    <row r="5" spans="2:14" s="39" customFormat="1">
      <c r="B5" s="1773"/>
      <c r="C5" s="1799" t="s">
        <v>715</v>
      </c>
      <c r="D5" s="1800"/>
      <c r="E5" s="1800"/>
      <c r="F5" s="1800"/>
      <c r="G5" s="1800"/>
      <c r="H5" s="1800"/>
      <c r="I5" s="1800"/>
      <c r="J5" s="1801"/>
      <c r="K5" s="1792"/>
      <c r="L5" s="1796"/>
      <c r="M5" s="1797"/>
      <c r="N5" s="1798"/>
    </row>
    <row r="6" spans="2:14" s="39" customFormat="1" ht="12.75" customHeight="1">
      <c r="B6" s="1773"/>
      <c r="C6" s="1805" t="s">
        <v>304</v>
      </c>
      <c r="D6" s="1806"/>
      <c r="E6" s="1806"/>
      <c r="F6" s="1806"/>
      <c r="G6" s="1806"/>
      <c r="H6" s="1806"/>
      <c r="I6" s="1806"/>
      <c r="J6" s="1807"/>
      <c r="K6" s="1791" t="s">
        <v>232</v>
      </c>
      <c r="L6" s="1791">
        <v>1</v>
      </c>
      <c r="M6" s="1791" t="s">
        <v>233</v>
      </c>
      <c r="N6" s="1803">
        <v>1</v>
      </c>
    </row>
    <row r="7" spans="2:14" s="39" customFormat="1">
      <c r="B7" s="1773"/>
      <c r="C7" s="1805"/>
      <c r="D7" s="1806"/>
      <c r="E7" s="1806"/>
      <c r="F7" s="1806"/>
      <c r="G7" s="1806"/>
      <c r="H7" s="1806"/>
      <c r="I7" s="1806"/>
      <c r="J7" s="1807"/>
      <c r="K7" s="1802"/>
      <c r="L7" s="1802"/>
      <c r="M7" s="1802"/>
      <c r="N7" s="1804"/>
    </row>
    <row r="8" spans="2:14" s="39" customFormat="1">
      <c r="B8" s="1773"/>
      <c r="C8" s="1799" t="s">
        <v>234</v>
      </c>
      <c r="D8" s="1800"/>
      <c r="E8" s="1800"/>
      <c r="F8" s="1800"/>
      <c r="G8" s="1800"/>
      <c r="H8" s="1800"/>
      <c r="I8" s="1800"/>
      <c r="J8" s="1801"/>
      <c r="K8" s="1802"/>
      <c r="L8" s="1802"/>
      <c r="M8" s="1802"/>
      <c r="N8" s="1804"/>
    </row>
    <row r="9" spans="2:14" ht="14.25" thickBot="1">
      <c r="B9" s="269"/>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272"/>
      <c r="D11" s="272"/>
      <c r="E11" s="272"/>
      <c r="F11" s="272"/>
      <c r="G11" s="272"/>
      <c r="H11" s="272"/>
      <c r="I11" s="272"/>
      <c r="J11" s="272"/>
      <c r="K11" s="51"/>
      <c r="L11" s="52" t="s">
        <v>294</v>
      </c>
      <c r="M11" s="52" t="s">
        <v>294</v>
      </c>
      <c r="N11" s="53" t="s">
        <v>294</v>
      </c>
    </row>
    <row r="12" spans="2:14" ht="13.5">
      <c r="B12" s="1869" t="s">
        <v>717</v>
      </c>
      <c r="C12" s="1870"/>
      <c r="D12" s="1870"/>
      <c r="E12" s="1870"/>
      <c r="F12" s="403"/>
      <c r="G12" s="403"/>
      <c r="H12" s="403" t="s">
        <v>718</v>
      </c>
      <c r="I12" s="39"/>
      <c r="J12" s="403"/>
      <c r="K12" s="51"/>
      <c r="L12" s="39"/>
      <c r="M12" s="39"/>
      <c r="N12" s="405"/>
    </row>
    <row r="13" spans="2:14" ht="13.5">
      <c r="B13" s="54" t="s">
        <v>239</v>
      </c>
      <c r="C13" s="55"/>
      <c r="D13" s="1810" t="s">
        <v>293</v>
      </c>
      <c r="E13" s="1810"/>
      <c r="F13" s="1810"/>
      <c r="G13" s="1810"/>
      <c r="H13" s="55"/>
      <c r="I13" s="55" t="s">
        <v>240</v>
      </c>
      <c r="J13" s="1810" t="s">
        <v>293</v>
      </c>
      <c r="K13" s="1810"/>
      <c r="L13" s="1810"/>
      <c r="M13" s="1810"/>
      <c r="N13" s="274"/>
    </row>
    <row r="14" spans="2:14" ht="13.5">
      <c r="B14" s="54"/>
      <c r="C14" s="55"/>
      <c r="D14" s="273"/>
      <c r="E14" s="273"/>
      <c r="F14" s="273"/>
      <c r="G14" s="273"/>
      <c r="H14" s="55"/>
      <c r="I14" s="273"/>
      <c r="J14" s="55"/>
      <c r="K14" s="273"/>
      <c r="L14" s="1811"/>
      <c r="M14" s="1811"/>
      <c r="N14" s="1812"/>
    </row>
    <row r="15" spans="2:14" ht="13.5">
      <c r="B15" s="54"/>
      <c r="C15" s="55"/>
      <c r="D15" s="273"/>
      <c r="E15" s="273"/>
      <c r="F15" s="273"/>
      <c r="G15" s="273"/>
      <c r="H15" s="55"/>
      <c r="I15" s="273"/>
      <c r="J15" s="55"/>
      <c r="K15" s="273"/>
      <c r="L15" s="273"/>
      <c r="M15" s="273"/>
      <c r="N15" s="274"/>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279"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275"/>
      <c r="E22" s="275"/>
      <c r="F22" s="275"/>
      <c r="G22" s="275"/>
      <c r="H22" s="275"/>
      <c r="I22" s="275"/>
      <c r="J22" s="275"/>
      <c r="K22" s="275"/>
      <c r="L22" s="275"/>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thickBot="1">
      <c r="B34" s="176" t="s">
        <v>621</v>
      </c>
      <c r="C34" s="1885" t="s">
        <v>622</v>
      </c>
      <c r="D34" s="1887"/>
      <c r="E34" s="1887"/>
      <c r="F34" s="1887"/>
      <c r="G34" s="1887"/>
      <c r="H34" s="1887"/>
      <c r="I34" s="1887"/>
      <c r="J34" s="1887"/>
      <c r="K34" s="1886"/>
      <c r="L34" s="1885" t="s">
        <v>111</v>
      </c>
      <c r="M34" s="1886"/>
      <c r="N34" s="177">
        <v>1260</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6</v>
      </c>
      <c r="C39" s="1840"/>
      <c r="D39" s="1840"/>
      <c r="E39" s="1840"/>
      <c r="F39" s="1841"/>
      <c r="G39" s="1842"/>
      <c r="H39" s="1841"/>
      <c r="I39" s="1842"/>
      <c r="J39" s="1841"/>
      <c r="K39" s="88">
        <v>8400</v>
      </c>
      <c r="L39" s="1908">
        <v>1.5</v>
      </c>
      <c r="M39" s="1909"/>
      <c r="N39" s="89">
        <v>5600</v>
      </c>
    </row>
    <row r="40" spans="2:14">
      <c r="B40" s="1839" t="s">
        <v>77</v>
      </c>
      <c r="C40" s="1840"/>
      <c r="D40" s="1840"/>
      <c r="E40" s="1840"/>
      <c r="F40" s="1841"/>
      <c r="G40" s="1842"/>
      <c r="H40" s="1841"/>
      <c r="I40" s="1842"/>
      <c r="J40" s="1841"/>
      <c r="K40" s="88"/>
      <c r="L40" s="1908"/>
      <c r="M40" s="1909"/>
      <c r="N40" s="89">
        <v>945.39625000000001</v>
      </c>
    </row>
    <row r="41" spans="2:14">
      <c r="B41" s="1839"/>
      <c r="C41" s="1840"/>
      <c r="D41" s="1840"/>
      <c r="E41" s="1840"/>
      <c r="F41" s="1841"/>
      <c r="G41" s="1842"/>
      <c r="H41" s="1841"/>
      <c r="I41" s="1842"/>
      <c r="J41" s="1841"/>
      <c r="K41" s="88"/>
      <c r="L41" s="1908"/>
      <c r="M41" s="1909"/>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6545.3962499999998</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271" t="s">
        <v>38</v>
      </c>
      <c r="K47" s="178" t="s">
        <v>115</v>
      </c>
      <c r="L47" s="1829" t="s">
        <v>190</v>
      </c>
      <c r="M47" s="1832"/>
      <c r="N47" s="179" t="s">
        <v>191</v>
      </c>
    </row>
    <row r="48" spans="2:14">
      <c r="B48" s="1839" t="s">
        <v>1505</v>
      </c>
      <c r="C48" s="1840"/>
      <c r="D48" s="1840"/>
      <c r="E48" s="1840"/>
      <c r="F48" s="1840"/>
      <c r="G48" s="1840"/>
      <c r="H48" s="1840"/>
      <c r="I48" s="1841"/>
      <c r="J48" s="131" t="s">
        <v>40</v>
      </c>
      <c r="K48" s="132">
        <v>1.3</v>
      </c>
      <c r="L48" s="1852">
        <v>71800</v>
      </c>
      <c r="M48" s="1853"/>
      <c r="N48" s="89">
        <v>93340</v>
      </c>
    </row>
    <row r="49" spans="2:14">
      <c r="B49" s="1839" t="s">
        <v>73</v>
      </c>
      <c r="C49" s="1840"/>
      <c r="D49" s="1840"/>
      <c r="E49" s="1840"/>
      <c r="F49" s="1840"/>
      <c r="G49" s="1840"/>
      <c r="H49" s="1840"/>
      <c r="I49" s="1841"/>
      <c r="J49" s="131" t="s">
        <v>34</v>
      </c>
      <c r="K49" s="132">
        <v>30</v>
      </c>
      <c r="L49" s="1852">
        <v>55</v>
      </c>
      <c r="M49" s="1853"/>
      <c r="N49" s="89">
        <v>1650</v>
      </c>
    </row>
    <row r="50" spans="2:14">
      <c r="B50" s="1839"/>
      <c r="C50" s="1840"/>
      <c r="D50" s="1840"/>
      <c r="E50" s="1840"/>
      <c r="F50" s="1840"/>
      <c r="G50" s="1840"/>
      <c r="H50" s="1840"/>
      <c r="I50" s="1841"/>
      <c r="J50" s="131"/>
      <c r="K50" s="132"/>
      <c r="L50" s="1852"/>
      <c r="M50" s="1853"/>
      <c r="N50" s="89"/>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270"/>
      <c r="K52" s="166"/>
      <c r="L52" s="1852"/>
      <c r="M52" s="1853"/>
      <c r="N52" s="89"/>
    </row>
    <row r="53" spans="2:14" ht="14.25" thickBot="1">
      <c r="B53" s="1848" t="s">
        <v>188</v>
      </c>
      <c r="C53" s="1849"/>
      <c r="D53" s="1849"/>
      <c r="E53" s="1849"/>
      <c r="F53" s="1849"/>
      <c r="G53" s="1849"/>
      <c r="H53" s="1849"/>
      <c r="I53" s="1849"/>
      <c r="J53" s="1849"/>
      <c r="K53" s="1849"/>
      <c r="L53" s="1849"/>
      <c r="M53" s="1850"/>
      <c r="N53" s="99">
        <v>94990</v>
      </c>
    </row>
    <row r="54" spans="2:14">
      <c r="B54" s="1763" t="s">
        <v>51</v>
      </c>
      <c r="C54" s="1764"/>
      <c r="D54" s="1764"/>
      <c r="E54" s="1764"/>
      <c r="F54" s="1764"/>
      <c r="G54" s="1764"/>
      <c r="H54" s="1764"/>
      <c r="I54" s="1764"/>
      <c r="J54" s="1764"/>
      <c r="K54" s="1764"/>
      <c r="L54" s="1764"/>
      <c r="M54" s="1764"/>
      <c r="N54" s="1765"/>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265" t="s">
        <v>194</v>
      </c>
      <c r="K57" s="182" t="s">
        <v>310</v>
      </c>
      <c r="L57" s="1829" t="s">
        <v>39</v>
      </c>
      <c r="M57" s="1832"/>
      <c r="N57" s="179" t="s">
        <v>191</v>
      </c>
    </row>
    <row r="58" spans="2:14">
      <c r="B58" s="1839"/>
      <c r="C58" s="1840"/>
      <c r="D58" s="1840"/>
      <c r="E58" s="1840"/>
      <c r="F58" s="1840"/>
      <c r="G58" s="1840"/>
      <c r="H58" s="1840"/>
      <c r="I58" s="96"/>
      <c r="J58" s="133"/>
      <c r="K58" s="100"/>
      <c r="L58" s="1843"/>
      <c r="M58" s="1844"/>
      <c r="N58" s="135"/>
    </row>
    <row r="59" spans="2:14">
      <c r="B59" s="1839"/>
      <c r="C59" s="1840"/>
      <c r="D59" s="1840"/>
      <c r="E59" s="1840"/>
      <c r="F59" s="1840"/>
      <c r="G59" s="1840"/>
      <c r="H59" s="1840"/>
      <c r="I59" s="96"/>
      <c r="J59" s="133"/>
      <c r="K59" s="100"/>
      <c r="L59" s="1843"/>
      <c r="M59" s="1844"/>
      <c r="N59" s="135"/>
    </row>
    <row r="60" spans="2:14" ht="13.5" thickBot="1">
      <c r="B60" s="1834"/>
      <c r="C60" s="1835"/>
      <c r="D60" s="1835"/>
      <c r="E60" s="1835"/>
      <c r="F60" s="1835"/>
      <c r="G60" s="1835"/>
      <c r="H60" s="1835"/>
      <c r="I60" s="165"/>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0</v>
      </c>
    </row>
    <row r="62" spans="2:14">
      <c r="B62" s="1763" t="s">
        <v>52</v>
      </c>
      <c r="C62" s="1764"/>
      <c r="D62" s="1764"/>
      <c r="E62" s="1764"/>
      <c r="F62" s="1764"/>
      <c r="G62" s="1764"/>
      <c r="H62" s="1764"/>
      <c r="I62" s="1764"/>
      <c r="J62" s="1764"/>
      <c r="K62" s="1764"/>
      <c r="L62" s="1764"/>
      <c r="M62" s="1764"/>
      <c r="N62" s="1765"/>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265" t="s">
        <v>46</v>
      </c>
      <c r="K65" s="182" t="s">
        <v>197</v>
      </c>
      <c r="L65" s="1829" t="s">
        <v>186</v>
      </c>
      <c r="M65" s="1832"/>
      <c r="N65" s="179" t="s">
        <v>191</v>
      </c>
    </row>
    <row r="66" spans="2:14">
      <c r="B66" s="276" t="s">
        <v>62</v>
      </c>
      <c r="C66" s="277"/>
      <c r="D66" s="277"/>
      <c r="E66" s="277"/>
      <c r="F66" s="277"/>
      <c r="G66" s="277"/>
      <c r="H66" s="277"/>
      <c r="I66" s="107">
        <v>82200</v>
      </c>
      <c r="J66" s="108">
        <v>1.85</v>
      </c>
      <c r="K66" s="109">
        <v>152070</v>
      </c>
      <c r="L66" s="1861">
        <v>12</v>
      </c>
      <c r="M66" s="1862"/>
      <c r="N66" s="110">
        <v>12672.5</v>
      </c>
    </row>
    <row r="67" spans="2:14">
      <c r="B67" s="276" t="s">
        <v>48</v>
      </c>
      <c r="C67" s="277"/>
      <c r="D67" s="277"/>
      <c r="E67" s="277"/>
      <c r="F67" s="277"/>
      <c r="G67" s="277"/>
      <c r="H67" s="277"/>
      <c r="I67" s="107">
        <v>40446</v>
      </c>
      <c r="J67" s="108">
        <v>1.85</v>
      </c>
      <c r="K67" s="109">
        <v>74825.100000000006</v>
      </c>
      <c r="L67" s="1861">
        <v>12</v>
      </c>
      <c r="M67" s="1862"/>
      <c r="N67" s="110">
        <v>6235.4250000000002</v>
      </c>
    </row>
    <row r="68" spans="2:14">
      <c r="B68" s="276"/>
      <c r="C68" s="277"/>
      <c r="D68" s="277"/>
      <c r="E68" s="277"/>
      <c r="F68" s="277"/>
      <c r="G68" s="277"/>
      <c r="H68" s="277"/>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18907.924999999999</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120443.32125000001</v>
      </c>
    </row>
    <row r="73" spans="2:14">
      <c r="B73" s="1763" t="s">
        <v>53</v>
      </c>
      <c r="C73" s="1764"/>
      <c r="D73" s="1764"/>
      <c r="E73" s="1764"/>
      <c r="F73" s="1764"/>
      <c r="G73" s="1764"/>
      <c r="H73" s="1764"/>
      <c r="I73" s="1764"/>
      <c r="J73" s="1764"/>
      <c r="K73" s="1764"/>
      <c r="L73" s="1764"/>
      <c r="M73" s="1764"/>
      <c r="N73" s="1765"/>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265"/>
      <c r="J76" s="266"/>
      <c r="K76" s="184" t="s">
        <v>54</v>
      </c>
      <c r="L76" s="1857" t="s">
        <v>55</v>
      </c>
      <c r="M76" s="1858"/>
      <c r="N76" s="185"/>
    </row>
    <row r="77" spans="2:14">
      <c r="B77" s="1839" t="s">
        <v>44</v>
      </c>
      <c r="C77" s="1840"/>
      <c r="D77" s="1840"/>
      <c r="E77" s="1840"/>
      <c r="F77" s="1840"/>
      <c r="G77" s="1840"/>
      <c r="H77" s="1840"/>
      <c r="I77" s="113"/>
      <c r="J77" s="114"/>
      <c r="K77" s="192">
        <v>0.22</v>
      </c>
      <c r="L77" s="1877">
        <v>26497.530675000002</v>
      </c>
      <c r="M77" s="1878"/>
      <c r="N77" s="115"/>
    </row>
    <row r="78" spans="2:14">
      <c r="B78" s="116" t="s">
        <v>56</v>
      </c>
      <c r="C78" s="117"/>
      <c r="D78" s="117"/>
      <c r="E78" s="117"/>
      <c r="F78" s="117"/>
      <c r="G78" s="117"/>
      <c r="H78" s="117"/>
      <c r="I78" s="113"/>
      <c r="J78" s="114"/>
      <c r="K78" s="192">
        <v>0.05</v>
      </c>
      <c r="L78" s="1877">
        <v>6022.1660625000004</v>
      </c>
      <c r="M78" s="1878"/>
      <c r="N78" s="115"/>
    </row>
    <row r="79" spans="2:14" ht="13.5" thickBot="1">
      <c r="B79" s="267" t="s">
        <v>45</v>
      </c>
      <c r="C79" s="268"/>
      <c r="D79" s="268"/>
      <c r="E79" s="268"/>
      <c r="F79" s="268"/>
      <c r="G79" s="268"/>
      <c r="H79" s="268"/>
      <c r="I79" s="120"/>
      <c r="J79" s="121"/>
      <c r="K79" s="192">
        <v>0.05</v>
      </c>
      <c r="L79" s="1879">
        <v>6022.1660625000004</v>
      </c>
      <c r="M79" s="1880"/>
      <c r="N79" s="115"/>
    </row>
    <row r="80" spans="2:14" ht="14.25" thickBot="1">
      <c r="B80" s="1848" t="s">
        <v>188</v>
      </c>
      <c r="C80" s="1849"/>
      <c r="D80" s="1849"/>
      <c r="E80" s="1849"/>
      <c r="F80" s="1849"/>
      <c r="G80" s="1849"/>
      <c r="H80" s="1849"/>
      <c r="I80" s="1849"/>
      <c r="J80" s="1849"/>
      <c r="K80" s="1849"/>
      <c r="L80" s="1849"/>
      <c r="M80" s="1850"/>
      <c r="N80" s="122">
        <v>38541.862800000003</v>
      </c>
    </row>
    <row r="81" spans="2:14" ht="13.5" thickBot="1">
      <c r="B81" s="85"/>
      <c r="C81" s="66"/>
      <c r="D81" s="66"/>
      <c r="E81" s="66"/>
      <c r="F81" s="66"/>
      <c r="G81" s="66"/>
      <c r="H81" s="66"/>
      <c r="I81" s="66"/>
      <c r="J81" s="66"/>
      <c r="K81" s="66"/>
      <c r="L81" s="66"/>
      <c r="M81" s="66"/>
      <c r="N81" s="73"/>
    </row>
    <row r="82" spans="2:14" ht="13.5" thickBot="1">
      <c r="B82" s="1854" t="s">
        <v>199</v>
      </c>
      <c r="C82" s="1855"/>
      <c r="D82" s="1855"/>
      <c r="E82" s="1855"/>
      <c r="F82" s="1855"/>
      <c r="G82" s="1855"/>
      <c r="H82" s="1855"/>
      <c r="I82" s="1855"/>
      <c r="J82" s="1855"/>
      <c r="K82" s="1855"/>
      <c r="L82" s="1855"/>
      <c r="M82" s="1856"/>
      <c r="N82" s="188">
        <v>158985</v>
      </c>
    </row>
    <row r="83" spans="2:14" s="39" customFormat="1">
      <c r="B83" s="64"/>
      <c r="C83" s="65"/>
      <c r="D83" s="65"/>
      <c r="E83" s="65"/>
      <c r="F83" s="65"/>
      <c r="G83" s="65"/>
      <c r="H83" s="65"/>
      <c r="I83" s="65"/>
      <c r="J83" s="65"/>
      <c r="K83" s="65"/>
      <c r="L83" s="65"/>
      <c r="M83" s="65"/>
      <c r="N83" s="67"/>
    </row>
    <row r="84" spans="2:14" s="39" customFormat="1">
      <c r="B84" s="85"/>
      <c r="C84" s="66"/>
      <c r="D84" s="66"/>
      <c r="E84" s="66"/>
      <c r="F84" s="66"/>
      <c r="G84" s="66"/>
      <c r="H84" s="66"/>
      <c r="I84" s="66"/>
      <c r="J84" s="66"/>
      <c r="K84" s="66"/>
      <c r="L84" s="66"/>
      <c r="M84" s="66"/>
      <c r="N84" s="73"/>
    </row>
    <row r="85" spans="2:14" s="39" customFormat="1">
      <c r="B85" s="85"/>
      <c r="C85" s="66"/>
      <c r="D85" s="66"/>
      <c r="E85" s="66"/>
      <c r="F85" s="66"/>
      <c r="G85" s="66"/>
      <c r="H85" s="66"/>
      <c r="I85" s="66"/>
      <c r="J85" s="66"/>
      <c r="K85" s="66"/>
      <c r="L85" s="66"/>
      <c r="M85" s="66"/>
      <c r="N85" s="73"/>
    </row>
    <row r="86" spans="2:14" s="39" customFormat="1">
      <c r="B86" s="85"/>
      <c r="C86" s="66"/>
      <c r="D86" s="66"/>
      <c r="E86" s="66"/>
      <c r="F86" s="66"/>
      <c r="G86" s="71" t="s">
        <v>249</v>
      </c>
      <c r="H86" s="71"/>
      <c r="I86" s="71"/>
      <c r="J86" s="71"/>
      <c r="K86" s="66"/>
      <c r="L86" s="66"/>
      <c r="M86" s="66"/>
      <c r="N86" s="73"/>
    </row>
    <row r="87" spans="2:14" s="39" customFormat="1" ht="13.5">
      <c r="B87" s="123"/>
      <c r="C87" s="124"/>
      <c r="D87" s="124"/>
      <c r="E87" s="124"/>
      <c r="F87" s="124"/>
      <c r="G87" s="71" t="s">
        <v>250</v>
      </c>
      <c r="H87" s="124"/>
      <c r="I87" s="124"/>
      <c r="J87" s="124"/>
      <c r="K87" s="124"/>
      <c r="L87" s="124"/>
      <c r="M87" s="124"/>
      <c r="N87" s="125"/>
    </row>
    <row r="88" spans="2:14" s="39" customFormat="1" ht="13.5">
      <c r="B88" s="123"/>
      <c r="C88" s="124"/>
      <c r="D88" s="124"/>
      <c r="E88" s="124"/>
      <c r="F88" s="124"/>
      <c r="G88" s="71" t="s">
        <v>251</v>
      </c>
      <c r="J88" s="124"/>
      <c r="K88" s="124"/>
      <c r="L88" s="124"/>
      <c r="M88" s="124"/>
      <c r="N88" s="125"/>
    </row>
    <row r="89" spans="2:14" s="39" customFormat="1">
      <c r="B89" s="49"/>
      <c r="C89" s="81"/>
      <c r="D89" s="81"/>
      <c r="E89" s="81"/>
      <c r="F89" s="81"/>
      <c r="G89" s="71" t="s">
        <v>252</v>
      </c>
      <c r="H89" s="81"/>
      <c r="I89" s="81"/>
      <c r="J89" s="81"/>
      <c r="K89" s="81"/>
      <c r="L89" s="81"/>
      <c r="M89" s="81"/>
      <c r="N89" s="79"/>
    </row>
    <row r="90" spans="2:14" s="39" customFormat="1">
      <c r="B90" s="85"/>
      <c r="C90" s="66"/>
      <c r="D90" s="66"/>
      <c r="E90" s="66"/>
      <c r="F90" s="66"/>
      <c r="G90" s="66" t="s">
        <v>253</v>
      </c>
      <c r="H90" s="66"/>
      <c r="I90" s="66"/>
      <c r="J90" s="66"/>
      <c r="K90" s="66"/>
      <c r="L90" s="66"/>
      <c r="M90" s="66"/>
      <c r="N90" s="73"/>
    </row>
    <row r="91" spans="2:14" s="39" customFormat="1" ht="13.5">
      <c r="B91" s="92" t="s">
        <v>254</v>
      </c>
      <c r="C91" s="93"/>
      <c r="D91" s="93"/>
      <c r="E91" s="93"/>
      <c r="F91" s="93"/>
      <c r="G91" s="93"/>
      <c r="H91" s="93"/>
      <c r="I91" s="93"/>
      <c r="J91" s="93"/>
      <c r="K91" s="93"/>
      <c r="L91" s="93"/>
      <c r="M91" s="93"/>
      <c r="N91" s="94"/>
    </row>
    <row r="92" spans="2:14" s="39" customFormat="1">
      <c r="B92" s="1874"/>
      <c r="C92" s="1875"/>
      <c r="D92" s="1875"/>
      <c r="E92" s="1875"/>
      <c r="F92" s="1875"/>
      <c r="G92" s="1875"/>
      <c r="H92" s="1875"/>
      <c r="I92" s="1875"/>
      <c r="J92" s="1875"/>
      <c r="K92" s="1875"/>
      <c r="L92" s="1875"/>
      <c r="M92" s="1875"/>
      <c r="N92" s="1876"/>
    </row>
    <row r="93" spans="2:14" s="39" customFormat="1">
      <c r="B93" s="1874"/>
      <c r="C93" s="1875"/>
      <c r="D93" s="1875"/>
      <c r="E93" s="1875"/>
      <c r="F93" s="1875"/>
      <c r="G93" s="1875"/>
      <c r="H93" s="1875"/>
      <c r="I93" s="1875"/>
      <c r="J93" s="1875"/>
      <c r="K93" s="1875"/>
      <c r="L93" s="1875"/>
      <c r="M93" s="1875"/>
      <c r="N93" s="1876"/>
    </row>
    <row r="94" spans="2:14" s="39" customFormat="1">
      <c r="B94" s="49"/>
      <c r="C94" s="81"/>
      <c r="D94" s="81"/>
      <c r="E94" s="81"/>
      <c r="F94" s="81"/>
      <c r="G94" s="81"/>
      <c r="H94" s="81"/>
      <c r="I94" s="81"/>
      <c r="J94" s="81"/>
      <c r="K94" s="81"/>
      <c r="L94" s="81"/>
      <c r="M94" s="81"/>
      <c r="N94" s="79"/>
    </row>
    <row r="95" spans="2:14" s="39" customFormat="1">
      <c r="B95" s="406" t="s">
        <v>719</v>
      </c>
      <c r="C95" s="81"/>
      <c r="D95" s="81"/>
      <c r="E95" s="81"/>
      <c r="F95" s="81"/>
      <c r="G95" s="81"/>
      <c r="H95" s="81"/>
      <c r="I95" s="81"/>
      <c r="J95" s="81"/>
      <c r="K95" s="81"/>
      <c r="L95" s="81"/>
      <c r="M95" s="81"/>
      <c r="N95" s="79"/>
    </row>
    <row r="96" spans="2:14" s="39" customFormat="1" ht="12.75" customHeight="1">
      <c r="B96" s="1871" t="s">
        <v>720</v>
      </c>
      <c r="C96" s="1872"/>
      <c r="D96" s="1872"/>
      <c r="E96" s="1872"/>
      <c r="F96" s="1872"/>
      <c r="G96" s="1872"/>
      <c r="H96" s="1872"/>
      <c r="I96" s="1872"/>
      <c r="J96" s="1872"/>
      <c r="K96" s="1872"/>
      <c r="L96" s="1872"/>
      <c r="M96" s="1872"/>
      <c r="N96" s="1873"/>
    </row>
    <row r="97" spans="2:14" s="39" customFormat="1">
      <c r="B97" s="1871"/>
      <c r="C97" s="1872"/>
      <c r="D97" s="1872"/>
      <c r="E97" s="1872"/>
      <c r="F97" s="1872"/>
      <c r="G97" s="1872"/>
      <c r="H97" s="1872"/>
      <c r="I97" s="1872"/>
      <c r="J97" s="1872"/>
      <c r="K97" s="1872"/>
      <c r="L97" s="1872"/>
      <c r="M97" s="1872"/>
      <c r="N97" s="1873"/>
    </row>
    <row r="98" spans="2:14" s="39" customFormat="1">
      <c r="B98" s="1871" t="s">
        <v>721</v>
      </c>
      <c r="C98" s="1872"/>
      <c r="D98" s="1872"/>
      <c r="E98" s="1872"/>
      <c r="F98" s="1872"/>
      <c r="G98" s="1872"/>
      <c r="H98" s="1872"/>
      <c r="I98" s="1872"/>
      <c r="J98" s="1872"/>
      <c r="K98" s="1872"/>
      <c r="L98" s="1872"/>
      <c r="M98" s="1872"/>
      <c r="N98" s="1873"/>
    </row>
    <row r="99" spans="2:14" s="39" customFormat="1">
      <c r="B99" s="1871"/>
      <c r="C99" s="1872"/>
      <c r="D99" s="1872"/>
      <c r="E99" s="1872"/>
      <c r="F99" s="1872"/>
      <c r="G99" s="1872"/>
      <c r="H99" s="1872"/>
      <c r="I99" s="1872"/>
      <c r="J99" s="1872"/>
      <c r="K99" s="1872"/>
      <c r="L99" s="1872"/>
      <c r="M99" s="1872"/>
      <c r="N99" s="1873"/>
    </row>
    <row r="100" spans="2:14" s="39" customFormat="1">
      <c r="B100" s="49"/>
      <c r="C100" s="81"/>
      <c r="D100" s="81"/>
      <c r="E100" s="81"/>
      <c r="F100" s="81"/>
      <c r="G100" s="81"/>
      <c r="H100" s="81"/>
      <c r="I100" s="81"/>
      <c r="J100" s="81"/>
      <c r="K100" s="81"/>
      <c r="L100" s="81"/>
      <c r="M100" s="81"/>
      <c r="N100" s="79"/>
    </row>
    <row r="101" spans="2:14" s="39" customFormat="1">
      <c r="B101" s="85"/>
      <c r="C101" s="66"/>
      <c r="D101" s="66"/>
      <c r="E101" s="66"/>
      <c r="F101" s="66"/>
      <c r="G101" s="71" t="s">
        <v>249</v>
      </c>
      <c r="H101" s="66"/>
      <c r="I101" s="66"/>
      <c r="J101" s="66"/>
      <c r="K101" s="66"/>
      <c r="L101" s="66"/>
      <c r="M101" s="66"/>
      <c r="N101" s="73"/>
    </row>
    <row r="102" spans="2:14" s="39" customFormat="1">
      <c r="B102" s="85"/>
      <c r="C102" s="66"/>
      <c r="D102" s="66"/>
      <c r="E102" s="66"/>
      <c r="F102" s="66"/>
      <c r="G102" s="66" t="s">
        <v>250</v>
      </c>
      <c r="H102" s="86"/>
      <c r="I102" s="86"/>
      <c r="J102" s="86"/>
      <c r="K102" s="66"/>
      <c r="L102" s="66"/>
      <c r="M102" s="66"/>
      <c r="N102" s="73"/>
    </row>
    <row r="103" spans="2:14" s="39" customFormat="1">
      <c r="B103" s="85"/>
      <c r="C103" s="66"/>
      <c r="D103" s="66"/>
      <c r="E103" s="66"/>
      <c r="F103" s="66"/>
      <c r="G103" s="66" t="s">
        <v>255</v>
      </c>
      <c r="H103" s="80"/>
      <c r="I103" s="80"/>
      <c r="J103" s="80"/>
      <c r="M103" s="66"/>
      <c r="N103" s="73"/>
    </row>
    <row r="104" spans="2:14" s="39" customFormat="1">
      <c r="B104" s="127"/>
      <c r="C104" s="81"/>
      <c r="D104" s="81"/>
      <c r="E104" s="81"/>
      <c r="F104" s="81"/>
      <c r="G104" s="66" t="s">
        <v>252</v>
      </c>
      <c r="K104" s="81"/>
      <c r="L104" s="81"/>
      <c r="M104" s="81"/>
      <c r="N104" s="79"/>
    </row>
    <row r="105" spans="2:14" s="39" customFormat="1" ht="17.25" customHeight="1">
      <c r="B105" s="138" t="s">
        <v>722</v>
      </c>
      <c r="C105" s="128"/>
      <c r="D105" s="128"/>
      <c r="E105" s="66"/>
      <c r="F105" s="66"/>
      <c r="G105" s="66"/>
      <c r="H105" s="66"/>
      <c r="I105" s="66"/>
      <c r="J105" s="1863"/>
      <c r="K105" s="1863"/>
      <c r="L105" s="1863"/>
      <c r="M105" s="1863"/>
      <c r="N105" s="1864"/>
    </row>
    <row r="106" spans="2:14" s="39" customFormat="1"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L78:M78"/>
    <mergeCell ref="L79:M79"/>
    <mergeCell ref="B80:M80"/>
    <mergeCell ref="B82:M82"/>
    <mergeCell ref="B92:N92"/>
    <mergeCell ref="B93:N93"/>
    <mergeCell ref="B96:N97"/>
    <mergeCell ref="B98:N99"/>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M53"/>
    <mergeCell ref="B54:N56"/>
    <mergeCell ref="B57:H57"/>
    <mergeCell ref="L57:M57"/>
    <mergeCell ref="B58:H58"/>
    <mergeCell ref="L58:M58"/>
    <mergeCell ref="B59:H59"/>
    <mergeCell ref="L59:M59"/>
    <mergeCell ref="B60:H60"/>
    <mergeCell ref="L60:M60"/>
    <mergeCell ref="B61:M61"/>
    <mergeCell ref="B50:I50"/>
    <mergeCell ref="L50:M50"/>
    <mergeCell ref="B51:I51"/>
    <mergeCell ref="L51:M51"/>
    <mergeCell ref="B52:I52"/>
    <mergeCell ref="L52:M52"/>
    <mergeCell ref="B47:I47"/>
    <mergeCell ref="L47:M47"/>
    <mergeCell ref="B48:I48"/>
    <mergeCell ref="L48:M48"/>
    <mergeCell ref="B49:I49"/>
    <mergeCell ref="L49:M49"/>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2109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10945" r:id="rId3"/>
      </mc:Fallback>
    </mc:AlternateContent>
  </oleObjects>
  <mc:AlternateContent xmlns:mc="http://schemas.openxmlformats.org/markup-compatibility/2006">
    <mc:Choice Requires="x14">
      <controls>
        <mc:AlternateContent xmlns:mc="http://schemas.openxmlformats.org/markup-compatibility/2006">
          <mc:Choice Requires="x14">
            <control shapeId="2109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109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6"/>
  <sheetViews>
    <sheetView showGridLines="0" topLeftCell="A46" zoomScale="55" zoomScaleNormal="55" workbookViewId="0">
      <selection activeCell="C33" sqref="C33:K33"/>
    </sheetView>
  </sheetViews>
  <sheetFormatPr baseColWidth="10" defaultColWidth="11.42578125" defaultRowHeight="12.75"/>
  <cols>
    <col min="1" max="1" width="3.140625" style="32" customWidth="1"/>
    <col min="2" max="10" width="11.42578125" style="32"/>
    <col min="11" max="11" width="12.5703125" style="32" customWidth="1"/>
    <col min="12" max="13" width="11.42578125" style="32"/>
    <col min="14" max="14" width="17" style="32" customWidth="1"/>
    <col min="15" max="16384" width="11.42578125" style="32"/>
  </cols>
  <sheetData>
    <row r="1" spans="2:14" ht="13.5" thickBot="1"/>
    <row r="2" spans="2:14">
      <c r="B2" s="1772"/>
      <c r="C2" s="1774" t="s">
        <v>227</v>
      </c>
      <c r="D2" s="1775"/>
      <c r="E2" s="1775"/>
      <c r="F2" s="1775"/>
      <c r="G2" s="1775"/>
      <c r="H2" s="1775"/>
      <c r="I2" s="1775"/>
      <c r="J2" s="1776"/>
      <c r="K2" s="1777" t="s">
        <v>228</v>
      </c>
      <c r="L2" s="1779" t="s">
        <v>229</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231</v>
      </c>
      <c r="D5" s="1800"/>
      <c r="E5" s="1800"/>
      <c r="F5" s="1800"/>
      <c r="G5" s="1800"/>
      <c r="H5" s="1800"/>
      <c r="I5" s="1800"/>
      <c r="J5" s="1801"/>
      <c r="K5" s="1792"/>
      <c r="L5" s="1796"/>
      <c r="M5" s="1797"/>
      <c r="N5" s="1798"/>
    </row>
    <row r="6" spans="2:14">
      <c r="B6" s="1773"/>
      <c r="C6" s="1805" t="e">
        <f>+#REF!</f>
        <v>#REF!</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238"/>
      <c r="C9" s="41"/>
      <c r="D9" s="41"/>
      <c r="E9" s="41"/>
      <c r="F9" s="41"/>
      <c r="G9" s="41"/>
      <c r="H9" s="41"/>
      <c r="I9" s="41"/>
      <c r="J9" s="41"/>
      <c r="K9" s="41"/>
      <c r="L9" s="42"/>
      <c r="M9" s="42"/>
      <c r="N9" s="43"/>
    </row>
    <row r="10" spans="2:14" ht="12.75" customHeight="1">
      <c r="B10" s="44"/>
      <c r="C10" s="45"/>
      <c r="D10" s="45"/>
      <c r="E10" s="45"/>
      <c r="F10" s="45"/>
      <c r="G10" s="45"/>
      <c r="H10" s="45"/>
      <c r="I10" s="45"/>
      <c r="J10" s="45"/>
      <c r="K10" s="46" t="s">
        <v>235</v>
      </c>
      <c r="L10" s="47" t="s">
        <v>236</v>
      </c>
      <c r="M10" s="47" t="s">
        <v>237</v>
      </c>
      <c r="N10" s="48" t="s">
        <v>238</v>
      </c>
    </row>
    <row r="11" spans="2:14" ht="13.5">
      <c r="B11" s="49"/>
      <c r="C11" s="243"/>
      <c r="D11" s="243"/>
      <c r="E11" s="243"/>
      <c r="F11" s="243"/>
      <c r="G11" s="243"/>
      <c r="H11" s="243"/>
      <c r="I11" s="243"/>
      <c r="J11" s="243"/>
      <c r="K11" s="51"/>
      <c r="L11" s="52" t="e">
        <f>+#REF!</f>
        <v>#REF!</v>
      </c>
      <c r="M11" s="52" t="e">
        <f>+#REF!</f>
        <v>#REF!</v>
      </c>
      <c r="N11" s="53" t="e">
        <f>+#REF!</f>
        <v>#REF!</v>
      </c>
    </row>
    <row r="12" spans="2:14" ht="13.5">
      <c r="B12" s="54" t="s">
        <v>239</v>
      </c>
      <c r="C12" s="55"/>
      <c r="D12" s="1810" t="e">
        <f>+#REF!</f>
        <v>#REF!</v>
      </c>
      <c r="E12" s="1810"/>
      <c r="F12" s="1810"/>
      <c r="G12" s="1810"/>
      <c r="H12" s="55"/>
      <c r="I12" s="55" t="s">
        <v>240</v>
      </c>
      <c r="J12" s="1810" t="e">
        <f>+#REF!</f>
        <v>#REF!</v>
      </c>
      <c r="K12" s="1810"/>
      <c r="L12" s="1810"/>
      <c r="M12" s="1810"/>
      <c r="N12" s="245"/>
    </row>
    <row r="13" spans="2:14" ht="13.5">
      <c r="B13" s="54"/>
      <c r="C13" s="55"/>
      <c r="D13" s="244"/>
      <c r="E13" s="244"/>
      <c r="F13" s="244"/>
      <c r="G13" s="244"/>
      <c r="H13" s="55"/>
      <c r="I13" s="244"/>
      <c r="J13" s="55"/>
      <c r="K13" s="244"/>
      <c r="L13" s="1811"/>
      <c r="M13" s="1811"/>
      <c r="N13" s="1812"/>
    </row>
    <row r="14" spans="2:14" ht="13.5">
      <c r="B14" s="54"/>
      <c r="C14" s="55"/>
      <c r="D14" s="244"/>
      <c r="E14" s="244"/>
      <c r="F14" s="244"/>
      <c r="G14" s="244"/>
      <c r="H14" s="55"/>
      <c r="I14" s="244"/>
      <c r="J14" s="55"/>
      <c r="K14" s="244"/>
      <c r="L14" s="244"/>
      <c r="M14" s="244"/>
      <c r="N14" s="245"/>
    </row>
    <row r="15" spans="2:14" ht="13.5">
      <c r="B15" s="58"/>
      <c r="C15" s="59"/>
      <c r="D15" s="59"/>
      <c r="E15" s="59"/>
      <c r="F15" s="59"/>
      <c r="G15" s="59"/>
      <c r="H15" s="59"/>
      <c r="I15" s="59"/>
      <c r="J15" s="59"/>
      <c r="K15" s="59"/>
      <c r="L15" s="59"/>
      <c r="M15" s="59"/>
      <c r="N15" s="60"/>
    </row>
    <row r="16" spans="2:14" ht="13.5" thickBot="1">
      <c r="B16" s="61"/>
      <c r="C16" s="62"/>
      <c r="D16" s="62"/>
      <c r="E16" s="62"/>
      <c r="F16" s="62"/>
      <c r="G16" s="62"/>
      <c r="H16" s="62"/>
      <c r="I16" s="62"/>
      <c r="J16" s="62"/>
      <c r="K16" s="62"/>
      <c r="L16" s="62"/>
      <c r="M16" s="62"/>
      <c r="N16" s="63"/>
    </row>
    <row r="17" spans="2:14">
      <c r="B17" s="64"/>
      <c r="C17" s="65"/>
      <c r="D17" s="65"/>
      <c r="E17" s="65"/>
      <c r="F17" s="65"/>
      <c r="G17" s="65"/>
      <c r="H17" s="66"/>
      <c r="I17" s="66"/>
      <c r="J17" s="65"/>
      <c r="K17" s="65"/>
      <c r="L17" s="65"/>
      <c r="M17" s="65"/>
      <c r="N17" s="67"/>
    </row>
    <row r="18" spans="2:14" ht="13.5">
      <c r="B18" s="68" t="s">
        <v>241</v>
      </c>
      <c r="C18" s="69"/>
      <c r="D18" s="70" t="e">
        <f>+#REF!</f>
        <v>#REF!</v>
      </c>
      <c r="E18" s="71"/>
      <c r="F18" s="71"/>
      <c r="G18" s="251" t="s">
        <v>233</v>
      </c>
      <c r="H18" s="1818" t="e">
        <f>+#REF!</f>
        <v>#REF!</v>
      </c>
      <c r="I18" s="1818"/>
      <c r="J18" s="1818"/>
      <c r="K18" s="1818"/>
      <c r="L18" s="1818"/>
      <c r="M18" s="1818"/>
      <c r="N18" s="73"/>
    </row>
    <row r="19" spans="2:14">
      <c r="B19" s="74" t="s">
        <v>242</v>
      </c>
      <c r="C19" s="75"/>
      <c r="D19" s="1819" t="e">
        <f>+#REF!</f>
        <v>#REF!</v>
      </c>
      <c r="E19" s="1819"/>
      <c r="F19" s="1819"/>
      <c r="G19" s="1819"/>
      <c r="H19" s="1819"/>
      <c r="I19" s="1819"/>
      <c r="J19" s="1819"/>
      <c r="K19" s="1819"/>
      <c r="L19" s="1819"/>
      <c r="M19" s="1819"/>
      <c r="N19" s="76"/>
    </row>
    <row r="20" spans="2:14">
      <c r="B20" s="74"/>
      <c r="C20" s="75"/>
      <c r="D20" s="1820"/>
      <c r="E20" s="1820"/>
      <c r="F20" s="1820"/>
      <c r="G20" s="1820"/>
      <c r="H20" s="1820"/>
      <c r="I20" s="1820"/>
      <c r="J20" s="1820"/>
      <c r="K20" s="1820"/>
      <c r="L20" s="1820"/>
      <c r="M20" s="1820"/>
      <c r="N20" s="76"/>
    </row>
    <row r="21" spans="2:14">
      <c r="B21" s="74"/>
      <c r="C21" s="75"/>
      <c r="D21" s="246"/>
      <c r="E21" s="246"/>
      <c r="F21" s="246"/>
      <c r="G21" s="246"/>
      <c r="H21" s="246"/>
      <c r="I21" s="246"/>
      <c r="J21" s="246"/>
      <c r="K21" s="246"/>
      <c r="L21" s="246"/>
      <c r="M21" s="78"/>
      <c r="N21" s="76"/>
    </row>
    <row r="22" spans="2:14">
      <c r="B22" s="74" t="s">
        <v>292</v>
      </c>
      <c r="C22" s="75"/>
      <c r="D22" s="1816" t="e">
        <f>+#REF!</f>
        <v>#REF!</v>
      </c>
      <c r="E22" s="1816"/>
      <c r="F22" s="1816"/>
      <c r="G22" s="1816"/>
      <c r="H22" s="1816"/>
      <c r="I22" s="1816"/>
      <c r="J22" s="1816"/>
      <c r="K22" s="1816"/>
      <c r="L22" s="1816"/>
      <c r="M22" s="1816"/>
      <c r="N22" s="79"/>
    </row>
    <row r="23" spans="2:14">
      <c r="B23" s="74"/>
      <c r="C23" s="75"/>
      <c r="D23" s="80"/>
      <c r="E23" s="80"/>
      <c r="F23" s="80"/>
      <c r="G23" s="80"/>
      <c r="H23" s="80"/>
      <c r="I23" s="80"/>
      <c r="J23" s="80"/>
      <c r="K23" s="80"/>
      <c r="L23" s="80"/>
      <c r="M23" s="81"/>
      <c r="N23" s="79"/>
    </row>
    <row r="24" spans="2:14">
      <c r="B24" s="74" t="s">
        <v>243</v>
      </c>
      <c r="C24" s="75"/>
      <c r="D24" s="1816" t="e">
        <f>+#REF!</f>
        <v>#REF!</v>
      </c>
      <c r="E24" s="1816"/>
      <c r="F24" s="1816"/>
      <c r="G24" s="1816"/>
      <c r="H24" s="1816"/>
      <c r="I24" s="1816"/>
      <c r="J24" s="1816"/>
      <c r="K24" s="1816"/>
      <c r="L24" s="1816"/>
      <c r="M24" s="1816"/>
      <c r="N24" s="79"/>
    </row>
    <row r="25" spans="2:14">
      <c r="B25" s="74"/>
      <c r="C25" s="75"/>
      <c r="D25" s="80"/>
      <c r="E25" s="80"/>
      <c r="F25" s="80"/>
      <c r="G25" s="80"/>
      <c r="H25" s="80"/>
      <c r="I25" s="80"/>
      <c r="J25" s="80"/>
      <c r="K25" s="80"/>
      <c r="L25" s="80"/>
      <c r="M25" s="81"/>
      <c r="N25" s="79"/>
    </row>
    <row r="26" spans="2:14">
      <c r="B26" s="74" t="s">
        <v>244</v>
      </c>
      <c r="C26" s="74"/>
      <c r="D26" s="80"/>
      <c r="E26" s="1816" t="e">
        <f>+#REF!</f>
        <v>#REF!</v>
      </c>
      <c r="F26" s="1816"/>
      <c r="G26" s="1816"/>
      <c r="H26" s="1816"/>
      <c r="I26" s="1816"/>
      <c r="J26" s="1816"/>
      <c r="K26" s="1816"/>
      <c r="L26" s="1816"/>
      <c r="M26" s="1816"/>
      <c r="N26" s="79"/>
    </row>
    <row r="27" spans="2:14">
      <c r="B27" s="68"/>
      <c r="C27" s="69"/>
      <c r="D27" s="80"/>
      <c r="E27" s="80"/>
      <c r="F27" s="80"/>
      <c r="G27" s="80"/>
      <c r="H27" s="80"/>
      <c r="I27" s="80"/>
      <c r="J27" s="80"/>
      <c r="K27" s="80"/>
      <c r="L27" s="80"/>
      <c r="M27" s="81"/>
      <c r="N27" s="79"/>
    </row>
    <row r="28" spans="2:14">
      <c r="B28" s="74" t="s">
        <v>245</v>
      </c>
      <c r="C28" s="75"/>
      <c r="D28" s="80"/>
      <c r="E28" s="80"/>
      <c r="F28" s="80"/>
      <c r="G28" s="1817" t="e">
        <f>+#REF!</f>
        <v>#REF!</v>
      </c>
      <c r="H28" s="1817"/>
      <c r="I28" s="1817"/>
      <c r="J28" s="1817"/>
      <c r="K28" s="1817"/>
      <c r="L28" s="1817"/>
      <c r="M28" s="1817"/>
      <c r="N28" s="79"/>
    </row>
    <row r="29" spans="2:14" ht="13.5" thickBot="1">
      <c r="B29" s="82"/>
      <c r="C29" s="83"/>
      <c r="D29" s="83"/>
      <c r="E29" s="83"/>
      <c r="F29" s="83"/>
      <c r="G29" s="83"/>
      <c r="H29" s="83"/>
      <c r="I29" s="83"/>
      <c r="J29" s="83"/>
      <c r="K29" s="83"/>
      <c r="L29" s="83"/>
      <c r="M29" s="83"/>
      <c r="N29" s="84"/>
    </row>
    <row r="30" spans="2:14" ht="13.5">
      <c r="B30" s="1813" t="s">
        <v>246</v>
      </c>
      <c r="C30" s="1814"/>
      <c r="D30" s="1814"/>
      <c r="E30" s="1814"/>
      <c r="F30" s="1814"/>
      <c r="G30" s="1814"/>
      <c r="H30" s="1814"/>
      <c r="I30" s="1814"/>
      <c r="J30" s="1814"/>
      <c r="K30" s="1814"/>
      <c r="L30" s="1814"/>
      <c r="M30" s="1814"/>
      <c r="N30" s="1815"/>
    </row>
    <row r="31" spans="2:14" ht="13.5" thickBot="1">
      <c r="B31" s="85"/>
      <c r="C31" s="66"/>
      <c r="D31" s="66"/>
      <c r="E31" s="66"/>
      <c r="F31" s="66"/>
      <c r="G31" s="66"/>
      <c r="H31" s="66"/>
      <c r="I31" s="66"/>
      <c r="J31" s="66"/>
      <c r="K31" s="66"/>
      <c r="L31" s="66"/>
      <c r="M31" s="66"/>
      <c r="N31" s="73"/>
    </row>
    <row r="32" spans="2:14" ht="13.5" customHeight="1">
      <c r="B32" s="175" t="s">
        <v>29</v>
      </c>
      <c r="C32" s="1882" t="s">
        <v>173</v>
      </c>
      <c r="D32" s="1883"/>
      <c r="E32" s="1883"/>
      <c r="F32" s="1883"/>
      <c r="G32" s="1883"/>
      <c r="H32" s="1883"/>
      <c r="I32" s="1883"/>
      <c r="J32" s="1883"/>
      <c r="K32" s="1884" t="s">
        <v>247</v>
      </c>
      <c r="L32" s="1826" t="s">
        <v>38</v>
      </c>
      <c r="M32" s="1881"/>
      <c r="N32" s="175" t="s">
        <v>115</v>
      </c>
    </row>
    <row r="33" spans="2:14" ht="25.5" customHeight="1" thickBot="1">
      <c r="B33" s="176" t="e">
        <f>'PRESUPUESTO OFICIAL'!#REF!</f>
        <v>#REF!</v>
      </c>
      <c r="C33" s="1910" t="e">
        <f>'PRESUPUESTO OFICIAL'!#REF!</f>
        <v>#REF!</v>
      </c>
      <c r="D33" s="1911"/>
      <c r="E33" s="1911"/>
      <c r="F33" s="1911"/>
      <c r="G33" s="1911"/>
      <c r="H33" s="1911"/>
      <c r="I33" s="1911"/>
      <c r="J33" s="1911"/>
      <c r="K33" s="1912"/>
      <c r="L33" s="1885" t="e">
        <f>'PRESUPUESTO OFICIAL'!#REF!</f>
        <v>#REF!</v>
      </c>
      <c r="M33" s="1886"/>
      <c r="N33" s="203" t="e">
        <f>'PRESUPUESTO OFICIAL'!#REF!</f>
        <v>#REF!</v>
      </c>
    </row>
    <row r="34" spans="2:14">
      <c r="B34" s="1763" t="s">
        <v>49</v>
      </c>
      <c r="C34" s="1764"/>
      <c r="D34" s="1764"/>
      <c r="E34" s="1764"/>
      <c r="F34" s="1764"/>
      <c r="G34" s="1764"/>
      <c r="H34" s="1764"/>
      <c r="I34" s="1764"/>
      <c r="J34" s="1764"/>
      <c r="K34" s="1764"/>
      <c r="L34" s="1764"/>
      <c r="M34" s="1764"/>
      <c r="N34" s="1765"/>
    </row>
    <row r="35" spans="2:14">
      <c r="B35" s="1766"/>
      <c r="C35" s="1767"/>
      <c r="D35" s="1767"/>
      <c r="E35" s="1767"/>
      <c r="F35" s="1767"/>
      <c r="G35" s="1767"/>
      <c r="H35" s="1767"/>
      <c r="I35" s="1767"/>
      <c r="J35" s="1767"/>
      <c r="K35" s="1767"/>
      <c r="L35" s="1767"/>
      <c r="M35" s="1767"/>
      <c r="N35" s="1768"/>
    </row>
    <row r="36" spans="2:14" ht="13.5" thickBot="1">
      <c r="B36" s="1769"/>
      <c r="C36" s="1770"/>
      <c r="D36" s="1770"/>
      <c r="E36" s="1770"/>
      <c r="F36" s="1770"/>
      <c r="G36" s="1770"/>
      <c r="H36" s="1770"/>
      <c r="I36" s="1770"/>
      <c r="J36" s="1770"/>
      <c r="K36" s="1770"/>
      <c r="L36" s="1770"/>
      <c r="M36" s="1770"/>
      <c r="N36" s="1771"/>
    </row>
    <row r="37" spans="2:14" ht="13.5">
      <c r="B37" s="1826" t="s">
        <v>173</v>
      </c>
      <c r="C37" s="1827"/>
      <c r="D37" s="1827"/>
      <c r="E37" s="1827"/>
      <c r="F37" s="1828"/>
      <c r="G37" s="1829" t="s">
        <v>248</v>
      </c>
      <c r="H37" s="1827"/>
      <c r="I37" s="1830" t="s">
        <v>184</v>
      </c>
      <c r="J37" s="1831"/>
      <c r="K37" s="178" t="s">
        <v>185</v>
      </c>
      <c r="L37" s="1829" t="s">
        <v>186</v>
      </c>
      <c r="M37" s="1832"/>
      <c r="N37" s="179" t="s">
        <v>191</v>
      </c>
    </row>
    <row r="38" spans="2:14">
      <c r="B38" s="1839" t="s">
        <v>498</v>
      </c>
      <c r="C38" s="1840"/>
      <c r="D38" s="1840"/>
      <c r="E38" s="1840"/>
      <c r="F38" s="1841"/>
      <c r="G38" s="1842"/>
      <c r="H38" s="1841"/>
      <c r="I38" s="1842"/>
      <c r="J38" s="1841"/>
      <c r="K38" s="88" t="e">
        <f>#REF!</f>
        <v>#REF!</v>
      </c>
      <c r="L38" s="1913">
        <v>1</v>
      </c>
      <c r="M38" s="1914"/>
      <c r="N38" s="89" t="e">
        <f t="shared" ref="N38:N44" si="0">+K38/L38</f>
        <v>#REF!</v>
      </c>
    </row>
    <row r="39" spans="2:14">
      <c r="B39" s="1839" t="s">
        <v>499</v>
      </c>
      <c r="C39" s="1840"/>
      <c r="D39" s="1840"/>
      <c r="E39" s="1840"/>
      <c r="F39" s="1841"/>
      <c r="G39" s="1842"/>
      <c r="H39" s="1841"/>
      <c r="I39" s="1842"/>
      <c r="J39" s="1841"/>
      <c r="K39" s="88" t="e">
        <f>#REF!</f>
        <v>#REF!</v>
      </c>
      <c r="L39" s="1913">
        <v>2</v>
      </c>
      <c r="M39" s="1914">
        <v>3</v>
      </c>
      <c r="N39" s="89" t="e">
        <f t="shared" si="0"/>
        <v>#REF!</v>
      </c>
    </row>
    <row r="40" spans="2:14">
      <c r="B40" s="1839" t="s">
        <v>500</v>
      </c>
      <c r="C40" s="1840"/>
      <c r="D40" s="1840"/>
      <c r="E40" s="1840"/>
      <c r="F40" s="1841"/>
      <c r="G40" s="1842"/>
      <c r="H40" s="1841"/>
      <c r="I40" s="1842"/>
      <c r="J40" s="1841"/>
      <c r="K40" s="88" t="e">
        <f>#REF!</f>
        <v>#REF!</v>
      </c>
      <c r="L40" s="1913">
        <v>2</v>
      </c>
      <c r="M40" s="1914">
        <v>3</v>
      </c>
      <c r="N40" s="89" t="e">
        <f t="shared" si="0"/>
        <v>#REF!</v>
      </c>
    </row>
    <row r="41" spans="2:14">
      <c r="B41" s="1888" t="s">
        <v>489</v>
      </c>
      <c r="C41" s="1889"/>
      <c r="D41" s="1889"/>
      <c r="E41" s="249"/>
      <c r="F41" s="250"/>
      <c r="G41" s="1842"/>
      <c r="H41" s="1841"/>
      <c r="I41" s="1842"/>
      <c r="J41" s="1841"/>
      <c r="K41" s="88" t="e">
        <f>+#REF!</f>
        <v>#REF!</v>
      </c>
      <c r="L41" s="1859">
        <v>2</v>
      </c>
      <c r="M41" s="1860"/>
      <c r="N41" s="89" t="e">
        <f t="shared" si="0"/>
        <v>#REF!</v>
      </c>
    </row>
    <row r="42" spans="2:14">
      <c r="B42" s="1839" t="s">
        <v>516</v>
      </c>
      <c r="C42" s="1840"/>
      <c r="D42" s="1840"/>
      <c r="E42" s="1840"/>
      <c r="F42" s="1841"/>
      <c r="G42" s="1842"/>
      <c r="H42" s="1841"/>
      <c r="I42" s="1842"/>
      <c r="J42" s="1841"/>
      <c r="K42" s="88" t="e">
        <f>#REF!</f>
        <v>#REF!</v>
      </c>
      <c r="L42" s="1913">
        <v>2</v>
      </c>
      <c r="M42" s="1914"/>
      <c r="N42" s="89" t="e">
        <f t="shared" si="0"/>
        <v>#REF!</v>
      </c>
    </row>
    <row r="43" spans="2:14">
      <c r="B43" s="1839" t="s">
        <v>259</v>
      </c>
      <c r="C43" s="1840"/>
      <c r="D43" s="1840"/>
      <c r="E43" s="1840"/>
      <c r="F43" s="1841"/>
      <c r="G43" s="1842"/>
      <c r="H43" s="1841"/>
      <c r="I43" s="1842"/>
      <c r="J43" s="1841"/>
      <c r="K43" s="88" t="e">
        <f>#REF!</f>
        <v>#REF!</v>
      </c>
      <c r="L43" s="1913">
        <v>3</v>
      </c>
      <c r="M43" s="1914">
        <v>3</v>
      </c>
      <c r="N43" s="89" t="e">
        <f t="shared" si="0"/>
        <v>#REF!</v>
      </c>
    </row>
    <row r="44" spans="2:14">
      <c r="B44" s="239" t="s">
        <v>492</v>
      </c>
      <c r="C44" s="240"/>
      <c r="D44" s="240"/>
      <c r="E44" s="240"/>
      <c r="F44" s="242"/>
      <c r="G44" s="247"/>
      <c r="H44" s="242"/>
      <c r="I44" s="247"/>
      <c r="J44" s="242"/>
      <c r="K44" s="88" t="e">
        <f>#REF!</f>
        <v>#REF!</v>
      </c>
      <c r="L44" s="1913">
        <v>2</v>
      </c>
      <c r="M44" s="1914">
        <v>3</v>
      </c>
      <c r="N44" s="89" t="e">
        <f t="shared" si="0"/>
        <v>#REF!</v>
      </c>
    </row>
    <row r="45" spans="2:14" ht="13.5" thickBot="1">
      <c r="B45" s="1839" t="s">
        <v>58</v>
      </c>
      <c r="C45" s="1840"/>
      <c r="D45" s="1840"/>
      <c r="E45" s="1840"/>
      <c r="F45" s="1841"/>
      <c r="G45" s="1842"/>
      <c r="H45" s="1841"/>
      <c r="I45" s="1842"/>
      <c r="J45" s="1841"/>
      <c r="K45" s="88"/>
      <c r="L45" s="1908"/>
      <c r="M45" s="1909"/>
      <c r="N45" s="89" t="e">
        <f>+N75*0.1</f>
        <v>#REF!</v>
      </c>
    </row>
    <row r="46" spans="2:14" ht="14.25" thickBot="1">
      <c r="B46" s="1848" t="s">
        <v>188</v>
      </c>
      <c r="C46" s="1849"/>
      <c r="D46" s="1849"/>
      <c r="E46" s="1849"/>
      <c r="F46" s="1849"/>
      <c r="G46" s="1849"/>
      <c r="H46" s="1849"/>
      <c r="I46" s="1849"/>
      <c r="J46" s="1849"/>
      <c r="K46" s="1849"/>
      <c r="L46" s="1849"/>
      <c r="M46" s="1850"/>
      <c r="N46" s="91" t="e">
        <f>SUM(N38:N45)</f>
        <v>#REF!</v>
      </c>
    </row>
    <row r="47" spans="2:14">
      <c r="B47" s="1763" t="s">
        <v>189</v>
      </c>
      <c r="C47" s="1764"/>
      <c r="D47" s="1764"/>
      <c r="E47" s="1764"/>
      <c r="F47" s="1764"/>
      <c r="G47" s="1764"/>
      <c r="H47" s="1764"/>
      <c r="I47" s="1764"/>
      <c r="J47" s="1764"/>
      <c r="K47" s="1764"/>
      <c r="L47" s="1764"/>
      <c r="M47" s="1764"/>
      <c r="N47" s="1765"/>
    </row>
    <row r="48" spans="2:14">
      <c r="B48" s="1766"/>
      <c r="C48" s="1767"/>
      <c r="D48" s="1767"/>
      <c r="E48" s="1767"/>
      <c r="F48" s="1767"/>
      <c r="G48" s="1767"/>
      <c r="H48" s="1767"/>
      <c r="I48" s="1767"/>
      <c r="J48" s="1767"/>
      <c r="K48" s="1767"/>
      <c r="L48" s="1767"/>
      <c r="M48" s="1767"/>
      <c r="N48" s="1768"/>
    </row>
    <row r="49" spans="2:14" ht="13.5" thickBot="1">
      <c r="B49" s="1769"/>
      <c r="C49" s="1770"/>
      <c r="D49" s="1770"/>
      <c r="E49" s="1770"/>
      <c r="F49" s="1770"/>
      <c r="G49" s="1770"/>
      <c r="H49" s="1770"/>
      <c r="I49" s="1770"/>
      <c r="J49" s="1770"/>
      <c r="K49" s="1770"/>
      <c r="L49" s="1770"/>
      <c r="M49" s="1770"/>
      <c r="N49" s="1771"/>
    </row>
    <row r="50" spans="2:14" ht="13.5">
      <c r="B50" s="1826" t="s">
        <v>173</v>
      </c>
      <c r="C50" s="1851"/>
      <c r="D50" s="1851"/>
      <c r="E50" s="1851"/>
      <c r="F50" s="1851"/>
      <c r="G50" s="1851"/>
      <c r="H50" s="1851"/>
      <c r="I50" s="1832"/>
      <c r="J50" s="241" t="s">
        <v>38</v>
      </c>
      <c r="K50" s="178" t="s">
        <v>115</v>
      </c>
      <c r="L50" s="1829" t="s">
        <v>190</v>
      </c>
      <c r="M50" s="1832"/>
      <c r="N50" s="179" t="s">
        <v>191</v>
      </c>
    </row>
    <row r="51" spans="2:14">
      <c r="B51" s="1839" t="s">
        <v>272</v>
      </c>
      <c r="C51" s="1840"/>
      <c r="D51" s="1840"/>
      <c r="E51" s="1840"/>
      <c r="F51" s="1840"/>
      <c r="G51" s="1840"/>
      <c r="H51" s="1840"/>
      <c r="I51" s="1841"/>
      <c r="J51" s="131" t="s">
        <v>40</v>
      </c>
      <c r="K51" s="144">
        <v>0.73499999999999999</v>
      </c>
      <c r="L51" s="1852" t="e">
        <f>#REF!</f>
        <v>#REF!</v>
      </c>
      <c r="M51" s="1853"/>
      <c r="N51" s="89" t="e">
        <f>+L51*K51</f>
        <v>#REF!</v>
      </c>
    </row>
    <row r="52" spans="2:14">
      <c r="B52" s="1839" t="s">
        <v>501</v>
      </c>
      <c r="C52" s="1840"/>
      <c r="D52" s="1840"/>
      <c r="E52" s="1840"/>
      <c r="F52" s="1840"/>
      <c r="G52" s="1840"/>
      <c r="H52" s="1840"/>
      <c r="I52" s="1841"/>
      <c r="J52" s="147" t="s">
        <v>33</v>
      </c>
      <c r="K52" s="159">
        <v>2.355</v>
      </c>
      <c r="L52" s="1852" t="e">
        <f>#REF!</f>
        <v>#REF!</v>
      </c>
      <c r="M52" s="1853"/>
      <c r="N52" s="89" t="e">
        <f>+L52*K52</f>
        <v>#REF!</v>
      </c>
    </row>
    <row r="53" spans="2:14">
      <c r="B53" s="1839" t="s">
        <v>502</v>
      </c>
      <c r="C53" s="1840"/>
      <c r="D53" s="1840"/>
      <c r="E53" s="1840"/>
      <c r="F53" s="1840"/>
      <c r="G53" s="1840"/>
      <c r="H53" s="1840"/>
      <c r="I53" s="1841"/>
      <c r="J53" s="147" t="s">
        <v>33</v>
      </c>
      <c r="K53" s="159">
        <v>127</v>
      </c>
      <c r="L53" s="1852" t="e">
        <f>#REF!</f>
        <v>#REF!</v>
      </c>
      <c r="M53" s="1853"/>
      <c r="N53" s="89" t="e">
        <f>+L53*K53</f>
        <v>#REF!</v>
      </c>
    </row>
    <row r="54" spans="2:14">
      <c r="B54" s="1839"/>
      <c r="C54" s="1840"/>
      <c r="D54" s="1840"/>
      <c r="E54" s="1840"/>
      <c r="F54" s="1840"/>
      <c r="G54" s="1840"/>
      <c r="H54" s="1840"/>
      <c r="I54" s="1841"/>
      <c r="J54" s="147"/>
      <c r="K54" s="159"/>
      <c r="L54" s="1852"/>
      <c r="M54" s="1853"/>
      <c r="N54" s="89"/>
    </row>
    <row r="55" spans="2:14">
      <c r="B55" s="1839"/>
      <c r="C55" s="1840"/>
      <c r="D55" s="1840"/>
      <c r="E55" s="1840"/>
      <c r="F55" s="1840"/>
      <c r="G55" s="1840"/>
      <c r="H55" s="1840"/>
      <c r="I55" s="1841"/>
      <c r="J55" s="147"/>
      <c r="K55" s="159"/>
      <c r="L55" s="1852"/>
      <c r="M55" s="1853"/>
      <c r="N55" s="89"/>
    </row>
    <row r="56" spans="2:14">
      <c r="B56" s="1839"/>
      <c r="C56" s="1840"/>
      <c r="D56" s="1840"/>
      <c r="E56" s="1840"/>
      <c r="F56" s="1840"/>
      <c r="G56" s="1840"/>
      <c r="H56" s="1840"/>
      <c r="I56" s="1841"/>
      <c r="J56" s="147"/>
      <c r="K56" s="159"/>
      <c r="L56" s="1852"/>
      <c r="M56" s="1853"/>
      <c r="N56" s="89"/>
    </row>
    <row r="57" spans="2:14" ht="13.5" thickBot="1">
      <c r="B57" s="1839"/>
      <c r="C57" s="1840"/>
      <c r="D57" s="1840"/>
      <c r="E57" s="1840"/>
      <c r="F57" s="1840"/>
      <c r="G57" s="1840"/>
      <c r="H57" s="1840"/>
      <c r="I57" s="1841"/>
      <c r="J57" s="142"/>
      <c r="K57" s="143"/>
      <c r="L57" s="1852"/>
      <c r="M57" s="1853"/>
      <c r="N57" s="89"/>
    </row>
    <row r="58" spans="2:14" ht="14.25" thickBot="1">
      <c r="B58" s="1848" t="s">
        <v>188</v>
      </c>
      <c r="C58" s="1849"/>
      <c r="D58" s="1849"/>
      <c r="E58" s="1849"/>
      <c r="F58" s="1849"/>
      <c r="G58" s="1849"/>
      <c r="H58" s="1849"/>
      <c r="I58" s="1849"/>
      <c r="J58" s="1849"/>
      <c r="K58" s="1849"/>
      <c r="L58" s="1849"/>
      <c r="M58" s="1850"/>
      <c r="N58" s="99" t="e">
        <f>SUM(N51:N57)</f>
        <v>#REF!</v>
      </c>
    </row>
    <row r="59" spans="2:14">
      <c r="B59" s="1763" t="s">
        <v>51</v>
      </c>
      <c r="C59" s="1764"/>
      <c r="D59" s="1764"/>
      <c r="E59" s="1764"/>
      <c r="F59" s="1764"/>
      <c r="G59" s="1764"/>
      <c r="H59" s="1764"/>
      <c r="I59" s="1764"/>
      <c r="J59" s="1764"/>
      <c r="K59" s="1764"/>
      <c r="L59" s="1764"/>
      <c r="M59" s="1764"/>
      <c r="N59" s="1765"/>
    </row>
    <row r="60" spans="2:14">
      <c r="B60" s="1766"/>
      <c r="C60" s="1767"/>
      <c r="D60" s="1767"/>
      <c r="E60" s="1767"/>
      <c r="F60" s="1767"/>
      <c r="G60" s="1767"/>
      <c r="H60" s="1767"/>
      <c r="I60" s="1767"/>
      <c r="J60" s="1767"/>
      <c r="K60" s="1767"/>
      <c r="L60" s="1767"/>
      <c r="M60" s="1767"/>
      <c r="N60" s="1768"/>
    </row>
    <row r="61" spans="2:14" ht="13.5" thickBot="1">
      <c r="B61" s="1769"/>
      <c r="C61" s="1770"/>
      <c r="D61" s="1770"/>
      <c r="E61" s="1770"/>
      <c r="F61" s="1770"/>
      <c r="G61" s="1770"/>
      <c r="H61" s="1770"/>
      <c r="I61" s="1770"/>
      <c r="J61" s="1770"/>
      <c r="K61" s="1770"/>
      <c r="L61" s="1770"/>
      <c r="M61" s="1770"/>
      <c r="N61" s="1771"/>
    </row>
    <row r="62" spans="2:14" ht="13.5">
      <c r="B62" s="1826" t="s">
        <v>192</v>
      </c>
      <c r="C62" s="1851"/>
      <c r="D62" s="1851"/>
      <c r="E62" s="1851"/>
      <c r="F62" s="1851"/>
      <c r="G62" s="1851"/>
      <c r="H62" s="1851"/>
      <c r="I62" s="178" t="s">
        <v>193</v>
      </c>
      <c r="J62" s="234" t="s">
        <v>194</v>
      </c>
      <c r="K62" s="182" t="s">
        <v>310</v>
      </c>
      <c r="L62" s="1829" t="s">
        <v>39</v>
      </c>
      <c r="M62" s="1832"/>
      <c r="N62" s="179" t="s">
        <v>191</v>
      </c>
    </row>
    <row r="63" spans="2:14">
      <c r="B63" s="1839" t="s">
        <v>176</v>
      </c>
      <c r="C63" s="1840"/>
      <c r="D63" s="1840"/>
      <c r="E63" s="1840"/>
      <c r="F63" s="1840"/>
      <c r="G63" s="1840"/>
      <c r="H63" s="1840"/>
      <c r="I63" s="96">
        <v>1.05</v>
      </c>
      <c r="J63" s="133" t="e">
        <f>+#REF!</f>
        <v>#REF!</v>
      </c>
      <c r="K63" s="100" t="e">
        <f>+J63*I63</f>
        <v>#REF!</v>
      </c>
      <c r="L63" s="1859" t="e">
        <f>+#REF!</f>
        <v>#REF!</v>
      </c>
      <c r="M63" s="1860"/>
      <c r="N63" s="135" t="e">
        <f>+L63*K63</f>
        <v>#REF!</v>
      </c>
    </row>
    <row r="64" spans="2:14">
      <c r="B64" s="1839"/>
      <c r="C64" s="1840"/>
      <c r="D64" s="1840"/>
      <c r="E64" s="1840"/>
      <c r="F64" s="1840"/>
      <c r="G64" s="1840"/>
      <c r="H64" s="1840"/>
      <c r="I64" s="96"/>
      <c r="J64" s="133"/>
      <c r="K64" s="100"/>
      <c r="L64" s="1859"/>
      <c r="M64" s="1860"/>
      <c r="N64" s="135"/>
    </row>
    <row r="65" spans="2:14" ht="13.5" thickBot="1">
      <c r="B65" s="1834"/>
      <c r="C65" s="1835"/>
      <c r="D65" s="1835"/>
      <c r="E65" s="1835"/>
      <c r="F65" s="1835"/>
      <c r="G65" s="1835"/>
      <c r="H65" s="1835"/>
      <c r="I65" s="136"/>
      <c r="J65" s="137"/>
      <c r="K65" s="100"/>
      <c r="L65" s="1837"/>
      <c r="M65" s="1838"/>
      <c r="N65" s="135"/>
    </row>
    <row r="66" spans="2:14" ht="14.25" thickBot="1">
      <c r="B66" s="1848" t="s">
        <v>188</v>
      </c>
      <c r="C66" s="1849"/>
      <c r="D66" s="1849"/>
      <c r="E66" s="1849"/>
      <c r="F66" s="1849"/>
      <c r="G66" s="1849"/>
      <c r="H66" s="1849"/>
      <c r="I66" s="1849"/>
      <c r="J66" s="1849"/>
      <c r="K66" s="1849"/>
      <c r="L66" s="1849"/>
      <c r="M66" s="1850"/>
      <c r="N66" s="112" t="e">
        <f>SUM(N63:N65)</f>
        <v>#REF!</v>
      </c>
    </row>
    <row r="67" spans="2:14">
      <c r="B67" s="1763" t="s">
        <v>52</v>
      </c>
      <c r="C67" s="1764"/>
      <c r="D67" s="1764"/>
      <c r="E67" s="1764"/>
      <c r="F67" s="1764"/>
      <c r="G67" s="1764"/>
      <c r="H67" s="1764"/>
      <c r="I67" s="1764"/>
      <c r="J67" s="1764"/>
      <c r="K67" s="1764"/>
      <c r="L67" s="1764"/>
      <c r="M67" s="1764"/>
      <c r="N67" s="1765"/>
    </row>
    <row r="68" spans="2:14">
      <c r="B68" s="1766"/>
      <c r="C68" s="1767"/>
      <c r="D68" s="1767"/>
      <c r="E68" s="1767"/>
      <c r="F68" s="1767"/>
      <c r="G68" s="1767"/>
      <c r="H68" s="1767"/>
      <c r="I68" s="1767"/>
      <c r="J68" s="1767"/>
      <c r="K68" s="1767"/>
      <c r="L68" s="1767"/>
      <c r="M68" s="1767"/>
      <c r="N68" s="1768"/>
    </row>
    <row r="69" spans="2:14" ht="13.5" thickBot="1">
      <c r="B69" s="1769"/>
      <c r="C69" s="1770"/>
      <c r="D69" s="1770"/>
      <c r="E69" s="1770"/>
      <c r="F69" s="1770"/>
      <c r="G69" s="1770"/>
      <c r="H69" s="1770"/>
      <c r="I69" s="1770"/>
      <c r="J69" s="1770"/>
      <c r="K69" s="1770"/>
      <c r="L69" s="1770"/>
      <c r="M69" s="1770"/>
      <c r="N69" s="1771"/>
    </row>
    <row r="70" spans="2:14" ht="13.5">
      <c r="B70" s="1826" t="s">
        <v>195</v>
      </c>
      <c r="C70" s="1851"/>
      <c r="D70" s="1851"/>
      <c r="E70" s="1851"/>
      <c r="F70" s="1851"/>
      <c r="G70" s="1851"/>
      <c r="H70" s="1851"/>
      <c r="I70" s="178" t="s">
        <v>196</v>
      </c>
      <c r="J70" s="234" t="s">
        <v>46</v>
      </c>
      <c r="K70" s="182" t="s">
        <v>197</v>
      </c>
      <c r="L70" s="1829" t="s">
        <v>186</v>
      </c>
      <c r="M70" s="1832"/>
      <c r="N70" s="179" t="s">
        <v>191</v>
      </c>
    </row>
    <row r="71" spans="2:14">
      <c r="B71" s="248" t="s">
        <v>63</v>
      </c>
      <c r="C71" s="249"/>
      <c r="D71" s="249"/>
      <c r="E71" s="249"/>
      <c r="F71" s="249"/>
      <c r="G71" s="249"/>
      <c r="H71" s="249"/>
      <c r="I71" s="107" t="e">
        <f>+#REF!*4</f>
        <v>#REF!</v>
      </c>
      <c r="J71" s="108" t="e">
        <f>+#REF!</f>
        <v>#REF!</v>
      </c>
      <c r="K71" s="109" t="e">
        <f>+J71*I71</f>
        <v>#REF!</v>
      </c>
      <c r="L71" s="1861">
        <v>24</v>
      </c>
      <c r="M71" s="1862"/>
      <c r="N71" s="110" t="e">
        <f>+K71/L71</f>
        <v>#REF!</v>
      </c>
    </row>
    <row r="72" spans="2:14">
      <c r="B72" s="248" t="s">
        <v>17</v>
      </c>
      <c r="C72" s="249"/>
      <c r="D72" s="249"/>
      <c r="E72" s="249"/>
      <c r="F72" s="249"/>
      <c r="G72" s="249"/>
      <c r="H72" s="249"/>
      <c r="I72" s="107" t="e">
        <f>+#REF!*1</f>
        <v>#REF!</v>
      </c>
      <c r="J72" s="108" t="e">
        <f>+#REF!</f>
        <v>#REF!</v>
      </c>
      <c r="K72" s="109" t="e">
        <f>+J72*I72</f>
        <v>#REF!</v>
      </c>
      <c r="L72" s="1861">
        <v>24</v>
      </c>
      <c r="M72" s="1862"/>
      <c r="N72" s="110" t="e">
        <f>+K72/L72</f>
        <v>#REF!</v>
      </c>
    </row>
    <row r="73" spans="2:14">
      <c r="B73" s="248"/>
      <c r="C73" s="249"/>
      <c r="D73" s="249"/>
      <c r="E73" s="249"/>
      <c r="F73" s="249"/>
      <c r="G73" s="249"/>
      <c r="H73" s="249"/>
      <c r="I73" s="107"/>
      <c r="J73" s="108"/>
      <c r="K73" s="109"/>
      <c r="L73" s="1859"/>
      <c r="M73" s="1860"/>
      <c r="N73" s="110"/>
    </row>
    <row r="74" spans="2:14" ht="13.5" thickBot="1">
      <c r="B74" s="1834"/>
      <c r="C74" s="1835"/>
      <c r="D74" s="1835"/>
      <c r="E74" s="1835"/>
      <c r="F74" s="1835"/>
      <c r="G74" s="1835"/>
      <c r="H74" s="1835"/>
      <c r="I74" s="102"/>
      <c r="J74" s="87"/>
      <c r="K74" s="102"/>
      <c r="L74" s="1837"/>
      <c r="M74" s="1838"/>
      <c r="N74" s="111"/>
    </row>
    <row r="75" spans="2:14" ht="14.25" thickBot="1">
      <c r="B75" s="1848" t="s">
        <v>188</v>
      </c>
      <c r="C75" s="1849"/>
      <c r="D75" s="1849"/>
      <c r="E75" s="1849"/>
      <c r="F75" s="1849"/>
      <c r="G75" s="1849"/>
      <c r="H75" s="1849"/>
      <c r="I75" s="1849"/>
      <c r="J75" s="1849"/>
      <c r="K75" s="1849"/>
      <c r="L75" s="1849"/>
      <c r="M75" s="1850"/>
      <c r="N75" s="112" t="e">
        <f>SUM(N71:N74)</f>
        <v>#REF!</v>
      </c>
    </row>
    <row r="76" spans="2:14" ht="13.5" thickBot="1">
      <c r="B76" s="85"/>
      <c r="C76" s="66"/>
      <c r="D76" s="66"/>
      <c r="E76" s="66"/>
      <c r="F76" s="66"/>
      <c r="G76" s="66"/>
      <c r="H76" s="66"/>
      <c r="I76" s="66"/>
      <c r="J76" s="66"/>
      <c r="K76" s="66"/>
      <c r="L76" s="66"/>
      <c r="M76" s="66"/>
      <c r="N76" s="73"/>
    </row>
    <row r="77" spans="2:14" ht="13.5" thickBot="1">
      <c r="B77" s="1854" t="s">
        <v>198</v>
      </c>
      <c r="C77" s="1855"/>
      <c r="D77" s="1855"/>
      <c r="E77" s="1855"/>
      <c r="F77" s="1855"/>
      <c r="G77" s="1855"/>
      <c r="H77" s="1855"/>
      <c r="I77" s="1855"/>
      <c r="J77" s="1855"/>
      <c r="K77" s="1855"/>
      <c r="L77" s="1855"/>
      <c r="M77" s="1856"/>
      <c r="N77" s="186" t="e">
        <f>+N75+N66+N58+N46</f>
        <v>#REF!</v>
      </c>
    </row>
    <row r="78" spans="2:14">
      <c r="B78" s="1763" t="s">
        <v>53</v>
      </c>
      <c r="C78" s="1764"/>
      <c r="D78" s="1764"/>
      <c r="E78" s="1764"/>
      <c r="F78" s="1764"/>
      <c r="G78" s="1764"/>
      <c r="H78" s="1764"/>
      <c r="I78" s="1764"/>
      <c r="J78" s="1764"/>
      <c r="K78" s="1764"/>
      <c r="L78" s="1764"/>
      <c r="M78" s="1764"/>
      <c r="N78" s="1765"/>
    </row>
    <row r="79" spans="2:14">
      <c r="B79" s="1766"/>
      <c r="C79" s="1767"/>
      <c r="D79" s="1767"/>
      <c r="E79" s="1767"/>
      <c r="F79" s="1767"/>
      <c r="G79" s="1767"/>
      <c r="H79" s="1767"/>
      <c r="I79" s="1767"/>
      <c r="J79" s="1767"/>
      <c r="K79" s="1767"/>
      <c r="L79" s="1767"/>
      <c r="M79" s="1767"/>
      <c r="N79" s="1768"/>
    </row>
    <row r="80" spans="2:14" ht="13.5" thickBot="1">
      <c r="B80" s="1769"/>
      <c r="C80" s="1770"/>
      <c r="D80" s="1770"/>
      <c r="E80" s="1770"/>
      <c r="F80" s="1770"/>
      <c r="G80" s="1770"/>
      <c r="H80" s="1770"/>
      <c r="I80" s="1770"/>
      <c r="J80" s="1770"/>
      <c r="K80" s="1770"/>
      <c r="L80" s="1770"/>
      <c r="M80" s="1770"/>
      <c r="N80" s="1771"/>
    </row>
    <row r="81" spans="2:14" ht="13.5">
      <c r="B81" s="1826" t="s">
        <v>50</v>
      </c>
      <c r="C81" s="1851"/>
      <c r="D81" s="1851"/>
      <c r="E81" s="1851"/>
      <c r="F81" s="1851"/>
      <c r="G81" s="1851"/>
      <c r="H81" s="1851"/>
      <c r="I81" s="234"/>
      <c r="J81" s="235"/>
      <c r="K81" s="184" t="s">
        <v>54</v>
      </c>
      <c r="L81" s="1857" t="s">
        <v>55</v>
      </c>
      <c r="M81" s="1858"/>
      <c r="N81" s="185"/>
    </row>
    <row r="82" spans="2:14">
      <c r="B82" s="1839" t="s">
        <v>44</v>
      </c>
      <c r="C82" s="1840"/>
      <c r="D82" s="1840"/>
      <c r="E82" s="1840"/>
      <c r="F82" s="1840"/>
      <c r="G82" s="1840"/>
      <c r="H82" s="1840"/>
      <c r="I82" s="113"/>
      <c r="J82" s="114"/>
      <c r="K82" s="192" t="e">
        <f>+#REF!</f>
        <v>#REF!</v>
      </c>
      <c r="L82" s="1877" t="e">
        <f>+N77*K82</f>
        <v>#REF!</v>
      </c>
      <c r="M82" s="1878"/>
      <c r="N82" s="115"/>
    </row>
    <row r="83" spans="2:14">
      <c r="B83" s="116" t="s">
        <v>56</v>
      </c>
      <c r="C83" s="117"/>
      <c r="D83" s="117"/>
      <c r="E83" s="117"/>
      <c r="F83" s="117"/>
      <c r="G83" s="117"/>
      <c r="H83" s="117"/>
      <c r="I83" s="113"/>
      <c r="J83" s="114"/>
      <c r="K83" s="192" t="e">
        <f>+#REF!</f>
        <v>#REF!</v>
      </c>
      <c r="L83" s="1877" t="e">
        <f>+N77*K83</f>
        <v>#REF!</v>
      </c>
      <c r="M83" s="1878"/>
      <c r="N83" s="115"/>
    </row>
    <row r="84" spans="2:14" ht="13.5" thickBot="1">
      <c r="B84" s="236" t="s">
        <v>45</v>
      </c>
      <c r="C84" s="237"/>
      <c r="D84" s="237"/>
      <c r="E84" s="237"/>
      <c r="F84" s="237"/>
      <c r="G84" s="237"/>
      <c r="H84" s="237"/>
      <c r="I84" s="120"/>
      <c r="J84" s="121"/>
      <c r="K84" s="192" t="e">
        <f>+#REF!</f>
        <v>#REF!</v>
      </c>
      <c r="L84" s="1879" t="e">
        <f>+N77*K84</f>
        <v>#REF!</v>
      </c>
      <c r="M84" s="1880"/>
      <c r="N84" s="115"/>
    </row>
    <row r="85" spans="2:14" ht="14.25" thickBot="1">
      <c r="B85" s="1848" t="s">
        <v>188</v>
      </c>
      <c r="C85" s="1849"/>
      <c r="D85" s="1849"/>
      <c r="E85" s="1849"/>
      <c r="F85" s="1849"/>
      <c r="G85" s="1849"/>
      <c r="H85" s="1849"/>
      <c r="I85" s="1849"/>
      <c r="J85" s="1849"/>
      <c r="K85" s="1849"/>
      <c r="L85" s="1849"/>
      <c r="M85" s="1850"/>
      <c r="N85" s="122" t="e">
        <f>SUM(L82:M84)</f>
        <v>#REF!</v>
      </c>
    </row>
    <row r="86" spans="2:14" ht="13.5" thickBot="1">
      <c r="B86" s="85"/>
      <c r="C86" s="66"/>
      <c r="D86" s="66"/>
      <c r="E86" s="66"/>
      <c r="F86" s="66"/>
      <c r="G86" s="66"/>
      <c r="H86" s="66"/>
      <c r="I86" s="66"/>
      <c r="J86" s="66"/>
      <c r="K86" s="66"/>
      <c r="L86" s="66"/>
      <c r="M86" s="66"/>
      <c r="N86" s="73"/>
    </row>
    <row r="87" spans="2:14" ht="13.5" thickBot="1">
      <c r="B87" s="1854" t="s">
        <v>199</v>
      </c>
      <c r="C87" s="1855"/>
      <c r="D87" s="1855"/>
      <c r="E87" s="1855"/>
      <c r="F87" s="1855"/>
      <c r="G87" s="1855"/>
      <c r="H87" s="1855"/>
      <c r="I87" s="1855"/>
      <c r="J87" s="1855"/>
      <c r="K87" s="1855"/>
      <c r="L87" s="1855"/>
      <c r="M87" s="1856"/>
      <c r="N87" s="188" t="e">
        <f>ROUND(N77+N85,0)</f>
        <v>#REF!</v>
      </c>
    </row>
    <row r="88" spans="2:14">
      <c r="B88" s="64"/>
      <c r="C88" s="65"/>
      <c r="D88" s="65"/>
      <c r="E88" s="65"/>
      <c r="F88" s="65"/>
      <c r="G88" s="65"/>
      <c r="H88" s="65"/>
      <c r="I88" s="65"/>
      <c r="J88" s="65"/>
      <c r="K88" s="65"/>
      <c r="L88" s="65"/>
      <c r="M88" s="65"/>
      <c r="N88" s="67"/>
    </row>
    <row r="89" spans="2:14">
      <c r="B89" s="85"/>
      <c r="C89" s="66"/>
      <c r="D89" s="66"/>
      <c r="E89" s="66"/>
      <c r="F89" s="66"/>
      <c r="G89" s="66"/>
      <c r="H89" s="66"/>
      <c r="I89" s="66"/>
      <c r="J89" s="66"/>
      <c r="K89" s="66"/>
      <c r="L89" s="66"/>
      <c r="M89" s="66"/>
      <c r="N89" s="73"/>
    </row>
    <row r="90" spans="2:14">
      <c r="B90" s="85"/>
      <c r="C90" s="66"/>
      <c r="D90" s="66"/>
      <c r="E90" s="66"/>
      <c r="F90" s="66"/>
      <c r="G90" s="66"/>
      <c r="H90" s="66"/>
      <c r="I90" s="66"/>
      <c r="J90" s="66"/>
      <c r="K90" s="66"/>
      <c r="L90" s="66"/>
      <c r="M90" s="66"/>
      <c r="N90" s="73"/>
    </row>
    <row r="91" spans="2:14">
      <c r="B91" s="85"/>
      <c r="C91" s="66"/>
      <c r="D91" s="66"/>
      <c r="E91" s="66"/>
      <c r="F91" s="66"/>
      <c r="G91" s="71" t="e">
        <f>+#REF!</f>
        <v>#REF!</v>
      </c>
      <c r="H91" s="71"/>
      <c r="I91" s="71"/>
      <c r="J91" s="71"/>
      <c r="K91" s="66"/>
      <c r="L91" s="66"/>
      <c r="M91" s="66"/>
      <c r="N91" s="73"/>
    </row>
    <row r="92" spans="2:14" ht="13.5">
      <c r="B92" s="123"/>
      <c r="C92" s="124"/>
      <c r="D92" s="124"/>
      <c r="E92" s="124"/>
      <c r="F92" s="124"/>
      <c r="G92" s="71" t="e">
        <f>+#REF!</f>
        <v>#REF!</v>
      </c>
      <c r="H92" s="124"/>
      <c r="I92" s="124"/>
      <c r="J92" s="124"/>
      <c r="K92" s="124"/>
      <c r="L92" s="124"/>
      <c r="M92" s="124"/>
      <c r="N92" s="125"/>
    </row>
    <row r="93" spans="2:14" ht="13.5">
      <c r="B93" s="123"/>
      <c r="C93" s="124"/>
      <c r="D93" s="124"/>
      <c r="E93" s="124"/>
      <c r="F93" s="124"/>
      <c r="G93" s="71" t="e">
        <f>+#REF!</f>
        <v>#REF!</v>
      </c>
      <c r="H93" s="39"/>
      <c r="I93" s="39"/>
      <c r="J93" s="124"/>
      <c r="K93" s="124"/>
      <c r="L93" s="124"/>
      <c r="M93" s="124"/>
      <c r="N93" s="125"/>
    </row>
    <row r="94" spans="2:14">
      <c r="B94" s="49"/>
      <c r="C94" s="81"/>
      <c r="D94" s="81"/>
      <c r="E94" s="81"/>
      <c r="F94" s="81"/>
      <c r="G94" s="71" t="e">
        <f>+#REF!</f>
        <v>#REF!</v>
      </c>
      <c r="H94" s="81"/>
      <c r="I94" s="81"/>
      <c r="J94" s="81"/>
      <c r="K94" s="81"/>
      <c r="L94" s="81"/>
      <c r="M94" s="81"/>
      <c r="N94" s="79"/>
    </row>
    <row r="95" spans="2:14">
      <c r="B95" s="85"/>
      <c r="C95" s="66"/>
      <c r="D95" s="66"/>
      <c r="E95" s="66"/>
      <c r="F95" s="66"/>
      <c r="G95" s="66" t="s">
        <v>253</v>
      </c>
      <c r="H95" s="66"/>
      <c r="I95" s="66"/>
      <c r="J95" s="66"/>
      <c r="K95" s="66"/>
      <c r="L95" s="66"/>
      <c r="M95" s="66"/>
      <c r="N95" s="73"/>
    </row>
    <row r="96" spans="2:14" ht="13.5">
      <c r="B96" s="92" t="e">
        <f>+#REF!</f>
        <v>#REF!</v>
      </c>
      <c r="C96" s="93"/>
      <c r="D96" s="93"/>
      <c r="E96" s="93"/>
      <c r="F96" s="93"/>
      <c r="G96" s="93"/>
      <c r="H96" s="93"/>
      <c r="I96" s="93"/>
      <c r="J96" s="93"/>
      <c r="K96" s="93"/>
      <c r="L96" s="93"/>
      <c r="M96" s="93"/>
      <c r="N96" s="94"/>
    </row>
    <row r="97" spans="2:14">
      <c r="B97" s="1915"/>
      <c r="C97" s="1916"/>
      <c r="D97" s="1916"/>
      <c r="E97" s="1916"/>
      <c r="F97" s="1916"/>
      <c r="G97" s="1916"/>
      <c r="H97" s="1916"/>
      <c r="I97" s="1916"/>
      <c r="J97" s="1916"/>
      <c r="K97" s="1916"/>
      <c r="L97" s="1916"/>
      <c r="M97" s="1916"/>
      <c r="N97" s="1917"/>
    </row>
    <row r="98" spans="2:14">
      <c r="B98" s="1874"/>
      <c r="C98" s="1875"/>
      <c r="D98" s="1875"/>
      <c r="E98" s="1875"/>
      <c r="F98" s="1875"/>
      <c r="G98" s="1875"/>
      <c r="H98" s="1875"/>
      <c r="I98" s="1875"/>
      <c r="J98" s="1875"/>
      <c r="K98" s="1875"/>
      <c r="L98" s="1875"/>
      <c r="M98" s="1875"/>
      <c r="N98" s="1876"/>
    </row>
    <row r="99" spans="2:14">
      <c r="B99" s="49"/>
      <c r="C99" s="81"/>
      <c r="D99" s="81"/>
      <c r="E99" s="81"/>
      <c r="F99" s="81"/>
      <c r="G99" s="81"/>
      <c r="H99" s="81"/>
      <c r="I99" s="81"/>
      <c r="J99" s="81"/>
      <c r="K99" s="81"/>
      <c r="L99" s="81"/>
      <c r="M99" s="81"/>
      <c r="N99" s="79"/>
    </row>
    <row r="100" spans="2:14">
      <c r="B100" s="85"/>
      <c r="C100" s="66"/>
      <c r="D100" s="66"/>
      <c r="E100" s="66"/>
      <c r="F100" s="66"/>
      <c r="G100" s="71" t="e">
        <f>+#REF!</f>
        <v>#REF!</v>
      </c>
      <c r="H100" s="66"/>
      <c r="I100" s="66"/>
      <c r="J100" s="66"/>
      <c r="K100" s="66"/>
      <c r="L100" s="66"/>
      <c r="M100" s="66"/>
      <c r="N100" s="73"/>
    </row>
    <row r="101" spans="2:14">
      <c r="B101" s="85"/>
      <c r="C101" s="66"/>
      <c r="D101" s="66"/>
      <c r="E101" s="66"/>
      <c r="F101" s="66"/>
      <c r="G101" s="66" t="e">
        <f>+#REF!</f>
        <v>#REF!</v>
      </c>
      <c r="H101" s="86"/>
      <c r="I101" s="86"/>
      <c r="J101" s="86"/>
      <c r="K101" s="66"/>
      <c r="L101" s="66"/>
      <c r="M101" s="66"/>
      <c r="N101" s="73"/>
    </row>
    <row r="102" spans="2:14">
      <c r="B102" s="85"/>
      <c r="C102" s="66"/>
      <c r="D102" s="66"/>
      <c r="E102" s="66"/>
      <c r="F102" s="66"/>
      <c r="G102" s="66" t="e">
        <f>+#REF!</f>
        <v>#REF!</v>
      </c>
      <c r="H102" s="80"/>
      <c r="I102" s="80"/>
      <c r="J102" s="80"/>
      <c r="K102" s="39"/>
      <c r="L102" s="39"/>
      <c r="M102" s="66"/>
      <c r="N102" s="73"/>
    </row>
    <row r="103" spans="2:14">
      <c r="B103" s="127"/>
      <c r="C103" s="81"/>
      <c r="D103" s="81"/>
      <c r="E103" s="81"/>
      <c r="F103" s="81"/>
      <c r="G103" s="66" t="e">
        <f>+#REF!</f>
        <v>#REF!</v>
      </c>
      <c r="H103" s="39"/>
      <c r="I103" s="39"/>
      <c r="J103" s="39"/>
      <c r="K103" s="81"/>
      <c r="L103" s="81"/>
      <c r="M103" s="81"/>
      <c r="N103" s="79"/>
    </row>
    <row r="104" spans="2:14" ht="12.75" customHeight="1">
      <c r="B104" s="138" t="e">
        <f>+#REF!</f>
        <v>#REF!</v>
      </c>
      <c r="C104" s="128"/>
      <c r="D104" s="128"/>
      <c r="E104" s="66"/>
      <c r="F104" s="66"/>
      <c r="G104" s="66"/>
      <c r="H104" s="66"/>
      <c r="I104" s="66"/>
      <c r="J104" s="1863"/>
      <c r="K104" s="1863"/>
      <c r="L104" s="1863"/>
      <c r="M104" s="1863"/>
      <c r="N104" s="1864"/>
    </row>
    <row r="105" spans="2:14" ht="12.75" customHeight="1">
      <c r="B105" s="138" t="e">
        <f>+#REF!</f>
        <v>#REF!</v>
      </c>
      <c r="C105" s="128"/>
      <c r="D105" s="128"/>
      <c r="E105" s="66"/>
      <c r="F105" s="66"/>
      <c r="G105" s="66"/>
      <c r="H105" s="66"/>
      <c r="I105" s="66"/>
      <c r="J105" s="1863"/>
      <c r="K105" s="1863"/>
      <c r="L105" s="1863"/>
      <c r="M105" s="1863"/>
      <c r="N105" s="1864"/>
    </row>
    <row r="106" spans="2:14" ht="13.5" customHeight="1" thickBot="1">
      <c r="B106" s="1867"/>
      <c r="C106" s="1868"/>
      <c r="D106" s="1868"/>
      <c r="E106" s="87"/>
      <c r="F106" s="87"/>
      <c r="G106" s="87"/>
      <c r="H106" s="87"/>
      <c r="I106" s="87"/>
      <c r="J106" s="1865"/>
      <c r="K106" s="1865"/>
      <c r="L106" s="1865"/>
      <c r="M106" s="1865"/>
      <c r="N106" s="1866"/>
    </row>
  </sheetData>
  <mergeCells count="115">
    <mergeCell ref="J104:N106"/>
    <mergeCell ref="B106:D106"/>
    <mergeCell ref="L83:M83"/>
    <mergeCell ref="L84:M84"/>
    <mergeCell ref="B85:M85"/>
    <mergeCell ref="B87:M87"/>
    <mergeCell ref="B97:N97"/>
    <mergeCell ref="B98:N98"/>
    <mergeCell ref="B75:M75"/>
    <mergeCell ref="B77:M77"/>
    <mergeCell ref="B78:N80"/>
    <mergeCell ref="B81:H81"/>
    <mergeCell ref="L81:M81"/>
    <mergeCell ref="B82:H82"/>
    <mergeCell ref="L82:M82"/>
    <mergeCell ref="B70:H70"/>
    <mergeCell ref="L70:M70"/>
    <mergeCell ref="L71:M71"/>
    <mergeCell ref="L72:M72"/>
    <mergeCell ref="L73:M73"/>
    <mergeCell ref="B74:H74"/>
    <mergeCell ref="L74:M74"/>
    <mergeCell ref="B64:H64"/>
    <mergeCell ref="L64:M64"/>
    <mergeCell ref="B65:H65"/>
    <mergeCell ref="L65:M65"/>
    <mergeCell ref="B66:M66"/>
    <mergeCell ref="B67:N69"/>
    <mergeCell ref="B58:M58"/>
    <mergeCell ref="B59:N61"/>
    <mergeCell ref="B62:H62"/>
    <mergeCell ref="L62:M62"/>
    <mergeCell ref="B63:H63"/>
    <mergeCell ref="L63:M63"/>
    <mergeCell ref="B55:I55"/>
    <mergeCell ref="L55:M55"/>
    <mergeCell ref="B56:I56"/>
    <mergeCell ref="L56:M56"/>
    <mergeCell ref="B57:I57"/>
    <mergeCell ref="L57:M57"/>
    <mergeCell ref="B52:I52"/>
    <mergeCell ref="L52:M52"/>
    <mergeCell ref="B53:I53"/>
    <mergeCell ref="L53:M53"/>
    <mergeCell ref="B54:I54"/>
    <mergeCell ref="L54:M54"/>
    <mergeCell ref="B46:M46"/>
    <mergeCell ref="B47:N49"/>
    <mergeCell ref="B50:I50"/>
    <mergeCell ref="L50:M50"/>
    <mergeCell ref="B51:I51"/>
    <mergeCell ref="L51:M51"/>
    <mergeCell ref="B43:F43"/>
    <mergeCell ref="G43:H43"/>
    <mergeCell ref="I43:J43"/>
    <mergeCell ref="L43:M43"/>
    <mergeCell ref="L44:M44"/>
    <mergeCell ref="B45:F45"/>
    <mergeCell ref="G45:H45"/>
    <mergeCell ref="I45:J45"/>
    <mergeCell ref="L45:M45"/>
    <mergeCell ref="B41:D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4:N36"/>
    <mergeCell ref="B37:F37"/>
    <mergeCell ref="G37:H37"/>
    <mergeCell ref="I37:J37"/>
    <mergeCell ref="L37:M37"/>
    <mergeCell ref="B38:F38"/>
    <mergeCell ref="G38:H38"/>
    <mergeCell ref="I38:J38"/>
    <mergeCell ref="L38:M38"/>
    <mergeCell ref="G28:M28"/>
    <mergeCell ref="B30:N30"/>
    <mergeCell ref="C32:K32"/>
    <mergeCell ref="L32:M32"/>
    <mergeCell ref="C33:K33"/>
    <mergeCell ref="L33:M33"/>
    <mergeCell ref="L13:N13"/>
    <mergeCell ref="H18:M18"/>
    <mergeCell ref="D19:M20"/>
    <mergeCell ref="D22:M22"/>
    <mergeCell ref="D24:M24"/>
    <mergeCell ref="E26:M26"/>
    <mergeCell ref="K6:K8"/>
    <mergeCell ref="L6:L8"/>
    <mergeCell ref="M6:M8"/>
    <mergeCell ref="N6:N8"/>
    <mergeCell ref="C8:J8"/>
    <mergeCell ref="D12:G12"/>
    <mergeCell ref="J12:M12"/>
    <mergeCell ref="B2:B8"/>
    <mergeCell ref="C2:J2"/>
    <mergeCell ref="K2:K3"/>
    <mergeCell ref="L2:N3"/>
    <mergeCell ref="C3:J3"/>
    <mergeCell ref="C4:J4"/>
    <mergeCell ref="K4:K5"/>
    <mergeCell ref="L4:N5"/>
    <mergeCell ref="C5:J5"/>
    <mergeCell ref="C6:J7"/>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6"/>
  <sheetViews>
    <sheetView showGridLines="0" topLeftCell="A55" zoomScale="55" zoomScaleNormal="55" workbookViewId="0">
      <selection activeCell="B59" sqref="B59:N61"/>
    </sheetView>
  </sheetViews>
  <sheetFormatPr baseColWidth="10" defaultColWidth="11.42578125" defaultRowHeight="12.75"/>
  <cols>
    <col min="1" max="1" width="3.140625" style="32" customWidth="1"/>
    <col min="2" max="10" width="11.42578125" style="32"/>
    <col min="11" max="11" width="12.5703125" style="32" customWidth="1"/>
    <col min="12" max="13" width="11.42578125" style="32"/>
    <col min="14" max="14" width="17" style="32" customWidth="1"/>
    <col min="15" max="16384" width="11.42578125" style="32"/>
  </cols>
  <sheetData>
    <row r="1" spans="2:14" ht="13.5" thickBot="1"/>
    <row r="2" spans="2:14">
      <c r="B2" s="1772"/>
      <c r="C2" s="1774" t="s">
        <v>227</v>
      </c>
      <c r="D2" s="1775"/>
      <c r="E2" s="1775"/>
      <c r="F2" s="1775"/>
      <c r="G2" s="1775"/>
      <c r="H2" s="1775"/>
      <c r="I2" s="1775"/>
      <c r="J2" s="1776"/>
      <c r="K2" s="1777" t="s">
        <v>228</v>
      </c>
      <c r="L2" s="1779" t="s">
        <v>229</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231</v>
      </c>
      <c r="D5" s="1800"/>
      <c r="E5" s="1800"/>
      <c r="F5" s="1800"/>
      <c r="G5" s="1800"/>
      <c r="H5" s="1800"/>
      <c r="I5" s="1800"/>
      <c r="J5" s="1801"/>
      <c r="K5" s="1792"/>
      <c r="L5" s="1796"/>
      <c r="M5" s="1797"/>
      <c r="N5" s="1798"/>
    </row>
    <row r="6" spans="2:14">
      <c r="B6" s="1773"/>
      <c r="C6" s="1805" t="e">
        <f>+#REF!</f>
        <v>#REF!</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238"/>
      <c r="C9" s="41"/>
      <c r="D9" s="41"/>
      <c r="E9" s="41"/>
      <c r="F9" s="41"/>
      <c r="G9" s="41"/>
      <c r="H9" s="41"/>
      <c r="I9" s="41"/>
      <c r="J9" s="41"/>
      <c r="K9" s="41"/>
      <c r="L9" s="42"/>
      <c r="M9" s="42"/>
      <c r="N9" s="43"/>
    </row>
    <row r="10" spans="2:14" ht="12.75" customHeight="1">
      <c r="B10" s="44"/>
      <c r="C10" s="45"/>
      <c r="D10" s="45"/>
      <c r="E10" s="45"/>
      <c r="F10" s="45"/>
      <c r="G10" s="45"/>
      <c r="H10" s="45"/>
      <c r="I10" s="45"/>
      <c r="J10" s="45"/>
      <c r="K10" s="46" t="s">
        <v>235</v>
      </c>
      <c r="L10" s="47" t="s">
        <v>236</v>
      </c>
      <c r="M10" s="47" t="s">
        <v>237</v>
      </c>
      <c r="N10" s="48" t="s">
        <v>238</v>
      </c>
    </row>
    <row r="11" spans="2:14" ht="13.5">
      <c r="B11" s="49"/>
      <c r="C11" s="243"/>
      <c r="D11" s="243"/>
      <c r="E11" s="243"/>
      <c r="F11" s="243"/>
      <c r="G11" s="243"/>
      <c r="H11" s="243"/>
      <c r="I11" s="243"/>
      <c r="J11" s="243"/>
      <c r="K11" s="51"/>
      <c r="L11" s="52" t="e">
        <f>+#REF!</f>
        <v>#REF!</v>
      </c>
      <c r="M11" s="52" t="e">
        <f>+#REF!</f>
        <v>#REF!</v>
      </c>
      <c r="N11" s="53" t="e">
        <f>+#REF!</f>
        <v>#REF!</v>
      </c>
    </row>
    <row r="12" spans="2:14" ht="13.5">
      <c r="B12" s="54" t="s">
        <v>239</v>
      </c>
      <c r="C12" s="55"/>
      <c r="D12" s="1810" t="e">
        <f>+#REF!</f>
        <v>#REF!</v>
      </c>
      <c r="E12" s="1810"/>
      <c r="F12" s="1810"/>
      <c r="G12" s="1810"/>
      <c r="H12" s="55"/>
      <c r="I12" s="55" t="s">
        <v>240</v>
      </c>
      <c r="J12" s="1810" t="e">
        <f>+#REF!</f>
        <v>#REF!</v>
      </c>
      <c r="K12" s="1810"/>
      <c r="L12" s="1810"/>
      <c r="M12" s="1810"/>
      <c r="N12" s="245"/>
    </row>
    <row r="13" spans="2:14" ht="13.5">
      <c r="B13" s="54"/>
      <c r="C13" s="55"/>
      <c r="D13" s="244"/>
      <c r="E13" s="244"/>
      <c r="F13" s="244"/>
      <c r="G13" s="244"/>
      <c r="H13" s="55"/>
      <c r="I13" s="244"/>
      <c r="J13" s="55"/>
      <c r="K13" s="244"/>
      <c r="L13" s="1811"/>
      <c r="M13" s="1811"/>
      <c r="N13" s="1812"/>
    </row>
    <row r="14" spans="2:14" ht="13.5">
      <c r="B14" s="54"/>
      <c r="C14" s="55"/>
      <c r="D14" s="244"/>
      <c r="E14" s="244"/>
      <c r="F14" s="244"/>
      <c r="G14" s="244"/>
      <c r="H14" s="55"/>
      <c r="I14" s="244"/>
      <c r="J14" s="55"/>
      <c r="K14" s="244"/>
      <c r="L14" s="244"/>
      <c r="M14" s="244"/>
      <c r="N14" s="245"/>
    </row>
    <row r="15" spans="2:14" ht="13.5">
      <c r="B15" s="58"/>
      <c r="C15" s="59"/>
      <c r="D15" s="59"/>
      <c r="E15" s="59"/>
      <c r="F15" s="59"/>
      <c r="G15" s="59"/>
      <c r="H15" s="59"/>
      <c r="I15" s="59"/>
      <c r="J15" s="59"/>
      <c r="K15" s="59"/>
      <c r="L15" s="59"/>
      <c r="M15" s="59"/>
      <c r="N15" s="60"/>
    </row>
    <row r="16" spans="2:14" ht="13.5" thickBot="1">
      <c r="B16" s="61"/>
      <c r="C16" s="62"/>
      <c r="D16" s="62"/>
      <c r="E16" s="62"/>
      <c r="F16" s="62"/>
      <c r="G16" s="62"/>
      <c r="H16" s="62"/>
      <c r="I16" s="62"/>
      <c r="J16" s="62"/>
      <c r="K16" s="62"/>
      <c r="L16" s="62"/>
      <c r="M16" s="62"/>
      <c r="N16" s="63"/>
    </row>
    <row r="17" spans="2:14">
      <c r="B17" s="64"/>
      <c r="C17" s="65"/>
      <c r="D17" s="65"/>
      <c r="E17" s="65"/>
      <c r="F17" s="65"/>
      <c r="G17" s="65"/>
      <c r="H17" s="66"/>
      <c r="I17" s="66"/>
      <c r="J17" s="65"/>
      <c r="K17" s="65"/>
      <c r="L17" s="65"/>
      <c r="M17" s="65"/>
      <c r="N17" s="67"/>
    </row>
    <row r="18" spans="2:14" ht="13.5">
      <c r="B18" s="68" t="s">
        <v>241</v>
      </c>
      <c r="C18" s="69"/>
      <c r="D18" s="70" t="e">
        <f>+#REF!</f>
        <v>#REF!</v>
      </c>
      <c r="E18" s="71"/>
      <c r="F18" s="71"/>
      <c r="G18" s="251" t="s">
        <v>233</v>
      </c>
      <c r="H18" s="1818" t="e">
        <f>+#REF!</f>
        <v>#REF!</v>
      </c>
      <c r="I18" s="1818"/>
      <c r="J18" s="1818"/>
      <c r="K18" s="1818"/>
      <c r="L18" s="1818"/>
      <c r="M18" s="1818"/>
      <c r="N18" s="73"/>
    </row>
    <row r="19" spans="2:14">
      <c r="B19" s="74" t="s">
        <v>242</v>
      </c>
      <c r="C19" s="75"/>
      <c r="D19" s="1819" t="e">
        <f>+#REF!</f>
        <v>#REF!</v>
      </c>
      <c r="E19" s="1819"/>
      <c r="F19" s="1819"/>
      <c r="G19" s="1819"/>
      <c r="H19" s="1819"/>
      <c r="I19" s="1819"/>
      <c r="J19" s="1819"/>
      <c r="K19" s="1819"/>
      <c r="L19" s="1819"/>
      <c r="M19" s="1819"/>
      <c r="N19" s="76"/>
    </row>
    <row r="20" spans="2:14">
      <c r="B20" s="74"/>
      <c r="C20" s="75"/>
      <c r="D20" s="1820"/>
      <c r="E20" s="1820"/>
      <c r="F20" s="1820"/>
      <c r="G20" s="1820"/>
      <c r="H20" s="1820"/>
      <c r="I20" s="1820"/>
      <c r="J20" s="1820"/>
      <c r="K20" s="1820"/>
      <c r="L20" s="1820"/>
      <c r="M20" s="1820"/>
      <c r="N20" s="76"/>
    </row>
    <row r="21" spans="2:14">
      <c r="B21" s="74"/>
      <c r="C21" s="75"/>
      <c r="D21" s="246"/>
      <c r="E21" s="246"/>
      <c r="F21" s="246"/>
      <c r="G21" s="246"/>
      <c r="H21" s="246"/>
      <c r="I21" s="246"/>
      <c r="J21" s="246"/>
      <c r="K21" s="246"/>
      <c r="L21" s="246"/>
      <c r="M21" s="78"/>
      <c r="N21" s="76"/>
    </row>
    <row r="22" spans="2:14">
      <c r="B22" s="74" t="s">
        <v>292</v>
      </c>
      <c r="C22" s="75"/>
      <c r="D22" s="1816" t="e">
        <f>+#REF!</f>
        <v>#REF!</v>
      </c>
      <c r="E22" s="1816"/>
      <c r="F22" s="1816"/>
      <c r="G22" s="1816"/>
      <c r="H22" s="1816"/>
      <c r="I22" s="1816"/>
      <c r="J22" s="1816"/>
      <c r="K22" s="1816"/>
      <c r="L22" s="1816"/>
      <c r="M22" s="1816"/>
      <c r="N22" s="79"/>
    </row>
    <row r="23" spans="2:14">
      <c r="B23" s="74"/>
      <c r="C23" s="75"/>
      <c r="D23" s="80"/>
      <c r="E23" s="80"/>
      <c r="F23" s="80"/>
      <c r="G23" s="80"/>
      <c r="H23" s="80"/>
      <c r="I23" s="80"/>
      <c r="J23" s="80"/>
      <c r="K23" s="80"/>
      <c r="L23" s="80"/>
      <c r="M23" s="81"/>
      <c r="N23" s="79"/>
    </row>
    <row r="24" spans="2:14">
      <c r="B24" s="74" t="s">
        <v>243</v>
      </c>
      <c r="C24" s="75"/>
      <c r="D24" s="1816" t="e">
        <f>+#REF!</f>
        <v>#REF!</v>
      </c>
      <c r="E24" s="1816"/>
      <c r="F24" s="1816"/>
      <c r="G24" s="1816"/>
      <c r="H24" s="1816"/>
      <c r="I24" s="1816"/>
      <c r="J24" s="1816"/>
      <c r="K24" s="1816"/>
      <c r="L24" s="1816"/>
      <c r="M24" s="1816"/>
      <c r="N24" s="79"/>
    </row>
    <row r="25" spans="2:14">
      <c r="B25" s="74"/>
      <c r="C25" s="75"/>
      <c r="D25" s="80"/>
      <c r="E25" s="80"/>
      <c r="F25" s="80"/>
      <c r="G25" s="80"/>
      <c r="H25" s="80"/>
      <c r="I25" s="80"/>
      <c r="J25" s="80"/>
      <c r="K25" s="80"/>
      <c r="L25" s="80"/>
      <c r="M25" s="81"/>
      <c r="N25" s="79"/>
    </row>
    <row r="26" spans="2:14">
      <c r="B26" s="74" t="s">
        <v>244</v>
      </c>
      <c r="C26" s="74"/>
      <c r="D26" s="80"/>
      <c r="E26" s="1816" t="e">
        <f>+#REF!</f>
        <v>#REF!</v>
      </c>
      <c r="F26" s="1816"/>
      <c r="G26" s="1816"/>
      <c r="H26" s="1816"/>
      <c r="I26" s="1816"/>
      <c r="J26" s="1816"/>
      <c r="K26" s="1816"/>
      <c r="L26" s="1816"/>
      <c r="M26" s="1816"/>
      <c r="N26" s="79"/>
    </row>
    <row r="27" spans="2:14">
      <c r="B27" s="68"/>
      <c r="C27" s="69"/>
      <c r="D27" s="80"/>
      <c r="E27" s="80"/>
      <c r="F27" s="80"/>
      <c r="G27" s="80"/>
      <c r="H27" s="80"/>
      <c r="I27" s="80"/>
      <c r="J27" s="80"/>
      <c r="K27" s="80"/>
      <c r="L27" s="80"/>
      <c r="M27" s="81"/>
      <c r="N27" s="79"/>
    </row>
    <row r="28" spans="2:14">
      <c r="B28" s="74" t="s">
        <v>245</v>
      </c>
      <c r="C28" s="75"/>
      <c r="D28" s="80"/>
      <c r="E28" s="80"/>
      <c r="F28" s="80"/>
      <c r="G28" s="1817" t="e">
        <f>+#REF!</f>
        <v>#REF!</v>
      </c>
      <c r="H28" s="1817"/>
      <c r="I28" s="1817"/>
      <c r="J28" s="1817"/>
      <c r="K28" s="1817"/>
      <c r="L28" s="1817"/>
      <c r="M28" s="1817"/>
      <c r="N28" s="79"/>
    </row>
    <row r="29" spans="2:14" ht="13.5" thickBot="1">
      <c r="B29" s="82"/>
      <c r="C29" s="83"/>
      <c r="D29" s="83"/>
      <c r="E29" s="83"/>
      <c r="F29" s="83"/>
      <c r="G29" s="83"/>
      <c r="H29" s="83"/>
      <c r="I29" s="83"/>
      <c r="J29" s="83"/>
      <c r="K29" s="83"/>
      <c r="L29" s="83"/>
      <c r="M29" s="83"/>
      <c r="N29" s="84"/>
    </row>
    <row r="30" spans="2:14" ht="13.5">
      <c r="B30" s="1813" t="s">
        <v>246</v>
      </c>
      <c r="C30" s="1814"/>
      <c r="D30" s="1814"/>
      <c r="E30" s="1814"/>
      <c r="F30" s="1814"/>
      <c r="G30" s="1814"/>
      <c r="H30" s="1814"/>
      <c r="I30" s="1814"/>
      <c r="J30" s="1814"/>
      <c r="K30" s="1814"/>
      <c r="L30" s="1814"/>
      <c r="M30" s="1814"/>
      <c r="N30" s="1815"/>
    </row>
    <row r="31" spans="2:14" ht="13.5" thickBot="1">
      <c r="B31" s="85"/>
      <c r="C31" s="66"/>
      <c r="D31" s="66"/>
      <c r="E31" s="66"/>
      <c r="F31" s="66"/>
      <c r="G31" s="66"/>
      <c r="H31" s="66"/>
      <c r="I31" s="66"/>
      <c r="J31" s="66"/>
      <c r="K31" s="66"/>
      <c r="L31" s="66"/>
      <c r="M31" s="66"/>
      <c r="N31" s="73"/>
    </row>
    <row r="32" spans="2:14" ht="13.5" customHeight="1">
      <c r="B32" s="175" t="s">
        <v>29</v>
      </c>
      <c r="C32" s="1882" t="s">
        <v>173</v>
      </c>
      <c r="D32" s="1883"/>
      <c r="E32" s="1883"/>
      <c r="F32" s="1883"/>
      <c r="G32" s="1883"/>
      <c r="H32" s="1883"/>
      <c r="I32" s="1883"/>
      <c r="J32" s="1883"/>
      <c r="K32" s="1884" t="s">
        <v>247</v>
      </c>
      <c r="L32" s="1826" t="s">
        <v>38</v>
      </c>
      <c r="M32" s="1881"/>
      <c r="N32" s="175" t="s">
        <v>115</v>
      </c>
    </row>
    <row r="33" spans="2:14" ht="25.5" customHeight="1" thickBot="1">
      <c r="B33" s="176" t="e">
        <f>'PRESUPUESTO OFICIAL'!#REF!</f>
        <v>#REF!</v>
      </c>
      <c r="C33" s="1910" t="e">
        <f>'PRESUPUESTO OFICIAL'!#REF!</f>
        <v>#REF!</v>
      </c>
      <c r="D33" s="1911"/>
      <c r="E33" s="1911"/>
      <c r="F33" s="1911"/>
      <c r="G33" s="1911"/>
      <c r="H33" s="1911"/>
      <c r="I33" s="1911"/>
      <c r="J33" s="1911"/>
      <c r="K33" s="1912"/>
      <c r="L33" s="1885" t="e">
        <f>'PRESUPUESTO OFICIAL'!#REF!</f>
        <v>#REF!</v>
      </c>
      <c r="M33" s="1886"/>
      <c r="N33" s="203" t="e">
        <f>'PRESUPUESTO OFICIAL'!#REF!</f>
        <v>#REF!</v>
      </c>
    </row>
    <row r="34" spans="2:14">
      <c r="B34" s="1763" t="s">
        <v>49</v>
      </c>
      <c r="C34" s="1764"/>
      <c r="D34" s="1764"/>
      <c r="E34" s="1764"/>
      <c r="F34" s="1764"/>
      <c r="G34" s="1764"/>
      <c r="H34" s="1764"/>
      <c r="I34" s="1764"/>
      <c r="J34" s="1764"/>
      <c r="K34" s="1764"/>
      <c r="L34" s="1764"/>
      <c r="M34" s="1764"/>
      <c r="N34" s="1765"/>
    </row>
    <row r="35" spans="2:14">
      <c r="B35" s="1766"/>
      <c r="C35" s="1767"/>
      <c r="D35" s="1767"/>
      <c r="E35" s="1767"/>
      <c r="F35" s="1767"/>
      <c r="G35" s="1767"/>
      <c r="H35" s="1767"/>
      <c r="I35" s="1767"/>
      <c r="J35" s="1767"/>
      <c r="K35" s="1767"/>
      <c r="L35" s="1767"/>
      <c r="M35" s="1767"/>
      <c r="N35" s="1768"/>
    </row>
    <row r="36" spans="2:14" ht="13.5" thickBot="1">
      <c r="B36" s="1769"/>
      <c r="C36" s="1770"/>
      <c r="D36" s="1770"/>
      <c r="E36" s="1770"/>
      <c r="F36" s="1770"/>
      <c r="G36" s="1770"/>
      <c r="H36" s="1770"/>
      <c r="I36" s="1770"/>
      <c r="J36" s="1770"/>
      <c r="K36" s="1770"/>
      <c r="L36" s="1770"/>
      <c r="M36" s="1770"/>
      <c r="N36" s="1771"/>
    </row>
    <row r="37" spans="2:14" ht="13.5">
      <c r="B37" s="1826" t="s">
        <v>173</v>
      </c>
      <c r="C37" s="1827"/>
      <c r="D37" s="1827"/>
      <c r="E37" s="1827"/>
      <c r="F37" s="1828"/>
      <c r="G37" s="1829" t="s">
        <v>248</v>
      </c>
      <c r="H37" s="1827"/>
      <c r="I37" s="1830" t="s">
        <v>184</v>
      </c>
      <c r="J37" s="1831"/>
      <c r="K37" s="178" t="s">
        <v>185</v>
      </c>
      <c r="L37" s="1829" t="s">
        <v>186</v>
      </c>
      <c r="M37" s="1832"/>
      <c r="N37" s="179" t="s">
        <v>191</v>
      </c>
    </row>
    <row r="38" spans="2:14">
      <c r="B38" s="1839" t="s">
        <v>498</v>
      </c>
      <c r="C38" s="1840"/>
      <c r="D38" s="1840"/>
      <c r="E38" s="1840"/>
      <c r="F38" s="1841"/>
      <c r="G38" s="1842"/>
      <c r="H38" s="1841"/>
      <c r="I38" s="1842"/>
      <c r="J38" s="1841"/>
      <c r="K38" s="88" t="e">
        <f>#REF!</f>
        <v>#REF!</v>
      </c>
      <c r="L38" s="1913">
        <v>0.3</v>
      </c>
      <c r="M38" s="1914"/>
      <c r="N38" s="89" t="e">
        <f t="shared" ref="N38:N44" si="0">+K38/L38</f>
        <v>#REF!</v>
      </c>
    </row>
    <row r="39" spans="2:14">
      <c r="B39" s="1839" t="s">
        <v>499</v>
      </c>
      <c r="C39" s="1840"/>
      <c r="D39" s="1840"/>
      <c r="E39" s="1840"/>
      <c r="F39" s="1841"/>
      <c r="G39" s="1842"/>
      <c r="H39" s="1841"/>
      <c r="I39" s="1842"/>
      <c r="J39" s="1841"/>
      <c r="K39" s="88" t="e">
        <f>#REF!</f>
        <v>#REF!</v>
      </c>
      <c r="L39" s="1913">
        <v>0.3</v>
      </c>
      <c r="M39" s="1914">
        <v>3</v>
      </c>
      <c r="N39" s="89" t="e">
        <f t="shared" si="0"/>
        <v>#REF!</v>
      </c>
    </row>
    <row r="40" spans="2:14">
      <c r="B40" s="1839" t="s">
        <v>500</v>
      </c>
      <c r="C40" s="1840"/>
      <c r="D40" s="1840"/>
      <c r="E40" s="1840"/>
      <c r="F40" s="1841"/>
      <c r="G40" s="1842"/>
      <c r="H40" s="1841"/>
      <c r="I40" s="1842"/>
      <c r="J40" s="1841"/>
      <c r="K40" s="88" t="e">
        <f>#REF!</f>
        <v>#REF!</v>
      </c>
      <c r="L40" s="1913">
        <v>0.3</v>
      </c>
      <c r="M40" s="1914">
        <v>3</v>
      </c>
      <c r="N40" s="89" t="e">
        <f t="shared" si="0"/>
        <v>#REF!</v>
      </c>
    </row>
    <row r="41" spans="2:14">
      <c r="B41" s="1888" t="s">
        <v>489</v>
      </c>
      <c r="C41" s="1889"/>
      <c r="D41" s="1889"/>
      <c r="E41" s="249"/>
      <c r="F41" s="250"/>
      <c r="G41" s="1842"/>
      <c r="H41" s="1841"/>
      <c r="I41" s="1842"/>
      <c r="J41" s="1841"/>
      <c r="K41" s="88" t="e">
        <f>+#REF!</f>
        <v>#REF!</v>
      </c>
      <c r="L41" s="1859">
        <v>0.3</v>
      </c>
      <c r="M41" s="1860"/>
      <c r="N41" s="89" t="e">
        <f t="shared" si="0"/>
        <v>#REF!</v>
      </c>
    </row>
    <row r="42" spans="2:14">
      <c r="B42" s="1839" t="s">
        <v>516</v>
      </c>
      <c r="C42" s="1840"/>
      <c r="D42" s="1840"/>
      <c r="E42" s="1840"/>
      <c r="F42" s="1841"/>
      <c r="G42" s="1842"/>
      <c r="H42" s="1841"/>
      <c r="I42" s="1842"/>
      <c r="J42" s="1841"/>
      <c r="K42" s="88" t="e">
        <f>#REF!</f>
        <v>#REF!</v>
      </c>
      <c r="L42" s="1913">
        <v>0.3</v>
      </c>
      <c r="M42" s="1914"/>
      <c r="N42" s="89" t="e">
        <f t="shared" si="0"/>
        <v>#REF!</v>
      </c>
    </row>
    <row r="43" spans="2:14">
      <c r="B43" s="1839" t="s">
        <v>259</v>
      </c>
      <c r="C43" s="1840"/>
      <c r="D43" s="1840"/>
      <c r="E43" s="1840"/>
      <c r="F43" s="1841"/>
      <c r="G43" s="1842"/>
      <c r="H43" s="1841"/>
      <c r="I43" s="1842"/>
      <c r="J43" s="1841"/>
      <c r="K43" s="88" t="e">
        <f>#REF!</f>
        <v>#REF!</v>
      </c>
      <c r="L43" s="1913">
        <v>0.3</v>
      </c>
      <c r="M43" s="1914">
        <v>3</v>
      </c>
      <c r="N43" s="89" t="e">
        <f t="shared" si="0"/>
        <v>#REF!</v>
      </c>
    </row>
    <row r="44" spans="2:14">
      <c r="B44" s="239" t="s">
        <v>492</v>
      </c>
      <c r="C44" s="240"/>
      <c r="D44" s="240"/>
      <c r="E44" s="240"/>
      <c r="F44" s="242"/>
      <c r="G44" s="247"/>
      <c r="H44" s="242"/>
      <c r="I44" s="247"/>
      <c r="J44" s="242"/>
      <c r="K44" s="88" t="e">
        <f>#REF!</f>
        <v>#REF!</v>
      </c>
      <c r="L44" s="1913">
        <v>0.3</v>
      </c>
      <c r="M44" s="1914">
        <v>3</v>
      </c>
      <c r="N44" s="89" t="e">
        <f t="shared" si="0"/>
        <v>#REF!</v>
      </c>
    </row>
    <row r="45" spans="2:14" ht="13.5" thickBot="1">
      <c r="B45" s="1839" t="s">
        <v>58</v>
      </c>
      <c r="C45" s="1840"/>
      <c r="D45" s="1840"/>
      <c r="E45" s="1840"/>
      <c r="F45" s="1841"/>
      <c r="G45" s="1842"/>
      <c r="H45" s="1841"/>
      <c r="I45" s="1842"/>
      <c r="J45" s="1841"/>
      <c r="K45" s="88"/>
      <c r="L45" s="1908"/>
      <c r="M45" s="1909"/>
      <c r="N45" s="89" t="e">
        <f>+N75*0.1</f>
        <v>#REF!</v>
      </c>
    </row>
    <row r="46" spans="2:14" ht="14.25" thickBot="1">
      <c r="B46" s="1848" t="s">
        <v>188</v>
      </c>
      <c r="C46" s="1849"/>
      <c r="D46" s="1849"/>
      <c r="E46" s="1849"/>
      <c r="F46" s="1849"/>
      <c r="G46" s="1849"/>
      <c r="H46" s="1849"/>
      <c r="I46" s="1849"/>
      <c r="J46" s="1849"/>
      <c r="K46" s="1849"/>
      <c r="L46" s="1849"/>
      <c r="M46" s="1850"/>
      <c r="N46" s="91" t="e">
        <f>SUM(N38:N45)</f>
        <v>#REF!</v>
      </c>
    </row>
    <row r="47" spans="2:14">
      <c r="B47" s="1763" t="s">
        <v>189</v>
      </c>
      <c r="C47" s="1764"/>
      <c r="D47" s="1764"/>
      <c r="E47" s="1764"/>
      <c r="F47" s="1764"/>
      <c r="G47" s="1764"/>
      <c r="H47" s="1764"/>
      <c r="I47" s="1764"/>
      <c r="J47" s="1764"/>
      <c r="K47" s="1764"/>
      <c r="L47" s="1764"/>
      <c r="M47" s="1764"/>
      <c r="N47" s="1765"/>
    </row>
    <row r="48" spans="2:14">
      <c r="B48" s="1766"/>
      <c r="C48" s="1767"/>
      <c r="D48" s="1767"/>
      <c r="E48" s="1767"/>
      <c r="F48" s="1767"/>
      <c r="G48" s="1767"/>
      <c r="H48" s="1767"/>
      <c r="I48" s="1767"/>
      <c r="J48" s="1767"/>
      <c r="K48" s="1767"/>
      <c r="L48" s="1767"/>
      <c r="M48" s="1767"/>
      <c r="N48" s="1768"/>
    </row>
    <row r="49" spans="2:14" ht="13.5" thickBot="1">
      <c r="B49" s="1769"/>
      <c r="C49" s="1770"/>
      <c r="D49" s="1770"/>
      <c r="E49" s="1770"/>
      <c r="F49" s="1770"/>
      <c r="G49" s="1770"/>
      <c r="H49" s="1770"/>
      <c r="I49" s="1770"/>
      <c r="J49" s="1770"/>
      <c r="K49" s="1770"/>
      <c r="L49" s="1770"/>
      <c r="M49" s="1770"/>
      <c r="N49" s="1771"/>
    </row>
    <row r="50" spans="2:14" ht="13.5">
      <c r="B50" s="1826" t="s">
        <v>173</v>
      </c>
      <c r="C50" s="1851"/>
      <c r="D50" s="1851"/>
      <c r="E50" s="1851"/>
      <c r="F50" s="1851"/>
      <c r="G50" s="1851"/>
      <c r="H50" s="1851"/>
      <c r="I50" s="1832"/>
      <c r="J50" s="241" t="s">
        <v>38</v>
      </c>
      <c r="K50" s="178" t="s">
        <v>115</v>
      </c>
      <c r="L50" s="1829" t="s">
        <v>190</v>
      </c>
      <c r="M50" s="1832"/>
      <c r="N50" s="179" t="s">
        <v>191</v>
      </c>
    </row>
    <row r="51" spans="2:14">
      <c r="B51" s="1839" t="s">
        <v>272</v>
      </c>
      <c r="C51" s="1840"/>
      <c r="D51" s="1840"/>
      <c r="E51" s="1840"/>
      <c r="F51" s="1840"/>
      <c r="G51" s="1840"/>
      <c r="H51" s="1840"/>
      <c r="I51" s="1841"/>
      <c r="J51" s="131" t="s">
        <v>40</v>
      </c>
      <c r="K51" s="144">
        <v>0.73499999999999999</v>
      </c>
      <c r="L51" s="1852" t="e">
        <f>#REF!</f>
        <v>#REF!</v>
      </c>
      <c r="M51" s="1853"/>
      <c r="N51" s="89" t="e">
        <f>+L51*K51</f>
        <v>#REF!</v>
      </c>
    </row>
    <row r="52" spans="2:14">
      <c r="B52" s="1839" t="s">
        <v>501</v>
      </c>
      <c r="C52" s="1840"/>
      <c r="D52" s="1840"/>
      <c r="E52" s="1840"/>
      <c r="F52" s="1840"/>
      <c r="G52" s="1840"/>
      <c r="H52" s="1840"/>
      <c r="I52" s="1841"/>
      <c r="J52" s="147" t="s">
        <v>33</v>
      </c>
      <c r="K52" s="159">
        <v>2.355</v>
      </c>
      <c r="L52" s="1852" t="e">
        <f>#REF!</f>
        <v>#REF!</v>
      </c>
      <c r="M52" s="1853"/>
      <c r="N52" s="89" t="e">
        <f>+L52*K52</f>
        <v>#REF!</v>
      </c>
    </row>
    <row r="53" spans="2:14">
      <c r="B53" s="1839" t="s">
        <v>502</v>
      </c>
      <c r="C53" s="1840"/>
      <c r="D53" s="1840"/>
      <c r="E53" s="1840"/>
      <c r="F53" s="1840"/>
      <c r="G53" s="1840"/>
      <c r="H53" s="1840"/>
      <c r="I53" s="1841"/>
      <c r="J53" s="147" t="s">
        <v>33</v>
      </c>
      <c r="K53" s="159">
        <v>127</v>
      </c>
      <c r="L53" s="1852" t="e">
        <f>#REF!</f>
        <v>#REF!</v>
      </c>
      <c r="M53" s="1853"/>
      <c r="N53" s="89" t="e">
        <f>+L53*K53</f>
        <v>#REF!</v>
      </c>
    </row>
    <row r="54" spans="2:14">
      <c r="B54" s="1839"/>
      <c r="C54" s="1840"/>
      <c r="D54" s="1840"/>
      <c r="E54" s="1840"/>
      <c r="F54" s="1840"/>
      <c r="G54" s="1840"/>
      <c r="H54" s="1840"/>
      <c r="I54" s="1841"/>
      <c r="J54" s="147"/>
      <c r="K54" s="159"/>
      <c r="L54" s="1852"/>
      <c r="M54" s="1853"/>
      <c r="N54" s="89"/>
    </row>
    <row r="55" spans="2:14">
      <c r="B55" s="1839"/>
      <c r="C55" s="1840"/>
      <c r="D55" s="1840"/>
      <c r="E55" s="1840"/>
      <c r="F55" s="1840"/>
      <c r="G55" s="1840"/>
      <c r="H55" s="1840"/>
      <c r="I55" s="1841"/>
      <c r="J55" s="147"/>
      <c r="K55" s="159"/>
      <c r="L55" s="1852"/>
      <c r="M55" s="1853"/>
      <c r="N55" s="89"/>
    </row>
    <row r="56" spans="2:14">
      <c r="B56" s="1839"/>
      <c r="C56" s="1840"/>
      <c r="D56" s="1840"/>
      <c r="E56" s="1840"/>
      <c r="F56" s="1840"/>
      <c r="G56" s="1840"/>
      <c r="H56" s="1840"/>
      <c r="I56" s="1841"/>
      <c r="J56" s="147"/>
      <c r="K56" s="159"/>
      <c r="L56" s="1852"/>
      <c r="M56" s="1853"/>
      <c r="N56" s="89"/>
    </row>
    <row r="57" spans="2:14" ht="13.5" thickBot="1">
      <c r="B57" s="1839"/>
      <c r="C57" s="1840"/>
      <c r="D57" s="1840"/>
      <c r="E57" s="1840"/>
      <c r="F57" s="1840"/>
      <c r="G57" s="1840"/>
      <c r="H57" s="1840"/>
      <c r="I57" s="1841"/>
      <c r="J57" s="142"/>
      <c r="K57" s="143"/>
      <c r="L57" s="1852"/>
      <c r="M57" s="1853"/>
      <c r="N57" s="89"/>
    </row>
    <row r="58" spans="2:14" ht="14.25" thickBot="1">
      <c r="B58" s="1848" t="s">
        <v>188</v>
      </c>
      <c r="C58" s="1849"/>
      <c r="D58" s="1849"/>
      <c r="E58" s="1849"/>
      <c r="F58" s="1849"/>
      <c r="G58" s="1849"/>
      <c r="H58" s="1849"/>
      <c r="I58" s="1849"/>
      <c r="J58" s="1849"/>
      <c r="K58" s="1849"/>
      <c r="L58" s="1849"/>
      <c r="M58" s="1850"/>
      <c r="N58" s="99" t="e">
        <f>SUM(N51:N57)</f>
        <v>#REF!</v>
      </c>
    </row>
    <row r="59" spans="2:14">
      <c r="B59" s="1763" t="s">
        <v>51</v>
      </c>
      <c r="C59" s="1764"/>
      <c r="D59" s="1764"/>
      <c r="E59" s="1764"/>
      <c r="F59" s="1764"/>
      <c r="G59" s="1764"/>
      <c r="H59" s="1764"/>
      <c r="I59" s="1764"/>
      <c r="J59" s="1764"/>
      <c r="K59" s="1764"/>
      <c r="L59" s="1764"/>
      <c r="M59" s="1764"/>
      <c r="N59" s="1765"/>
    </row>
    <row r="60" spans="2:14">
      <c r="B60" s="1766"/>
      <c r="C60" s="1767"/>
      <c r="D60" s="1767"/>
      <c r="E60" s="1767"/>
      <c r="F60" s="1767"/>
      <c r="G60" s="1767"/>
      <c r="H60" s="1767"/>
      <c r="I60" s="1767"/>
      <c r="J60" s="1767"/>
      <c r="K60" s="1767"/>
      <c r="L60" s="1767"/>
      <c r="M60" s="1767"/>
      <c r="N60" s="1768"/>
    </row>
    <row r="61" spans="2:14" ht="13.5" thickBot="1">
      <c r="B61" s="1769"/>
      <c r="C61" s="1770"/>
      <c r="D61" s="1770"/>
      <c r="E61" s="1770"/>
      <c r="F61" s="1770"/>
      <c r="G61" s="1770"/>
      <c r="H61" s="1770"/>
      <c r="I61" s="1770"/>
      <c r="J61" s="1770"/>
      <c r="K61" s="1770"/>
      <c r="L61" s="1770"/>
      <c r="M61" s="1770"/>
      <c r="N61" s="1771"/>
    </row>
    <row r="62" spans="2:14" ht="13.5">
      <c r="B62" s="1826" t="s">
        <v>192</v>
      </c>
      <c r="C62" s="1851"/>
      <c r="D62" s="1851"/>
      <c r="E62" s="1851"/>
      <c r="F62" s="1851"/>
      <c r="G62" s="1851"/>
      <c r="H62" s="1851"/>
      <c r="I62" s="178" t="s">
        <v>193</v>
      </c>
      <c r="J62" s="234" t="s">
        <v>194</v>
      </c>
      <c r="K62" s="182" t="s">
        <v>310</v>
      </c>
      <c r="L62" s="1829" t="s">
        <v>39</v>
      </c>
      <c r="M62" s="1832"/>
      <c r="N62" s="179" t="s">
        <v>191</v>
      </c>
    </row>
    <row r="63" spans="2:14">
      <c r="B63" s="1839" t="s">
        <v>176</v>
      </c>
      <c r="C63" s="1840"/>
      <c r="D63" s="1840"/>
      <c r="E63" s="1840"/>
      <c r="F63" s="1840"/>
      <c r="G63" s="1840"/>
      <c r="H63" s="1840"/>
      <c r="I63" s="96">
        <v>1.05</v>
      </c>
      <c r="J63" s="133" t="e">
        <f>+#REF!</f>
        <v>#REF!</v>
      </c>
      <c r="K63" s="100" t="e">
        <f>+J63*I63</f>
        <v>#REF!</v>
      </c>
      <c r="L63" s="1859" t="e">
        <f>+#REF!</f>
        <v>#REF!</v>
      </c>
      <c r="M63" s="1860"/>
      <c r="N63" s="135" t="e">
        <f>+L63*K63</f>
        <v>#REF!</v>
      </c>
    </row>
    <row r="64" spans="2:14">
      <c r="B64" s="1839"/>
      <c r="C64" s="1840"/>
      <c r="D64" s="1840"/>
      <c r="E64" s="1840"/>
      <c r="F64" s="1840"/>
      <c r="G64" s="1840"/>
      <c r="H64" s="1840"/>
      <c r="I64" s="96"/>
      <c r="J64" s="133"/>
      <c r="K64" s="100"/>
      <c r="L64" s="1859"/>
      <c r="M64" s="1860"/>
      <c r="N64" s="135"/>
    </row>
    <row r="65" spans="2:14" ht="13.5" thickBot="1">
      <c r="B65" s="1834"/>
      <c r="C65" s="1835"/>
      <c r="D65" s="1835"/>
      <c r="E65" s="1835"/>
      <c r="F65" s="1835"/>
      <c r="G65" s="1835"/>
      <c r="H65" s="1835"/>
      <c r="I65" s="136"/>
      <c r="J65" s="137"/>
      <c r="K65" s="100"/>
      <c r="L65" s="1837"/>
      <c r="M65" s="1838"/>
      <c r="N65" s="135"/>
    </row>
    <row r="66" spans="2:14" ht="14.25" thickBot="1">
      <c r="B66" s="1848" t="s">
        <v>188</v>
      </c>
      <c r="C66" s="1849"/>
      <c r="D66" s="1849"/>
      <c r="E66" s="1849"/>
      <c r="F66" s="1849"/>
      <c r="G66" s="1849"/>
      <c r="H66" s="1849"/>
      <c r="I66" s="1849"/>
      <c r="J66" s="1849"/>
      <c r="K66" s="1849"/>
      <c r="L66" s="1849"/>
      <c r="M66" s="1850"/>
      <c r="N66" s="112" t="e">
        <f>SUM(N63:N65)</f>
        <v>#REF!</v>
      </c>
    </row>
    <row r="67" spans="2:14">
      <c r="B67" s="1763" t="s">
        <v>52</v>
      </c>
      <c r="C67" s="1764"/>
      <c r="D67" s="1764"/>
      <c r="E67" s="1764"/>
      <c r="F67" s="1764"/>
      <c r="G67" s="1764"/>
      <c r="H67" s="1764"/>
      <c r="I67" s="1764"/>
      <c r="J67" s="1764"/>
      <c r="K67" s="1764"/>
      <c r="L67" s="1764"/>
      <c r="M67" s="1764"/>
      <c r="N67" s="1765"/>
    </row>
    <row r="68" spans="2:14">
      <c r="B68" s="1766"/>
      <c r="C68" s="1767"/>
      <c r="D68" s="1767"/>
      <c r="E68" s="1767"/>
      <c r="F68" s="1767"/>
      <c r="G68" s="1767"/>
      <c r="H68" s="1767"/>
      <c r="I68" s="1767"/>
      <c r="J68" s="1767"/>
      <c r="K68" s="1767"/>
      <c r="L68" s="1767"/>
      <c r="M68" s="1767"/>
      <c r="N68" s="1768"/>
    </row>
    <row r="69" spans="2:14" ht="13.5" thickBot="1">
      <c r="B69" s="1769"/>
      <c r="C69" s="1770"/>
      <c r="D69" s="1770"/>
      <c r="E69" s="1770"/>
      <c r="F69" s="1770"/>
      <c r="G69" s="1770"/>
      <c r="H69" s="1770"/>
      <c r="I69" s="1770"/>
      <c r="J69" s="1770"/>
      <c r="K69" s="1770"/>
      <c r="L69" s="1770"/>
      <c r="M69" s="1770"/>
      <c r="N69" s="1771"/>
    </row>
    <row r="70" spans="2:14" ht="13.5">
      <c r="B70" s="1826" t="s">
        <v>195</v>
      </c>
      <c r="C70" s="1851"/>
      <c r="D70" s="1851"/>
      <c r="E70" s="1851"/>
      <c r="F70" s="1851"/>
      <c r="G70" s="1851"/>
      <c r="H70" s="1851"/>
      <c r="I70" s="178" t="s">
        <v>196</v>
      </c>
      <c r="J70" s="234" t="s">
        <v>46</v>
      </c>
      <c r="K70" s="182" t="s">
        <v>197</v>
      </c>
      <c r="L70" s="1829" t="s">
        <v>186</v>
      </c>
      <c r="M70" s="1832"/>
      <c r="N70" s="179" t="s">
        <v>191</v>
      </c>
    </row>
    <row r="71" spans="2:14">
      <c r="B71" s="248" t="s">
        <v>63</v>
      </c>
      <c r="C71" s="249"/>
      <c r="D71" s="249"/>
      <c r="E71" s="249"/>
      <c r="F71" s="249"/>
      <c r="G71" s="249"/>
      <c r="H71" s="249"/>
      <c r="I71" s="107" t="e">
        <f>+#REF!*4</f>
        <v>#REF!</v>
      </c>
      <c r="J71" s="108" t="e">
        <f>+#REF!</f>
        <v>#REF!</v>
      </c>
      <c r="K71" s="109" t="e">
        <f>+J71*I71</f>
        <v>#REF!</v>
      </c>
      <c r="L71" s="1861">
        <v>2</v>
      </c>
      <c r="M71" s="1862"/>
      <c r="N71" s="110" t="e">
        <f>+K71/L71</f>
        <v>#REF!</v>
      </c>
    </row>
    <row r="72" spans="2:14">
      <c r="B72" s="248" t="s">
        <v>17</v>
      </c>
      <c r="C72" s="249"/>
      <c r="D72" s="249"/>
      <c r="E72" s="249"/>
      <c r="F72" s="249"/>
      <c r="G72" s="249"/>
      <c r="H72" s="249"/>
      <c r="I72" s="107" t="e">
        <f>+#REF!*1</f>
        <v>#REF!</v>
      </c>
      <c r="J72" s="108" t="e">
        <f>+#REF!</f>
        <v>#REF!</v>
      </c>
      <c r="K72" s="109" t="e">
        <f>+J72*I72</f>
        <v>#REF!</v>
      </c>
      <c r="L72" s="1861">
        <v>2</v>
      </c>
      <c r="M72" s="1862"/>
      <c r="N72" s="110" t="e">
        <f>+K72/L72</f>
        <v>#REF!</v>
      </c>
    </row>
    <row r="73" spans="2:14">
      <c r="B73" s="248"/>
      <c r="C73" s="249"/>
      <c r="D73" s="249"/>
      <c r="E73" s="249"/>
      <c r="F73" s="249"/>
      <c r="G73" s="249"/>
      <c r="H73" s="249"/>
      <c r="I73" s="107"/>
      <c r="J73" s="108"/>
      <c r="K73" s="109"/>
      <c r="L73" s="1859"/>
      <c r="M73" s="1860"/>
      <c r="N73" s="110"/>
    </row>
    <row r="74" spans="2:14" ht="13.5" thickBot="1">
      <c r="B74" s="1834"/>
      <c r="C74" s="1835"/>
      <c r="D74" s="1835"/>
      <c r="E74" s="1835"/>
      <c r="F74" s="1835"/>
      <c r="G74" s="1835"/>
      <c r="H74" s="1835"/>
      <c r="I74" s="102"/>
      <c r="J74" s="87"/>
      <c r="K74" s="102"/>
      <c r="L74" s="1837"/>
      <c r="M74" s="1838"/>
      <c r="N74" s="111"/>
    </row>
    <row r="75" spans="2:14" ht="14.25" thickBot="1">
      <c r="B75" s="1848" t="s">
        <v>188</v>
      </c>
      <c r="C75" s="1849"/>
      <c r="D75" s="1849"/>
      <c r="E75" s="1849"/>
      <c r="F75" s="1849"/>
      <c r="G75" s="1849"/>
      <c r="H75" s="1849"/>
      <c r="I75" s="1849"/>
      <c r="J75" s="1849"/>
      <c r="K75" s="1849"/>
      <c r="L75" s="1849"/>
      <c r="M75" s="1850"/>
      <c r="N75" s="112" t="e">
        <f>SUM(N71:N74)</f>
        <v>#REF!</v>
      </c>
    </row>
    <row r="76" spans="2:14" ht="13.5" thickBot="1">
      <c r="B76" s="85"/>
      <c r="C76" s="66"/>
      <c r="D76" s="66"/>
      <c r="E76" s="66"/>
      <c r="F76" s="66"/>
      <c r="G76" s="66"/>
      <c r="H76" s="66"/>
      <c r="I76" s="66"/>
      <c r="J76" s="66"/>
      <c r="K76" s="66"/>
      <c r="L76" s="66"/>
      <c r="M76" s="66"/>
      <c r="N76" s="73"/>
    </row>
    <row r="77" spans="2:14" ht="13.5" thickBot="1">
      <c r="B77" s="1854" t="s">
        <v>198</v>
      </c>
      <c r="C77" s="1855"/>
      <c r="D77" s="1855"/>
      <c r="E77" s="1855"/>
      <c r="F77" s="1855"/>
      <c r="G77" s="1855"/>
      <c r="H77" s="1855"/>
      <c r="I77" s="1855"/>
      <c r="J77" s="1855"/>
      <c r="K77" s="1855"/>
      <c r="L77" s="1855"/>
      <c r="M77" s="1856"/>
      <c r="N77" s="186" t="e">
        <f>+N75+N66+N58+N46</f>
        <v>#REF!</v>
      </c>
    </row>
    <row r="78" spans="2:14">
      <c r="B78" s="1763" t="s">
        <v>53</v>
      </c>
      <c r="C78" s="1764"/>
      <c r="D78" s="1764"/>
      <c r="E78" s="1764"/>
      <c r="F78" s="1764"/>
      <c r="G78" s="1764"/>
      <c r="H78" s="1764"/>
      <c r="I78" s="1764"/>
      <c r="J78" s="1764"/>
      <c r="K78" s="1764"/>
      <c r="L78" s="1764"/>
      <c r="M78" s="1764"/>
      <c r="N78" s="1765"/>
    </row>
    <row r="79" spans="2:14">
      <c r="B79" s="1766"/>
      <c r="C79" s="1767"/>
      <c r="D79" s="1767"/>
      <c r="E79" s="1767"/>
      <c r="F79" s="1767"/>
      <c r="G79" s="1767"/>
      <c r="H79" s="1767"/>
      <c r="I79" s="1767"/>
      <c r="J79" s="1767"/>
      <c r="K79" s="1767"/>
      <c r="L79" s="1767"/>
      <c r="M79" s="1767"/>
      <c r="N79" s="1768"/>
    </row>
    <row r="80" spans="2:14" ht="13.5" thickBot="1">
      <c r="B80" s="1769"/>
      <c r="C80" s="1770"/>
      <c r="D80" s="1770"/>
      <c r="E80" s="1770"/>
      <c r="F80" s="1770"/>
      <c r="G80" s="1770"/>
      <c r="H80" s="1770"/>
      <c r="I80" s="1770"/>
      <c r="J80" s="1770"/>
      <c r="K80" s="1770"/>
      <c r="L80" s="1770"/>
      <c r="M80" s="1770"/>
      <c r="N80" s="1771"/>
    </row>
    <row r="81" spans="2:14" ht="13.5">
      <c r="B81" s="1826" t="s">
        <v>50</v>
      </c>
      <c r="C81" s="1851"/>
      <c r="D81" s="1851"/>
      <c r="E81" s="1851"/>
      <c r="F81" s="1851"/>
      <c r="G81" s="1851"/>
      <c r="H81" s="1851"/>
      <c r="I81" s="234"/>
      <c r="J81" s="235"/>
      <c r="K81" s="184" t="s">
        <v>54</v>
      </c>
      <c r="L81" s="1857" t="s">
        <v>55</v>
      </c>
      <c r="M81" s="1858"/>
      <c r="N81" s="185"/>
    </row>
    <row r="82" spans="2:14">
      <c r="B82" s="1839" t="s">
        <v>44</v>
      </c>
      <c r="C82" s="1840"/>
      <c r="D82" s="1840"/>
      <c r="E82" s="1840"/>
      <c r="F82" s="1840"/>
      <c r="G82" s="1840"/>
      <c r="H82" s="1840"/>
      <c r="I82" s="113"/>
      <c r="J82" s="114"/>
      <c r="K82" s="192" t="e">
        <f>+#REF!</f>
        <v>#REF!</v>
      </c>
      <c r="L82" s="1877" t="e">
        <f>+N77*K82</f>
        <v>#REF!</v>
      </c>
      <c r="M82" s="1878"/>
      <c r="N82" s="115"/>
    </row>
    <row r="83" spans="2:14">
      <c r="B83" s="116" t="s">
        <v>56</v>
      </c>
      <c r="C83" s="117"/>
      <c r="D83" s="117"/>
      <c r="E83" s="117"/>
      <c r="F83" s="117"/>
      <c r="G83" s="117"/>
      <c r="H83" s="117"/>
      <c r="I83" s="113"/>
      <c r="J83" s="114"/>
      <c r="K83" s="192" t="e">
        <f>+#REF!</f>
        <v>#REF!</v>
      </c>
      <c r="L83" s="1877" t="e">
        <f>+N77*K83</f>
        <v>#REF!</v>
      </c>
      <c r="M83" s="1878"/>
      <c r="N83" s="115"/>
    </row>
    <row r="84" spans="2:14" ht="13.5" thickBot="1">
      <c r="B84" s="236" t="s">
        <v>45</v>
      </c>
      <c r="C84" s="237"/>
      <c r="D84" s="237"/>
      <c r="E84" s="237"/>
      <c r="F84" s="237"/>
      <c r="G84" s="237"/>
      <c r="H84" s="237"/>
      <c r="I84" s="120"/>
      <c r="J84" s="121"/>
      <c r="K84" s="192" t="e">
        <f>+#REF!</f>
        <v>#REF!</v>
      </c>
      <c r="L84" s="1879" t="e">
        <f>+N77*K84</f>
        <v>#REF!</v>
      </c>
      <c r="M84" s="1880"/>
      <c r="N84" s="115"/>
    </row>
    <row r="85" spans="2:14" ht="14.25" thickBot="1">
      <c r="B85" s="1848" t="s">
        <v>188</v>
      </c>
      <c r="C85" s="1849"/>
      <c r="D85" s="1849"/>
      <c r="E85" s="1849"/>
      <c r="F85" s="1849"/>
      <c r="G85" s="1849"/>
      <c r="H85" s="1849"/>
      <c r="I85" s="1849"/>
      <c r="J85" s="1849"/>
      <c r="K85" s="1849"/>
      <c r="L85" s="1849"/>
      <c r="M85" s="1850"/>
      <c r="N85" s="122" t="e">
        <f>SUM(L82:M84)</f>
        <v>#REF!</v>
      </c>
    </row>
    <row r="86" spans="2:14" ht="13.5" thickBot="1">
      <c r="B86" s="85"/>
      <c r="C86" s="66"/>
      <c r="D86" s="66"/>
      <c r="E86" s="66"/>
      <c r="F86" s="66"/>
      <c r="G86" s="66"/>
      <c r="H86" s="66"/>
      <c r="I86" s="66"/>
      <c r="J86" s="66"/>
      <c r="K86" s="66"/>
      <c r="L86" s="66"/>
      <c r="M86" s="66"/>
      <c r="N86" s="73"/>
    </row>
    <row r="87" spans="2:14" ht="13.5" thickBot="1">
      <c r="B87" s="1854" t="s">
        <v>199</v>
      </c>
      <c r="C87" s="1855"/>
      <c r="D87" s="1855"/>
      <c r="E87" s="1855"/>
      <c r="F87" s="1855"/>
      <c r="G87" s="1855"/>
      <c r="H87" s="1855"/>
      <c r="I87" s="1855"/>
      <c r="J87" s="1855"/>
      <c r="K87" s="1855"/>
      <c r="L87" s="1855"/>
      <c r="M87" s="1856"/>
      <c r="N87" s="188" t="e">
        <f>ROUND(N77+N85,0)</f>
        <v>#REF!</v>
      </c>
    </row>
    <row r="88" spans="2:14">
      <c r="B88" s="64"/>
      <c r="C88" s="65"/>
      <c r="D88" s="65"/>
      <c r="E88" s="65"/>
      <c r="F88" s="65"/>
      <c r="G88" s="65"/>
      <c r="H88" s="65"/>
      <c r="I88" s="65"/>
      <c r="J88" s="65"/>
      <c r="K88" s="65"/>
      <c r="L88" s="65"/>
      <c r="M88" s="65"/>
      <c r="N88" s="67"/>
    </row>
    <row r="89" spans="2:14">
      <c r="B89" s="85"/>
      <c r="C89" s="66"/>
      <c r="D89" s="66"/>
      <c r="E89" s="66"/>
      <c r="F89" s="66"/>
      <c r="G89" s="66"/>
      <c r="H89" s="66"/>
      <c r="I89" s="66"/>
      <c r="J89" s="66"/>
      <c r="K89" s="66"/>
      <c r="L89" s="66"/>
      <c r="M89" s="66"/>
      <c r="N89" s="73"/>
    </row>
    <row r="90" spans="2:14">
      <c r="B90" s="85"/>
      <c r="C90" s="66"/>
      <c r="D90" s="66"/>
      <c r="E90" s="66"/>
      <c r="F90" s="66"/>
      <c r="G90" s="66"/>
      <c r="H90" s="66"/>
      <c r="I90" s="66"/>
      <c r="J90" s="66"/>
      <c r="K90" s="66"/>
      <c r="L90" s="66"/>
      <c r="M90" s="66"/>
      <c r="N90" s="73"/>
    </row>
    <row r="91" spans="2:14">
      <c r="B91" s="85"/>
      <c r="C91" s="66"/>
      <c r="D91" s="66"/>
      <c r="E91" s="66"/>
      <c r="F91" s="66"/>
      <c r="G91" s="71" t="e">
        <f>+#REF!</f>
        <v>#REF!</v>
      </c>
      <c r="H91" s="71"/>
      <c r="I91" s="71"/>
      <c r="J91" s="71"/>
      <c r="K91" s="66"/>
      <c r="L91" s="66"/>
      <c r="M91" s="66"/>
      <c r="N91" s="73"/>
    </row>
    <row r="92" spans="2:14" ht="13.5">
      <c r="B92" s="123"/>
      <c r="C92" s="124"/>
      <c r="D92" s="124"/>
      <c r="E92" s="124"/>
      <c r="F92" s="124"/>
      <c r="G92" s="71" t="e">
        <f>+#REF!</f>
        <v>#REF!</v>
      </c>
      <c r="H92" s="124"/>
      <c r="I92" s="124"/>
      <c r="J92" s="124"/>
      <c r="K92" s="124"/>
      <c r="L92" s="124"/>
      <c r="M92" s="124"/>
      <c r="N92" s="125"/>
    </row>
    <row r="93" spans="2:14" ht="13.5">
      <c r="B93" s="123"/>
      <c r="C93" s="124"/>
      <c r="D93" s="124"/>
      <c r="E93" s="124"/>
      <c r="F93" s="124"/>
      <c r="G93" s="71" t="e">
        <f>+#REF!</f>
        <v>#REF!</v>
      </c>
      <c r="H93" s="39"/>
      <c r="I93" s="39"/>
      <c r="J93" s="124"/>
      <c r="K93" s="124"/>
      <c r="L93" s="124"/>
      <c r="M93" s="124"/>
      <c r="N93" s="125"/>
    </row>
    <row r="94" spans="2:14">
      <c r="B94" s="49"/>
      <c r="C94" s="81"/>
      <c r="D94" s="81"/>
      <c r="E94" s="81"/>
      <c r="F94" s="81"/>
      <c r="G94" s="71" t="e">
        <f>+#REF!</f>
        <v>#REF!</v>
      </c>
      <c r="H94" s="81"/>
      <c r="I94" s="81"/>
      <c r="J94" s="81"/>
      <c r="K94" s="81"/>
      <c r="L94" s="81"/>
      <c r="M94" s="81"/>
      <c r="N94" s="79"/>
    </row>
    <row r="95" spans="2:14">
      <c r="B95" s="85"/>
      <c r="C95" s="66"/>
      <c r="D95" s="66"/>
      <c r="E95" s="66"/>
      <c r="F95" s="66"/>
      <c r="G95" s="66" t="s">
        <v>253</v>
      </c>
      <c r="H95" s="66"/>
      <c r="I95" s="66"/>
      <c r="J95" s="66"/>
      <c r="K95" s="66"/>
      <c r="L95" s="66"/>
      <c r="M95" s="66"/>
      <c r="N95" s="73"/>
    </row>
    <row r="96" spans="2:14" ht="13.5">
      <c r="B96" s="92" t="e">
        <f>+#REF!</f>
        <v>#REF!</v>
      </c>
      <c r="C96" s="93"/>
      <c r="D96" s="93"/>
      <c r="E96" s="93"/>
      <c r="F96" s="93"/>
      <c r="G96" s="93"/>
      <c r="H96" s="93"/>
      <c r="I96" s="93"/>
      <c r="J96" s="93"/>
      <c r="K96" s="93"/>
      <c r="L96" s="93"/>
      <c r="M96" s="93"/>
      <c r="N96" s="94"/>
    </row>
    <row r="97" spans="2:14">
      <c r="B97" s="1915"/>
      <c r="C97" s="1916"/>
      <c r="D97" s="1916"/>
      <c r="E97" s="1916"/>
      <c r="F97" s="1916"/>
      <c r="G97" s="1916"/>
      <c r="H97" s="1916"/>
      <c r="I97" s="1916"/>
      <c r="J97" s="1916"/>
      <c r="K97" s="1916"/>
      <c r="L97" s="1916"/>
      <c r="M97" s="1916"/>
      <c r="N97" s="1917"/>
    </row>
    <row r="98" spans="2:14">
      <c r="B98" s="1874"/>
      <c r="C98" s="1875"/>
      <c r="D98" s="1875"/>
      <c r="E98" s="1875"/>
      <c r="F98" s="1875"/>
      <c r="G98" s="1875"/>
      <c r="H98" s="1875"/>
      <c r="I98" s="1875"/>
      <c r="J98" s="1875"/>
      <c r="K98" s="1875"/>
      <c r="L98" s="1875"/>
      <c r="M98" s="1875"/>
      <c r="N98" s="1876"/>
    </row>
    <row r="99" spans="2:14">
      <c r="B99" s="49"/>
      <c r="C99" s="81"/>
      <c r="D99" s="81"/>
      <c r="E99" s="81"/>
      <c r="F99" s="81"/>
      <c r="G99" s="81"/>
      <c r="H99" s="81"/>
      <c r="I99" s="81"/>
      <c r="J99" s="81"/>
      <c r="K99" s="81"/>
      <c r="L99" s="81"/>
      <c r="M99" s="81"/>
      <c r="N99" s="79"/>
    </row>
    <row r="100" spans="2:14">
      <c r="B100" s="85"/>
      <c r="C100" s="66"/>
      <c r="D100" s="66"/>
      <c r="E100" s="66"/>
      <c r="F100" s="66"/>
      <c r="G100" s="71" t="e">
        <f>+#REF!</f>
        <v>#REF!</v>
      </c>
      <c r="H100" s="66"/>
      <c r="I100" s="66"/>
      <c r="J100" s="66"/>
      <c r="K100" s="66"/>
      <c r="L100" s="66"/>
      <c r="M100" s="66"/>
      <c r="N100" s="73"/>
    </row>
    <row r="101" spans="2:14">
      <c r="B101" s="85"/>
      <c r="C101" s="66"/>
      <c r="D101" s="66"/>
      <c r="E101" s="66"/>
      <c r="F101" s="66"/>
      <c r="G101" s="66" t="e">
        <f>+#REF!</f>
        <v>#REF!</v>
      </c>
      <c r="H101" s="86"/>
      <c r="I101" s="86"/>
      <c r="J101" s="86"/>
      <c r="K101" s="66"/>
      <c r="L101" s="66"/>
      <c r="M101" s="66"/>
      <c r="N101" s="73"/>
    </row>
    <row r="102" spans="2:14">
      <c r="B102" s="85"/>
      <c r="C102" s="66"/>
      <c r="D102" s="66"/>
      <c r="E102" s="66"/>
      <c r="F102" s="66"/>
      <c r="G102" s="66" t="e">
        <f>+#REF!</f>
        <v>#REF!</v>
      </c>
      <c r="H102" s="80"/>
      <c r="I102" s="80"/>
      <c r="J102" s="80"/>
      <c r="K102" s="39"/>
      <c r="L102" s="39"/>
      <c r="M102" s="66"/>
      <c r="N102" s="73"/>
    </row>
    <row r="103" spans="2:14">
      <c r="B103" s="127"/>
      <c r="C103" s="81"/>
      <c r="D103" s="81"/>
      <c r="E103" s="81"/>
      <c r="F103" s="81"/>
      <c r="G103" s="66" t="e">
        <f>+#REF!</f>
        <v>#REF!</v>
      </c>
      <c r="H103" s="39"/>
      <c r="I103" s="39"/>
      <c r="J103" s="39"/>
      <c r="K103" s="81"/>
      <c r="L103" s="81"/>
      <c r="M103" s="81"/>
      <c r="N103" s="79"/>
    </row>
    <row r="104" spans="2:14" ht="12.75" customHeight="1">
      <c r="B104" s="138" t="e">
        <f>+#REF!</f>
        <v>#REF!</v>
      </c>
      <c r="C104" s="128"/>
      <c r="D104" s="128"/>
      <c r="E104" s="66"/>
      <c r="F104" s="66"/>
      <c r="G104" s="66"/>
      <c r="H104" s="66"/>
      <c r="I104" s="66"/>
      <c r="J104" s="1863"/>
      <c r="K104" s="1863"/>
      <c r="L104" s="1863"/>
      <c r="M104" s="1863"/>
      <c r="N104" s="1864"/>
    </row>
    <row r="105" spans="2:14" ht="12.75" customHeight="1">
      <c r="B105" s="138" t="e">
        <f>+#REF!</f>
        <v>#REF!</v>
      </c>
      <c r="C105" s="128"/>
      <c r="D105" s="128"/>
      <c r="E105" s="66"/>
      <c r="F105" s="66"/>
      <c r="G105" s="66"/>
      <c r="H105" s="66"/>
      <c r="I105" s="66"/>
      <c r="J105" s="1863"/>
      <c r="K105" s="1863"/>
      <c r="L105" s="1863"/>
      <c r="M105" s="1863"/>
      <c r="N105" s="1864"/>
    </row>
    <row r="106" spans="2:14" ht="13.5" customHeight="1" thickBot="1">
      <c r="B106" s="1867"/>
      <c r="C106" s="1868"/>
      <c r="D106" s="1868"/>
      <c r="E106" s="87"/>
      <c r="F106" s="87"/>
      <c r="G106" s="87"/>
      <c r="H106" s="87"/>
      <c r="I106" s="87"/>
      <c r="J106" s="1865"/>
      <c r="K106" s="1865"/>
      <c r="L106" s="1865"/>
      <c r="M106" s="1865"/>
      <c r="N106" s="1866"/>
    </row>
  </sheetData>
  <mergeCells count="115">
    <mergeCell ref="J104:N106"/>
    <mergeCell ref="B106:D106"/>
    <mergeCell ref="L83:M83"/>
    <mergeCell ref="L84:M84"/>
    <mergeCell ref="B85:M85"/>
    <mergeCell ref="B87:M87"/>
    <mergeCell ref="B97:N97"/>
    <mergeCell ref="B98:N98"/>
    <mergeCell ref="B75:M75"/>
    <mergeCell ref="B77:M77"/>
    <mergeCell ref="B78:N80"/>
    <mergeCell ref="B81:H81"/>
    <mergeCell ref="L81:M81"/>
    <mergeCell ref="B82:H82"/>
    <mergeCell ref="L82:M82"/>
    <mergeCell ref="B70:H70"/>
    <mergeCell ref="L70:M70"/>
    <mergeCell ref="L71:M71"/>
    <mergeCell ref="L72:M72"/>
    <mergeCell ref="L73:M73"/>
    <mergeCell ref="B74:H74"/>
    <mergeCell ref="L74:M74"/>
    <mergeCell ref="B64:H64"/>
    <mergeCell ref="L64:M64"/>
    <mergeCell ref="B65:H65"/>
    <mergeCell ref="L65:M65"/>
    <mergeCell ref="B66:M66"/>
    <mergeCell ref="B67:N69"/>
    <mergeCell ref="B58:M58"/>
    <mergeCell ref="B59:N61"/>
    <mergeCell ref="B62:H62"/>
    <mergeCell ref="L62:M62"/>
    <mergeCell ref="B63:H63"/>
    <mergeCell ref="L63:M63"/>
    <mergeCell ref="B55:I55"/>
    <mergeCell ref="L55:M55"/>
    <mergeCell ref="B56:I56"/>
    <mergeCell ref="L56:M56"/>
    <mergeCell ref="B57:I57"/>
    <mergeCell ref="L57:M57"/>
    <mergeCell ref="B52:I52"/>
    <mergeCell ref="L52:M52"/>
    <mergeCell ref="B53:I53"/>
    <mergeCell ref="L53:M53"/>
    <mergeCell ref="B54:I54"/>
    <mergeCell ref="L54:M54"/>
    <mergeCell ref="B46:M46"/>
    <mergeCell ref="B47:N49"/>
    <mergeCell ref="B50:I50"/>
    <mergeCell ref="L50:M50"/>
    <mergeCell ref="B51:I51"/>
    <mergeCell ref="L51:M51"/>
    <mergeCell ref="B43:F43"/>
    <mergeCell ref="G43:H43"/>
    <mergeCell ref="I43:J43"/>
    <mergeCell ref="L43:M43"/>
    <mergeCell ref="L44:M44"/>
    <mergeCell ref="B45:F45"/>
    <mergeCell ref="G45:H45"/>
    <mergeCell ref="I45:J45"/>
    <mergeCell ref="L45:M45"/>
    <mergeCell ref="B41:D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4:N36"/>
    <mergeCell ref="B37:F37"/>
    <mergeCell ref="G37:H37"/>
    <mergeCell ref="I37:J37"/>
    <mergeCell ref="L37:M37"/>
    <mergeCell ref="B38:F38"/>
    <mergeCell ref="G38:H38"/>
    <mergeCell ref="I38:J38"/>
    <mergeCell ref="L38:M38"/>
    <mergeCell ref="G28:M28"/>
    <mergeCell ref="B30:N30"/>
    <mergeCell ref="C32:K32"/>
    <mergeCell ref="L32:M32"/>
    <mergeCell ref="C33:K33"/>
    <mergeCell ref="L33:M33"/>
    <mergeCell ref="L13:N13"/>
    <mergeCell ref="H18:M18"/>
    <mergeCell ref="D19:M20"/>
    <mergeCell ref="D22:M22"/>
    <mergeCell ref="D24:M24"/>
    <mergeCell ref="E26:M26"/>
    <mergeCell ref="K6:K8"/>
    <mergeCell ref="L6:L8"/>
    <mergeCell ref="M6:M8"/>
    <mergeCell ref="N6:N8"/>
    <mergeCell ref="C8:J8"/>
    <mergeCell ref="D12:G12"/>
    <mergeCell ref="J12:M12"/>
    <mergeCell ref="B2:B8"/>
    <mergeCell ref="C2:J2"/>
    <mergeCell ref="K2:K3"/>
    <mergeCell ref="L2:N3"/>
    <mergeCell ref="C3:J3"/>
    <mergeCell ref="C4:J4"/>
    <mergeCell ref="K4:K5"/>
    <mergeCell ref="L4:N5"/>
    <mergeCell ref="C5:J5"/>
    <mergeCell ref="C6:J7"/>
  </mergeCells>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dimension ref="B1:N105"/>
  <sheetViews>
    <sheetView showGridLines="0" topLeftCell="A32" zoomScale="55" zoomScaleNormal="55" workbookViewId="0">
      <selection sqref="A1:XFD1048576"/>
    </sheetView>
  </sheetViews>
  <sheetFormatPr baseColWidth="10" defaultColWidth="11.42578125" defaultRowHeight="12.75"/>
  <cols>
    <col min="1" max="1" width="3.140625" style="39" customWidth="1"/>
    <col min="2" max="10" width="11.42578125" style="39"/>
    <col min="11" max="11" width="12.5703125" style="39" customWidth="1"/>
    <col min="12" max="13" width="11.42578125" style="39"/>
    <col min="14" max="14" width="14"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401</v>
      </c>
      <c r="C34" s="1885" t="s">
        <v>641</v>
      </c>
      <c r="D34" s="1887"/>
      <c r="E34" s="1887"/>
      <c r="F34" s="1887"/>
      <c r="G34" s="1887"/>
      <c r="H34" s="1887"/>
      <c r="I34" s="1887"/>
      <c r="J34" s="1887"/>
      <c r="K34" s="1886"/>
      <c r="L34" s="1885" t="s">
        <v>111</v>
      </c>
      <c r="M34" s="1886"/>
      <c r="N34" s="177">
        <v>51</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v>
      </c>
      <c r="C39" s="1840"/>
      <c r="D39" s="1840"/>
      <c r="E39" s="1840"/>
      <c r="F39" s="1841"/>
      <c r="G39" s="1842"/>
      <c r="H39" s="1841"/>
      <c r="I39" s="1842"/>
      <c r="J39" s="1841"/>
      <c r="K39" s="164">
        <v>9450</v>
      </c>
      <c r="L39" s="1918">
        <v>1</v>
      </c>
      <c r="M39" s="1919"/>
      <c r="N39" s="89">
        <v>9450</v>
      </c>
    </row>
    <row r="40" spans="2:14">
      <c r="B40" s="1839" t="s">
        <v>187</v>
      </c>
      <c r="C40" s="1840"/>
      <c r="D40" s="1840"/>
      <c r="E40" s="1840"/>
      <c r="F40" s="1841"/>
      <c r="G40" s="1842"/>
      <c r="H40" s="1841"/>
      <c r="I40" s="1842"/>
      <c r="J40" s="1841"/>
      <c r="K40" s="164">
        <v>47250</v>
      </c>
      <c r="L40" s="1918">
        <v>2</v>
      </c>
      <c r="M40" s="1919"/>
      <c r="N40" s="89">
        <v>23625</v>
      </c>
    </row>
    <row r="41" spans="2:14" ht="13.5" thickBot="1">
      <c r="B41" s="1839" t="s">
        <v>58</v>
      </c>
      <c r="C41" s="1840"/>
      <c r="D41" s="1840"/>
      <c r="E41" s="1840"/>
      <c r="F41" s="1841"/>
      <c r="G41" s="1842"/>
      <c r="H41" s="1841"/>
      <c r="I41" s="1842"/>
      <c r="J41" s="1841"/>
      <c r="K41" s="88"/>
      <c r="L41" s="1908"/>
      <c r="M41" s="1909"/>
      <c r="N41" s="89">
        <v>9422.7853749999995</v>
      </c>
    </row>
    <row r="42" spans="2:14" ht="14.25" thickBot="1">
      <c r="B42" s="1848" t="s">
        <v>188</v>
      </c>
      <c r="C42" s="1849"/>
      <c r="D42" s="1849"/>
      <c r="E42" s="1849"/>
      <c r="F42" s="1849"/>
      <c r="G42" s="1849"/>
      <c r="H42" s="1849"/>
      <c r="I42" s="1849"/>
      <c r="J42" s="1849"/>
      <c r="K42" s="1849"/>
      <c r="L42" s="1849"/>
      <c r="M42" s="1850"/>
      <c r="N42" s="91">
        <v>42497.785374999999</v>
      </c>
    </row>
    <row r="43" spans="2:14">
      <c r="B43" s="1763" t="s">
        <v>189</v>
      </c>
      <c r="C43" s="1764"/>
      <c r="D43" s="1764"/>
      <c r="E43" s="1764"/>
      <c r="F43" s="1764"/>
      <c r="G43" s="1764"/>
      <c r="H43" s="1764"/>
      <c r="I43" s="1764"/>
      <c r="J43" s="1764"/>
      <c r="K43" s="1764"/>
      <c r="L43" s="1764"/>
      <c r="M43" s="1764"/>
      <c r="N43" s="1765"/>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c r="B47" s="1839" t="s">
        <v>1498</v>
      </c>
      <c r="C47" s="1840"/>
      <c r="D47" s="1840"/>
      <c r="E47" s="1840"/>
      <c r="F47" s="1840"/>
      <c r="G47" s="1840"/>
      <c r="H47" s="1840"/>
      <c r="I47" s="1841"/>
      <c r="J47" s="131" t="s">
        <v>40</v>
      </c>
      <c r="K47" s="144">
        <v>1.05</v>
      </c>
      <c r="L47" s="1852">
        <v>477524.495</v>
      </c>
      <c r="M47" s="1853"/>
      <c r="N47" s="89">
        <v>501400.71974999999</v>
      </c>
    </row>
    <row r="48" spans="2:14">
      <c r="B48" s="1839" t="s">
        <v>1500</v>
      </c>
      <c r="C48" s="1840"/>
      <c r="D48" s="1840"/>
      <c r="E48" s="1840"/>
      <c r="F48" s="1840"/>
      <c r="G48" s="1840"/>
      <c r="H48" s="1840"/>
      <c r="I48" s="1841"/>
      <c r="J48" s="147" t="s">
        <v>42</v>
      </c>
      <c r="K48" s="159">
        <v>1</v>
      </c>
      <c r="L48" s="1852">
        <v>128799.99999999999</v>
      </c>
      <c r="M48" s="1853"/>
      <c r="N48" s="89">
        <v>128799.99999999999</v>
      </c>
    </row>
    <row r="49" spans="2:14">
      <c r="B49" s="1839"/>
      <c r="C49" s="1840"/>
      <c r="D49" s="1840"/>
      <c r="E49" s="1840"/>
      <c r="F49" s="1840"/>
      <c r="G49" s="1840"/>
      <c r="H49" s="1840"/>
      <c r="I49" s="1841"/>
      <c r="J49" s="147"/>
      <c r="K49" s="159"/>
      <c r="L49" s="1852"/>
      <c r="M49" s="1853"/>
      <c r="N49" s="89"/>
    </row>
    <row r="50" spans="2:14">
      <c r="B50" s="1839"/>
      <c r="C50" s="1840"/>
      <c r="D50" s="1840"/>
      <c r="E50" s="1840"/>
      <c r="F50" s="1840"/>
      <c r="G50" s="1840"/>
      <c r="H50" s="1840"/>
      <c r="I50" s="1841"/>
      <c r="J50" s="147"/>
      <c r="K50" s="148"/>
      <c r="L50" s="1852"/>
      <c r="M50" s="1853"/>
      <c r="N50" s="89"/>
    </row>
    <row r="51" spans="2:14" ht="13.5" thickBot="1">
      <c r="B51" s="1839"/>
      <c r="C51" s="1840"/>
      <c r="D51" s="1840"/>
      <c r="E51" s="1840"/>
      <c r="F51" s="1840"/>
      <c r="G51" s="1840"/>
      <c r="H51" s="1840"/>
      <c r="I51" s="1841"/>
      <c r="J51" s="142"/>
      <c r="K51" s="143"/>
      <c r="L51" s="1852"/>
      <c r="M51" s="1853"/>
      <c r="N51" s="89"/>
    </row>
    <row r="52" spans="2:14" ht="14.25" thickBot="1">
      <c r="B52" s="1848" t="s">
        <v>188</v>
      </c>
      <c r="C52" s="1849"/>
      <c r="D52" s="1849"/>
      <c r="E52" s="1849"/>
      <c r="F52" s="1849"/>
      <c r="G52" s="1849"/>
      <c r="H52" s="1849"/>
      <c r="I52" s="1849"/>
      <c r="J52" s="1849"/>
      <c r="K52" s="1849"/>
      <c r="L52" s="1849"/>
      <c r="M52" s="1850"/>
      <c r="N52" s="99">
        <v>630200.71974999993</v>
      </c>
    </row>
    <row r="53" spans="2:14">
      <c r="B53" s="1763" t="s">
        <v>51</v>
      </c>
      <c r="C53" s="1764"/>
      <c r="D53" s="1764"/>
      <c r="E53" s="1764"/>
      <c r="F53" s="1764"/>
      <c r="G53" s="1764"/>
      <c r="H53" s="1764"/>
      <c r="I53" s="1764"/>
      <c r="J53" s="1764"/>
      <c r="K53" s="1764"/>
      <c r="L53" s="1764"/>
      <c r="M53" s="1764"/>
      <c r="N53" s="1765"/>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81" t="s">
        <v>194</v>
      </c>
      <c r="K56" s="182" t="s">
        <v>310</v>
      </c>
      <c r="L56" s="1829" t="s">
        <v>39</v>
      </c>
      <c r="M56" s="1832"/>
      <c r="N56" s="179" t="s">
        <v>191</v>
      </c>
    </row>
    <row r="57" spans="2:14">
      <c r="B57" s="1839"/>
      <c r="C57" s="1840"/>
      <c r="D57" s="1840"/>
      <c r="E57" s="1840"/>
      <c r="F57" s="1840"/>
      <c r="G57" s="1840"/>
      <c r="H57" s="1840"/>
      <c r="I57" s="96"/>
      <c r="J57" s="133"/>
      <c r="K57" s="100"/>
      <c r="L57" s="1843"/>
      <c r="M57" s="1844"/>
      <c r="N57" s="135"/>
    </row>
    <row r="58" spans="2:14">
      <c r="B58" s="1839"/>
      <c r="C58" s="1840"/>
      <c r="D58" s="1840"/>
      <c r="E58" s="1840"/>
      <c r="F58" s="1840"/>
      <c r="G58" s="1840"/>
      <c r="H58" s="1840"/>
      <c r="I58" s="96"/>
      <c r="J58" s="133"/>
      <c r="K58" s="100"/>
      <c r="L58" s="1843"/>
      <c r="M58" s="1844"/>
      <c r="N58" s="135"/>
    </row>
    <row r="59" spans="2:14" ht="13.5" thickBot="1">
      <c r="B59" s="1834"/>
      <c r="C59" s="1835"/>
      <c r="D59" s="1835"/>
      <c r="E59" s="1835"/>
      <c r="F59" s="1835"/>
      <c r="G59" s="1835"/>
      <c r="H59" s="1835"/>
      <c r="I59" s="136"/>
      <c r="J59" s="137"/>
      <c r="K59" s="100"/>
      <c r="L59" s="1837"/>
      <c r="M59" s="1838"/>
      <c r="N59" s="135"/>
    </row>
    <row r="60" spans="2:14" ht="14.25" thickBot="1">
      <c r="B60" s="1848" t="s">
        <v>188</v>
      </c>
      <c r="C60" s="1849"/>
      <c r="D60" s="1849"/>
      <c r="E60" s="1849"/>
      <c r="F60" s="1849"/>
      <c r="G60" s="1849"/>
      <c r="H60" s="1849"/>
      <c r="I60" s="1849"/>
      <c r="J60" s="1849"/>
      <c r="K60" s="1849"/>
      <c r="L60" s="1849"/>
      <c r="M60" s="1850"/>
      <c r="N60" s="112">
        <v>0</v>
      </c>
    </row>
    <row r="61" spans="2:14">
      <c r="B61" s="1763" t="s">
        <v>52</v>
      </c>
      <c r="C61" s="1764"/>
      <c r="D61" s="1764"/>
      <c r="E61" s="1764"/>
      <c r="F61" s="1764"/>
      <c r="G61" s="1764"/>
      <c r="H61" s="1764"/>
      <c r="I61" s="1764"/>
      <c r="J61" s="1764"/>
      <c r="K61" s="1764"/>
      <c r="L61" s="1764"/>
      <c r="M61" s="1764"/>
      <c r="N61" s="1765"/>
    </row>
    <row r="62" spans="2:14">
      <c r="B62" s="1766"/>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4">
      <c r="B65" s="105" t="s">
        <v>1499</v>
      </c>
      <c r="C65" s="106"/>
      <c r="D65" s="106"/>
      <c r="E65" s="106"/>
      <c r="F65" s="106"/>
      <c r="G65" s="106"/>
      <c r="H65" s="106"/>
      <c r="I65" s="107">
        <v>274000</v>
      </c>
      <c r="J65" s="108">
        <v>1.85</v>
      </c>
      <c r="K65" s="109">
        <v>506900</v>
      </c>
      <c r="L65" s="1861">
        <v>8</v>
      </c>
      <c r="M65" s="1862"/>
      <c r="N65" s="110">
        <v>63362.5</v>
      </c>
    </row>
    <row r="66" spans="2:14">
      <c r="B66" s="105" t="s">
        <v>200</v>
      </c>
      <c r="C66" s="106"/>
      <c r="D66" s="106"/>
      <c r="E66" s="106"/>
      <c r="F66" s="106"/>
      <c r="G66" s="106"/>
      <c r="H66" s="106"/>
      <c r="I66" s="107">
        <v>80892</v>
      </c>
      <c r="J66" s="108">
        <v>1.85</v>
      </c>
      <c r="K66" s="109">
        <v>149650.20000000001</v>
      </c>
      <c r="L66" s="1861">
        <v>8</v>
      </c>
      <c r="M66" s="1862"/>
      <c r="N66" s="110">
        <v>18706.275000000001</v>
      </c>
    </row>
    <row r="67" spans="2:14">
      <c r="B67" s="105" t="s">
        <v>203</v>
      </c>
      <c r="C67" s="106"/>
      <c r="D67" s="106"/>
      <c r="E67" s="106"/>
      <c r="F67" s="106"/>
      <c r="G67" s="106"/>
      <c r="H67" s="106"/>
      <c r="I67" s="107">
        <v>52579.8</v>
      </c>
      <c r="J67" s="108">
        <v>1.85</v>
      </c>
      <c r="K67" s="109">
        <v>97272.63</v>
      </c>
      <c r="L67" s="1859">
        <v>8</v>
      </c>
      <c r="M67" s="1860"/>
      <c r="N67" s="110">
        <v>12159.078750000001</v>
      </c>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94227.853749999995</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766926.35887499992</v>
      </c>
    </row>
    <row r="72" spans="2:14">
      <c r="B72" s="1763" t="s">
        <v>53</v>
      </c>
      <c r="C72" s="1764"/>
      <c r="D72" s="1764"/>
      <c r="E72" s="1764"/>
      <c r="F72" s="1764"/>
      <c r="G72" s="1764"/>
      <c r="H72" s="1764"/>
      <c r="I72" s="1764"/>
      <c r="J72" s="1764"/>
      <c r="K72" s="1764"/>
      <c r="L72" s="1764"/>
      <c r="M72" s="1764"/>
      <c r="N72" s="1765"/>
    </row>
    <row r="73" spans="2:14">
      <c r="B73" s="1766"/>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81"/>
      <c r="J75" s="187"/>
      <c r="K75" s="184" t="s">
        <v>54</v>
      </c>
      <c r="L75" s="1857" t="s">
        <v>55</v>
      </c>
      <c r="M75" s="1858"/>
      <c r="N75" s="185"/>
    </row>
    <row r="76" spans="2:14">
      <c r="B76" s="1839" t="s">
        <v>44</v>
      </c>
      <c r="C76" s="1840"/>
      <c r="D76" s="1840"/>
      <c r="E76" s="1840"/>
      <c r="F76" s="1840"/>
      <c r="G76" s="1840"/>
      <c r="H76" s="1840"/>
      <c r="I76" s="113"/>
      <c r="J76" s="114"/>
      <c r="K76" s="192">
        <v>0.22</v>
      </c>
      <c r="L76" s="1877">
        <v>168723.79895249999</v>
      </c>
      <c r="M76" s="1878"/>
      <c r="N76" s="115"/>
    </row>
    <row r="77" spans="2:14">
      <c r="B77" s="116" t="s">
        <v>56</v>
      </c>
      <c r="C77" s="117"/>
      <c r="D77" s="117"/>
      <c r="E77" s="117"/>
      <c r="F77" s="117"/>
      <c r="G77" s="117"/>
      <c r="H77" s="117"/>
      <c r="I77" s="113"/>
      <c r="J77" s="114"/>
      <c r="K77" s="192">
        <v>0.05</v>
      </c>
      <c r="L77" s="1877">
        <v>38346.31794375</v>
      </c>
      <c r="M77" s="1878"/>
      <c r="N77" s="115"/>
    </row>
    <row r="78" spans="2:14" ht="13.5" thickBot="1">
      <c r="B78" s="118" t="s">
        <v>45</v>
      </c>
      <c r="C78" s="119"/>
      <c r="D78" s="119"/>
      <c r="E78" s="119"/>
      <c r="F78" s="119"/>
      <c r="G78" s="119"/>
      <c r="H78" s="119"/>
      <c r="I78" s="120"/>
      <c r="J78" s="121"/>
      <c r="K78" s="192">
        <v>0.05</v>
      </c>
      <c r="L78" s="1879">
        <v>38346.31794375</v>
      </c>
      <c r="M78" s="1880"/>
      <c r="N78" s="115"/>
    </row>
    <row r="79" spans="2:14" ht="14.25" thickBot="1">
      <c r="B79" s="1848" t="s">
        <v>188</v>
      </c>
      <c r="C79" s="1849"/>
      <c r="D79" s="1849"/>
      <c r="E79" s="1849"/>
      <c r="F79" s="1849"/>
      <c r="G79" s="1849"/>
      <c r="H79" s="1849"/>
      <c r="I79" s="1849"/>
      <c r="J79" s="1849"/>
      <c r="K79" s="1849"/>
      <c r="L79" s="1849"/>
      <c r="M79" s="1850"/>
      <c r="N79" s="122">
        <v>245416.43484</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1012343</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7">
    <mergeCell ref="J104:N105"/>
    <mergeCell ref="B105:D105"/>
    <mergeCell ref="B12:E12"/>
    <mergeCell ref="B95:N96"/>
    <mergeCell ref="B97:N98"/>
    <mergeCell ref="B72:N74"/>
    <mergeCell ref="D20:M21"/>
    <mergeCell ref="D23:M23"/>
    <mergeCell ref="D13:G13"/>
    <mergeCell ref="J13:M13"/>
    <mergeCell ref="L14:N14"/>
    <mergeCell ref="H19:M19"/>
    <mergeCell ref="D25:M25"/>
    <mergeCell ref="E27:M27"/>
    <mergeCell ref="G29:M29"/>
    <mergeCell ref="B31:N3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48:I48"/>
    <mergeCell ref="L48:M48"/>
    <mergeCell ref="B49:I49"/>
    <mergeCell ref="L49:M49"/>
    <mergeCell ref="B50:I50"/>
    <mergeCell ref="L50:M50"/>
    <mergeCell ref="B51:I51"/>
    <mergeCell ref="L51:M51"/>
    <mergeCell ref="B52:M52"/>
    <mergeCell ref="B56:H56"/>
    <mergeCell ref="L56:M56"/>
    <mergeCell ref="B53:N55"/>
    <mergeCell ref="B57:H57"/>
    <mergeCell ref="L57:M57"/>
    <mergeCell ref="B58:H58"/>
    <mergeCell ref="L58:M58"/>
    <mergeCell ref="B69:M69"/>
    <mergeCell ref="B61:N63"/>
    <mergeCell ref="B71:M71"/>
    <mergeCell ref="B59:H59"/>
    <mergeCell ref="L59:M59"/>
    <mergeCell ref="B60:M60"/>
    <mergeCell ref="B64:H64"/>
    <mergeCell ref="L64:M64"/>
    <mergeCell ref="L65:M65"/>
    <mergeCell ref="L66:M66"/>
    <mergeCell ref="L67:M67"/>
    <mergeCell ref="B68:H68"/>
    <mergeCell ref="L68:M68"/>
    <mergeCell ref="B75:H75"/>
    <mergeCell ref="L75:M75"/>
    <mergeCell ref="B76:H76"/>
    <mergeCell ref="L76:M76"/>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2263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26305" r:id="rId3"/>
      </mc:Fallback>
    </mc:AlternateContent>
  </oleObjects>
  <mc:AlternateContent xmlns:mc="http://schemas.openxmlformats.org/markup-compatibility/2006">
    <mc:Choice Requires="x14">
      <controls>
        <mc:AlternateContent xmlns:mc="http://schemas.openxmlformats.org/markup-compatibility/2006">
          <mc:Choice Requires="x14">
            <control shapeId="22630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2630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4"/>
  <sheetViews>
    <sheetView showGridLines="0" topLeftCell="A31"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42578125" style="39" bestFit="1" customWidth="1"/>
    <col min="12" max="13" width="11.42578125" style="39"/>
    <col min="14" max="14" width="13.42578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229"/>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225"/>
      <c r="D11" s="225"/>
      <c r="E11" s="225"/>
      <c r="F11" s="225"/>
      <c r="G11" s="225"/>
      <c r="H11" s="225"/>
      <c r="I11" s="225"/>
      <c r="J11" s="225"/>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228"/>
    </row>
    <row r="14" spans="2:14" ht="13.5">
      <c r="B14" s="54"/>
      <c r="C14" s="55"/>
      <c r="D14" s="227"/>
      <c r="E14" s="227"/>
      <c r="F14" s="227"/>
      <c r="G14" s="227"/>
      <c r="H14" s="55"/>
      <c r="I14" s="227"/>
      <c r="J14" s="55"/>
      <c r="K14" s="227"/>
      <c r="L14" s="1811"/>
      <c r="M14" s="1811"/>
      <c r="N14" s="1812"/>
    </row>
    <row r="15" spans="2:14" ht="13.5">
      <c r="B15" s="54"/>
      <c r="C15" s="55"/>
      <c r="D15" s="227"/>
      <c r="E15" s="227"/>
      <c r="F15" s="227"/>
      <c r="G15" s="227"/>
      <c r="H15" s="55"/>
      <c r="I15" s="227"/>
      <c r="J15" s="55"/>
      <c r="K15" s="227"/>
      <c r="L15" s="227"/>
      <c r="M15" s="227"/>
      <c r="N15" s="228"/>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233"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224"/>
      <c r="E22" s="224"/>
      <c r="F22" s="224"/>
      <c r="G22" s="224"/>
      <c r="H22" s="224"/>
      <c r="I22" s="224"/>
      <c r="J22" s="224"/>
      <c r="K22" s="224"/>
      <c r="L22" s="224"/>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424</v>
      </c>
      <c r="C34" s="1885" t="s">
        <v>646</v>
      </c>
      <c r="D34" s="1887"/>
      <c r="E34" s="1887"/>
      <c r="F34" s="1887"/>
      <c r="G34" s="1887"/>
      <c r="H34" s="1887"/>
      <c r="I34" s="1887"/>
      <c r="J34" s="1887"/>
      <c r="K34" s="1886"/>
      <c r="L34" s="1885" t="s">
        <v>111</v>
      </c>
      <c r="M34" s="1886"/>
      <c r="N34" s="204">
        <v>242</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23.25" customHeight="1"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v>
      </c>
      <c r="C39" s="1840"/>
      <c r="D39" s="1840"/>
      <c r="E39" s="1840"/>
      <c r="F39" s="1841"/>
      <c r="G39" s="1842"/>
      <c r="H39" s="1841"/>
      <c r="I39" s="1842"/>
      <c r="J39" s="1841"/>
      <c r="K39" s="88">
        <v>9450</v>
      </c>
      <c r="L39" s="1908">
        <v>4</v>
      </c>
      <c r="M39" s="1909"/>
      <c r="N39" s="89">
        <v>2362.5</v>
      </c>
    </row>
    <row r="40" spans="2:14">
      <c r="B40" s="1839" t="s">
        <v>187</v>
      </c>
      <c r="C40" s="1840"/>
      <c r="D40" s="1840"/>
      <c r="E40" s="1840"/>
      <c r="F40" s="1841"/>
      <c r="G40" s="1842"/>
      <c r="H40" s="1841"/>
      <c r="I40" s="1842"/>
      <c r="J40" s="1841"/>
      <c r="K40" s="88">
        <v>47250</v>
      </c>
      <c r="L40" s="1908">
        <v>4</v>
      </c>
      <c r="M40" s="1909"/>
      <c r="N40" s="89">
        <v>11812.5</v>
      </c>
    </row>
    <row r="41" spans="2:14">
      <c r="B41" s="1839" t="s">
        <v>58</v>
      </c>
      <c r="C41" s="1840"/>
      <c r="D41" s="1840"/>
      <c r="E41" s="1840"/>
      <c r="F41" s="1841"/>
      <c r="G41" s="1842"/>
      <c r="H41" s="1841"/>
      <c r="I41" s="1842"/>
      <c r="J41" s="1841"/>
      <c r="K41" s="88"/>
      <c r="L41" s="1908"/>
      <c r="M41" s="1909"/>
      <c r="N41" s="89">
        <v>2810.5176875000002</v>
      </c>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16985.5176875</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customHeight="1"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226" t="s">
        <v>38</v>
      </c>
      <c r="K47" s="178" t="s">
        <v>115</v>
      </c>
      <c r="L47" s="1829" t="s">
        <v>190</v>
      </c>
      <c r="M47" s="1832"/>
      <c r="N47" s="179" t="s">
        <v>191</v>
      </c>
    </row>
    <row r="48" spans="2:14">
      <c r="B48" s="1839" t="s">
        <v>1501</v>
      </c>
      <c r="C48" s="1840"/>
      <c r="D48" s="1840"/>
      <c r="E48" s="1840"/>
      <c r="F48" s="1840"/>
      <c r="G48" s="1840"/>
      <c r="H48" s="1840"/>
      <c r="I48" s="1841"/>
      <c r="J48" s="131" t="s">
        <v>40</v>
      </c>
      <c r="K48" s="144">
        <v>1.05</v>
      </c>
      <c r="L48" s="1852">
        <v>417381.42531249998</v>
      </c>
      <c r="M48" s="1853"/>
      <c r="N48" s="89">
        <v>438250.49657812499</v>
      </c>
    </row>
    <row r="49" spans="2:14">
      <c r="B49" s="1839" t="s">
        <v>1506</v>
      </c>
      <c r="C49" s="1840"/>
      <c r="D49" s="1840"/>
      <c r="E49" s="1840"/>
      <c r="F49" s="1840"/>
      <c r="G49" s="1840"/>
      <c r="H49" s="1840"/>
      <c r="I49" s="1841"/>
      <c r="J49" s="147" t="s">
        <v>42</v>
      </c>
      <c r="K49" s="159">
        <v>1</v>
      </c>
      <c r="L49" s="1852">
        <v>134400</v>
      </c>
      <c r="M49" s="1853"/>
      <c r="N49" s="89">
        <v>134400</v>
      </c>
    </row>
    <row r="50" spans="2:14" ht="13.5" thickBot="1">
      <c r="B50" s="1839"/>
      <c r="C50" s="1840"/>
      <c r="D50" s="1840"/>
      <c r="E50" s="1840"/>
      <c r="F50" s="1840"/>
      <c r="G50" s="1840"/>
      <c r="H50" s="1840"/>
      <c r="I50" s="1841"/>
      <c r="J50" s="147"/>
      <c r="K50" s="159"/>
      <c r="L50" s="1852"/>
      <c r="M50" s="1853"/>
      <c r="N50" s="89"/>
    </row>
    <row r="51" spans="2:14" ht="14.25" thickBot="1">
      <c r="B51" s="1848" t="s">
        <v>188</v>
      </c>
      <c r="C51" s="1849"/>
      <c r="D51" s="1849"/>
      <c r="E51" s="1849"/>
      <c r="F51" s="1849"/>
      <c r="G51" s="1849"/>
      <c r="H51" s="1849"/>
      <c r="I51" s="1849"/>
      <c r="J51" s="1849"/>
      <c r="K51" s="1849"/>
      <c r="L51" s="1849"/>
      <c r="M51" s="1850"/>
      <c r="N51" s="99">
        <v>572650.49657812505</v>
      </c>
    </row>
    <row r="52" spans="2:14">
      <c r="B52" s="1763" t="s">
        <v>51</v>
      </c>
      <c r="C52" s="1764"/>
      <c r="D52" s="1764"/>
      <c r="E52" s="1764"/>
      <c r="F52" s="1764"/>
      <c r="G52" s="1764"/>
      <c r="H52" s="1764"/>
      <c r="I52" s="1764"/>
      <c r="J52" s="1764"/>
      <c r="K52" s="1764"/>
      <c r="L52" s="1764"/>
      <c r="M52" s="1764"/>
      <c r="N52" s="1765"/>
    </row>
    <row r="53" spans="2:14">
      <c r="B53" s="1766"/>
      <c r="C53" s="1767"/>
      <c r="D53" s="1767"/>
      <c r="E53" s="1767"/>
      <c r="F53" s="1767"/>
      <c r="G53" s="1767"/>
      <c r="H53" s="1767"/>
      <c r="I53" s="1767"/>
      <c r="J53" s="1767"/>
      <c r="K53" s="1767"/>
      <c r="L53" s="1767"/>
      <c r="M53" s="1767"/>
      <c r="N53" s="1768"/>
    </row>
    <row r="54" spans="2:14" ht="13.5" thickBot="1">
      <c r="B54" s="1769"/>
      <c r="C54" s="1770"/>
      <c r="D54" s="1770"/>
      <c r="E54" s="1770"/>
      <c r="F54" s="1770"/>
      <c r="G54" s="1770"/>
      <c r="H54" s="1770"/>
      <c r="I54" s="1770"/>
      <c r="J54" s="1770"/>
      <c r="K54" s="1770"/>
      <c r="L54" s="1770"/>
      <c r="M54" s="1770"/>
      <c r="N54" s="1771"/>
    </row>
    <row r="55" spans="2:14" ht="13.5">
      <c r="B55" s="1826" t="s">
        <v>192</v>
      </c>
      <c r="C55" s="1851"/>
      <c r="D55" s="1851"/>
      <c r="E55" s="1851"/>
      <c r="F55" s="1851"/>
      <c r="G55" s="1851"/>
      <c r="H55" s="1851"/>
      <c r="I55" s="178" t="s">
        <v>193</v>
      </c>
      <c r="J55" s="223" t="s">
        <v>194</v>
      </c>
      <c r="K55" s="182" t="s">
        <v>310</v>
      </c>
      <c r="L55" s="1829" t="s">
        <v>39</v>
      </c>
      <c r="M55" s="1832"/>
      <c r="N55" s="179" t="s">
        <v>191</v>
      </c>
    </row>
    <row r="56" spans="2:14">
      <c r="B56" s="1839"/>
      <c r="C56" s="1840"/>
      <c r="D56" s="1840"/>
      <c r="E56" s="1840"/>
      <c r="F56" s="1840"/>
      <c r="G56" s="1840"/>
      <c r="H56" s="1840"/>
      <c r="I56" s="96"/>
      <c r="J56" s="133"/>
      <c r="K56" s="100"/>
      <c r="L56" s="1859"/>
      <c r="M56" s="1860"/>
      <c r="N56" s="135"/>
    </row>
    <row r="57" spans="2:14">
      <c r="B57" s="1839"/>
      <c r="C57" s="1840"/>
      <c r="D57" s="1840"/>
      <c r="E57" s="1840"/>
      <c r="F57" s="1840"/>
      <c r="G57" s="1840"/>
      <c r="H57" s="1840"/>
      <c r="I57" s="96"/>
      <c r="J57" s="133"/>
      <c r="K57" s="100"/>
      <c r="L57" s="1859"/>
      <c r="M57" s="1860"/>
      <c r="N57" s="135"/>
    </row>
    <row r="58" spans="2:14" ht="13.5" thickBot="1">
      <c r="B58" s="1834"/>
      <c r="C58" s="1835"/>
      <c r="D58" s="1835"/>
      <c r="E58" s="1835"/>
      <c r="F58" s="1835"/>
      <c r="G58" s="1835"/>
      <c r="H58" s="1835"/>
      <c r="I58" s="136"/>
      <c r="J58" s="137"/>
      <c r="K58" s="100"/>
      <c r="L58" s="1837"/>
      <c r="M58" s="1838"/>
      <c r="N58" s="135"/>
    </row>
    <row r="59" spans="2:14" ht="14.25" thickBot="1">
      <c r="B59" s="1848" t="s">
        <v>188</v>
      </c>
      <c r="C59" s="1849"/>
      <c r="D59" s="1849"/>
      <c r="E59" s="1849"/>
      <c r="F59" s="1849"/>
      <c r="G59" s="1849"/>
      <c r="H59" s="1849"/>
      <c r="I59" s="1849"/>
      <c r="J59" s="1849"/>
      <c r="K59" s="1849"/>
      <c r="L59" s="1849"/>
      <c r="M59" s="1850"/>
      <c r="N59" s="112">
        <v>0</v>
      </c>
    </row>
    <row r="60" spans="2:14">
      <c r="B60" s="1763" t="s">
        <v>52</v>
      </c>
      <c r="C60" s="1764"/>
      <c r="D60" s="1764"/>
      <c r="E60" s="1764"/>
      <c r="F60" s="1764"/>
      <c r="G60" s="1764"/>
      <c r="H60" s="1764"/>
      <c r="I60" s="1764"/>
      <c r="J60" s="1764"/>
      <c r="K60" s="1764"/>
      <c r="L60" s="1764"/>
      <c r="M60" s="1764"/>
      <c r="N60" s="1765"/>
    </row>
    <row r="61" spans="2:14">
      <c r="B61" s="1766"/>
      <c r="C61" s="1767"/>
      <c r="D61" s="1767"/>
      <c r="E61" s="1767"/>
      <c r="F61" s="1767"/>
      <c r="G61" s="1767"/>
      <c r="H61" s="1767"/>
      <c r="I61" s="1767"/>
      <c r="J61" s="1767"/>
      <c r="K61" s="1767"/>
      <c r="L61" s="1767"/>
      <c r="M61" s="1767"/>
      <c r="N61" s="1768"/>
    </row>
    <row r="62" spans="2:14" ht="13.5" thickBot="1">
      <c r="B62" s="1769"/>
      <c r="C62" s="1770"/>
      <c r="D62" s="1770"/>
      <c r="E62" s="1770"/>
      <c r="F62" s="1770"/>
      <c r="G62" s="1770"/>
      <c r="H62" s="1770"/>
      <c r="I62" s="1770"/>
      <c r="J62" s="1770"/>
      <c r="K62" s="1770"/>
      <c r="L62" s="1770"/>
      <c r="M62" s="1770"/>
      <c r="N62" s="1771"/>
    </row>
    <row r="63" spans="2:14" ht="13.5">
      <c r="B63" s="1826" t="s">
        <v>195</v>
      </c>
      <c r="C63" s="1851"/>
      <c r="D63" s="1851"/>
      <c r="E63" s="1851"/>
      <c r="F63" s="1851"/>
      <c r="G63" s="1851"/>
      <c r="H63" s="1851"/>
      <c r="I63" s="178" t="s">
        <v>196</v>
      </c>
      <c r="J63" s="223" t="s">
        <v>46</v>
      </c>
      <c r="K63" s="182" t="s">
        <v>197</v>
      </c>
      <c r="L63" s="1829" t="s">
        <v>186</v>
      </c>
      <c r="M63" s="1832"/>
      <c r="N63" s="179" t="s">
        <v>191</v>
      </c>
    </row>
    <row r="64" spans="2:14">
      <c r="B64" s="231" t="s">
        <v>205</v>
      </c>
      <c r="C64" s="232"/>
      <c r="D64" s="232"/>
      <c r="E64" s="232"/>
      <c r="F64" s="232"/>
      <c r="G64" s="232"/>
      <c r="H64" s="232"/>
      <c r="I64" s="107">
        <v>219200</v>
      </c>
      <c r="J64" s="108">
        <v>1.85</v>
      </c>
      <c r="K64" s="109">
        <v>405520</v>
      </c>
      <c r="L64" s="1861">
        <v>32</v>
      </c>
      <c r="M64" s="1862"/>
      <c r="N64" s="110">
        <v>12672.5</v>
      </c>
    </row>
    <row r="65" spans="2:14">
      <c r="B65" s="231" t="s">
        <v>271</v>
      </c>
      <c r="C65" s="232"/>
      <c r="D65" s="232"/>
      <c r="E65" s="232"/>
      <c r="F65" s="232"/>
      <c r="G65" s="232"/>
      <c r="H65" s="232"/>
      <c r="I65" s="107">
        <v>80892</v>
      </c>
      <c r="J65" s="108">
        <v>1.85</v>
      </c>
      <c r="K65" s="109">
        <v>149650.20000000001</v>
      </c>
      <c r="L65" s="1861">
        <v>16</v>
      </c>
      <c r="M65" s="1862"/>
      <c r="N65" s="110">
        <v>9353.1375000000007</v>
      </c>
    </row>
    <row r="66" spans="2:14">
      <c r="B66" s="1468" t="s">
        <v>203</v>
      </c>
      <c r="C66" s="1469"/>
      <c r="D66" s="1469"/>
      <c r="E66" s="1469"/>
      <c r="F66" s="1469"/>
      <c r="G66" s="1469"/>
      <c r="H66" s="1469"/>
      <c r="I66" s="107">
        <v>52579.8</v>
      </c>
      <c r="J66" s="108">
        <v>1.85</v>
      </c>
      <c r="K66" s="109">
        <v>97272.63</v>
      </c>
      <c r="L66" s="1859">
        <v>16</v>
      </c>
      <c r="M66" s="1860"/>
      <c r="N66" s="110">
        <v>6079.5393750000003</v>
      </c>
    </row>
    <row r="67" spans="2:14" ht="13.5" thickBot="1">
      <c r="B67" s="1834"/>
      <c r="C67" s="1835"/>
      <c r="D67" s="1835"/>
      <c r="E67" s="1835"/>
      <c r="F67" s="1835"/>
      <c r="G67" s="1835"/>
      <c r="H67" s="1835"/>
      <c r="I67" s="102"/>
      <c r="J67" s="87"/>
      <c r="K67" s="102"/>
      <c r="L67" s="1837"/>
      <c r="M67" s="1838"/>
      <c r="N67" s="111"/>
    </row>
    <row r="68" spans="2:14" ht="14.25" thickBot="1">
      <c r="B68" s="1848" t="s">
        <v>188</v>
      </c>
      <c r="C68" s="1849"/>
      <c r="D68" s="1849"/>
      <c r="E68" s="1849"/>
      <c r="F68" s="1849"/>
      <c r="G68" s="1849"/>
      <c r="H68" s="1849"/>
      <c r="I68" s="1849"/>
      <c r="J68" s="1849"/>
      <c r="K68" s="1849"/>
      <c r="L68" s="1849"/>
      <c r="M68" s="1850"/>
      <c r="N68" s="112">
        <v>28105.176875000001</v>
      </c>
    </row>
    <row r="69" spans="2:14" ht="13.5" thickBot="1">
      <c r="B69" s="85"/>
      <c r="C69" s="66"/>
      <c r="D69" s="66"/>
      <c r="E69" s="66"/>
      <c r="F69" s="66"/>
      <c r="G69" s="66"/>
      <c r="H69" s="66"/>
      <c r="I69" s="66"/>
      <c r="J69" s="66"/>
      <c r="K69" s="66"/>
      <c r="L69" s="66"/>
      <c r="M69" s="66"/>
      <c r="N69" s="73"/>
    </row>
    <row r="70" spans="2:14" ht="13.5" thickBot="1">
      <c r="B70" s="1854" t="s">
        <v>198</v>
      </c>
      <c r="C70" s="1855"/>
      <c r="D70" s="1855"/>
      <c r="E70" s="1855"/>
      <c r="F70" s="1855"/>
      <c r="G70" s="1855"/>
      <c r="H70" s="1855"/>
      <c r="I70" s="1855"/>
      <c r="J70" s="1855"/>
      <c r="K70" s="1855"/>
      <c r="L70" s="1855"/>
      <c r="M70" s="1856"/>
      <c r="N70" s="186">
        <v>617741.19114062504</v>
      </c>
    </row>
    <row r="71" spans="2:14">
      <c r="B71" s="1763" t="s">
        <v>53</v>
      </c>
      <c r="C71" s="1764"/>
      <c r="D71" s="1764"/>
      <c r="E71" s="1764"/>
      <c r="F71" s="1764"/>
      <c r="G71" s="1764"/>
      <c r="H71" s="1764"/>
      <c r="I71" s="1764"/>
      <c r="J71" s="1764"/>
      <c r="K71" s="1764"/>
      <c r="L71" s="1764"/>
      <c r="M71" s="1764"/>
      <c r="N71" s="1765"/>
    </row>
    <row r="72" spans="2:14">
      <c r="B72" s="1766"/>
      <c r="C72" s="1767"/>
      <c r="D72" s="1767"/>
      <c r="E72" s="1767"/>
      <c r="F72" s="1767"/>
      <c r="G72" s="1767"/>
      <c r="H72" s="1767"/>
      <c r="I72" s="1767"/>
      <c r="J72" s="1767"/>
      <c r="K72" s="1767"/>
      <c r="L72" s="1767"/>
      <c r="M72" s="1767"/>
      <c r="N72" s="1768"/>
    </row>
    <row r="73" spans="2:14" ht="13.5" thickBot="1">
      <c r="B73" s="1769"/>
      <c r="C73" s="1770"/>
      <c r="D73" s="1770"/>
      <c r="E73" s="1770"/>
      <c r="F73" s="1770"/>
      <c r="G73" s="1770"/>
      <c r="H73" s="1770"/>
      <c r="I73" s="1770"/>
      <c r="J73" s="1770"/>
      <c r="K73" s="1770"/>
      <c r="L73" s="1770"/>
      <c r="M73" s="1770"/>
      <c r="N73" s="1771"/>
    </row>
    <row r="74" spans="2:14" ht="13.5">
      <c r="B74" s="1826" t="s">
        <v>50</v>
      </c>
      <c r="C74" s="1851"/>
      <c r="D74" s="1851"/>
      <c r="E74" s="1851"/>
      <c r="F74" s="1851"/>
      <c r="G74" s="1851"/>
      <c r="H74" s="1851"/>
      <c r="I74" s="223"/>
      <c r="J74" s="230"/>
      <c r="K74" s="184" t="s">
        <v>54</v>
      </c>
      <c r="L74" s="1857" t="s">
        <v>55</v>
      </c>
      <c r="M74" s="1858"/>
      <c r="N74" s="185"/>
    </row>
    <row r="75" spans="2:14">
      <c r="B75" s="1839" t="s">
        <v>44</v>
      </c>
      <c r="C75" s="1840"/>
      <c r="D75" s="1840"/>
      <c r="E75" s="1840"/>
      <c r="F75" s="1840"/>
      <c r="G75" s="1840"/>
      <c r="H75" s="1840"/>
      <c r="I75" s="113"/>
      <c r="J75" s="114"/>
      <c r="K75" s="192">
        <v>0.22</v>
      </c>
      <c r="L75" s="1877">
        <v>135903.0620509375</v>
      </c>
      <c r="M75" s="1878"/>
      <c r="N75" s="115"/>
    </row>
    <row r="76" spans="2:14">
      <c r="B76" s="116" t="s">
        <v>56</v>
      </c>
      <c r="C76" s="117"/>
      <c r="D76" s="117"/>
      <c r="E76" s="117"/>
      <c r="F76" s="117"/>
      <c r="G76" s="117"/>
      <c r="H76" s="117"/>
      <c r="I76" s="113"/>
      <c r="J76" s="114"/>
      <c r="K76" s="192">
        <v>0.05</v>
      </c>
      <c r="L76" s="1877">
        <v>30887.059557031254</v>
      </c>
      <c r="M76" s="1878"/>
      <c r="N76" s="115"/>
    </row>
    <row r="77" spans="2:14" ht="13.5" thickBot="1">
      <c r="B77" s="221" t="s">
        <v>45</v>
      </c>
      <c r="C77" s="222"/>
      <c r="D77" s="222"/>
      <c r="E77" s="222"/>
      <c r="F77" s="222"/>
      <c r="G77" s="222"/>
      <c r="H77" s="222"/>
      <c r="I77" s="120"/>
      <c r="J77" s="121"/>
      <c r="K77" s="192">
        <v>0.05</v>
      </c>
      <c r="L77" s="1879">
        <v>30887.059557031254</v>
      </c>
      <c r="M77" s="1880"/>
      <c r="N77" s="115"/>
    </row>
    <row r="78" spans="2:14" ht="14.25" thickBot="1">
      <c r="B78" s="1848" t="s">
        <v>188</v>
      </c>
      <c r="C78" s="1849"/>
      <c r="D78" s="1849"/>
      <c r="E78" s="1849"/>
      <c r="F78" s="1849"/>
      <c r="G78" s="1849"/>
      <c r="H78" s="1849"/>
      <c r="I78" s="1849"/>
      <c r="J78" s="1849"/>
      <c r="K78" s="1849"/>
      <c r="L78" s="1849"/>
      <c r="M78" s="1850"/>
      <c r="N78" s="122">
        <v>197677.18116500002</v>
      </c>
    </row>
    <row r="79" spans="2:14" ht="13.5" thickBot="1">
      <c r="B79" s="85"/>
      <c r="C79" s="66"/>
      <c r="D79" s="66"/>
      <c r="E79" s="66"/>
      <c r="F79" s="66"/>
      <c r="G79" s="66"/>
      <c r="H79" s="66"/>
      <c r="I79" s="66"/>
      <c r="J79" s="66"/>
      <c r="K79" s="66"/>
      <c r="L79" s="66"/>
      <c r="M79" s="66"/>
      <c r="N79" s="73"/>
    </row>
    <row r="80" spans="2:14" ht="13.5" thickBot="1">
      <c r="B80" s="1854" t="s">
        <v>199</v>
      </c>
      <c r="C80" s="1855"/>
      <c r="D80" s="1855"/>
      <c r="E80" s="1855"/>
      <c r="F80" s="1855"/>
      <c r="G80" s="1855"/>
      <c r="H80" s="1855"/>
      <c r="I80" s="1855"/>
      <c r="J80" s="1855"/>
      <c r="K80" s="1855"/>
      <c r="L80" s="1855"/>
      <c r="M80" s="1856"/>
      <c r="N80" s="188">
        <v>815418</v>
      </c>
    </row>
    <row r="81" spans="2:14">
      <c r="B81" s="64"/>
      <c r="C81" s="65"/>
      <c r="D81" s="65"/>
      <c r="E81" s="65"/>
      <c r="F81" s="65"/>
      <c r="G81" s="65"/>
      <c r="H81" s="65"/>
      <c r="I81" s="65"/>
      <c r="J81" s="65"/>
      <c r="K81" s="65"/>
      <c r="L81" s="65"/>
      <c r="M81" s="65"/>
      <c r="N81" s="67"/>
    </row>
    <row r="82" spans="2:14">
      <c r="B82" s="85"/>
      <c r="C82" s="66"/>
      <c r="D82" s="66"/>
      <c r="E82" s="66"/>
      <c r="F82" s="66"/>
      <c r="G82" s="66"/>
      <c r="H82" s="66"/>
      <c r="I82" s="66"/>
      <c r="J82" s="66"/>
      <c r="K82" s="66"/>
      <c r="L82" s="66"/>
      <c r="M82" s="66"/>
      <c r="N82" s="73"/>
    </row>
    <row r="83" spans="2:14">
      <c r="B83" s="85"/>
      <c r="C83" s="66"/>
      <c r="D83" s="66"/>
      <c r="E83" s="66"/>
      <c r="F83" s="66"/>
      <c r="G83" s="66"/>
      <c r="H83" s="66"/>
      <c r="I83" s="66"/>
      <c r="J83" s="66"/>
      <c r="K83" s="66"/>
      <c r="L83" s="66"/>
      <c r="M83" s="66"/>
      <c r="N83" s="73"/>
    </row>
    <row r="84" spans="2:14">
      <c r="B84" s="85"/>
      <c r="C84" s="66"/>
      <c r="D84" s="66"/>
      <c r="E84" s="66"/>
      <c r="F84" s="66"/>
      <c r="G84" s="71" t="s">
        <v>249</v>
      </c>
      <c r="H84" s="71"/>
      <c r="I84" s="71"/>
      <c r="J84" s="71"/>
      <c r="K84" s="66"/>
      <c r="L84" s="66"/>
      <c r="M84" s="66"/>
      <c r="N84" s="73"/>
    </row>
    <row r="85" spans="2:14" ht="13.5">
      <c r="B85" s="123"/>
      <c r="C85" s="124"/>
      <c r="D85" s="124"/>
      <c r="E85" s="124"/>
      <c r="F85" s="124"/>
      <c r="G85" s="71" t="s">
        <v>250</v>
      </c>
      <c r="H85" s="124"/>
      <c r="I85" s="124"/>
      <c r="J85" s="124"/>
      <c r="K85" s="124"/>
      <c r="L85" s="124"/>
      <c r="M85" s="124"/>
      <c r="N85" s="125"/>
    </row>
    <row r="86" spans="2:14" ht="13.5">
      <c r="B86" s="123"/>
      <c r="C86" s="124"/>
      <c r="D86" s="124"/>
      <c r="E86" s="124"/>
      <c r="F86" s="124"/>
      <c r="G86" s="71" t="s">
        <v>251</v>
      </c>
      <c r="J86" s="124"/>
      <c r="K86" s="124"/>
      <c r="L86" s="124"/>
      <c r="M86" s="124"/>
      <c r="N86" s="125"/>
    </row>
    <row r="87" spans="2:14">
      <c r="B87" s="49"/>
      <c r="C87" s="81"/>
      <c r="D87" s="81"/>
      <c r="E87" s="81"/>
      <c r="F87" s="81"/>
      <c r="G87" s="71" t="s">
        <v>252</v>
      </c>
      <c r="H87" s="81"/>
      <c r="I87" s="81"/>
      <c r="J87" s="81"/>
      <c r="K87" s="81"/>
      <c r="L87" s="81"/>
      <c r="M87" s="81"/>
      <c r="N87" s="79"/>
    </row>
    <row r="88" spans="2:14">
      <c r="B88" s="85"/>
      <c r="C88" s="66"/>
      <c r="D88" s="66"/>
      <c r="E88" s="66"/>
      <c r="F88" s="66"/>
      <c r="G88" s="66" t="s">
        <v>253</v>
      </c>
      <c r="H88" s="66"/>
      <c r="I88" s="66"/>
      <c r="J88" s="66"/>
      <c r="K88" s="66"/>
      <c r="L88" s="66"/>
      <c r="M88" s="66"/>
      <c r="N88" s="73"/>
    </row>
    <row r="89" spans="2:14" ht="13.5">
      <c r="B89" s="92" t="s">
        <v>254</v>
      </c>
      <c r="C89" s="93"/>
      <c r="D89" s="93"/>
      <c r="E89" s="93"/>
      <c r="F89" s="93"/>
      <c r="G89" s="93"/>
      <c r="H89" s="93"/>
      <c r="I89" s="93"/>
      <c r="J89" s="93"/>
      <c r="K89" s="93"/>
      <c r="L89" s="93"/>
      <c r="M89" s="93"/>
      <c r="N89" s="94"/>
    </row>
    <row r="90" spans="2:14">
      <c r="B90" s="1874"/>
      <c r="C90" s="1875"/>
      <c r="D90" s="1875"/>
      <c r="E90" s="1875"/>
      <c r="F90" s="1875"/>
      <c r="G90" s="1875"/>
      <c r="H90" s="1875"/>
      <c r="I90" s="1875"/>
      <c r="J90" s="1875"/>
      <c r="K90" s="1875"/>
      <c r="L90" s="1875"/>
      <c r="M90" s="1875"/>
      <c r="N90" s="1876"/>
    </row>
    <row r="91" spans="2:14">
      <c r="B91" s="1874"/>
      <c r="C91" s="1875"/>
      <c r="D91" s="1875"/>
      <c r="E91" s="1875"/>
      <c r="F91" s="1875"/>
      <c r="G91" s="1875"/>
      <c r="H91" s="1875"/>
      <c r="I91" s="1875"/>
      <c r="J91" s="1875"/>
      <c r="K91" s="1875"/>
      <c r="L91" s="1875"/>
      <c r="M91" s="1875"/>
      <c r="N91" s="1876"/>
    </row>
    <row r="92" spans="2:14">
      <c r="B92" s="49"/>
      <c r="C92" s="81"/>
      <c r="D92" s="81"/>
      <c r="E92" s="81"/>
      <c r="F92" s="81"/>
      <c r="G92" s="81"/>
      <c r="H92" s="81"/>
      <c r="I92" s="81"/>
      <c r="J92" s="81"/>
      <c r="K92" s="81"/>
      <c r="L92" s="81"/>
      <c r="M92" s="81"/>
      <c r="N92" s="79"/>
    </row>
    <row r="93" spans="2:14">
      <c r="B93" s="406" t="s">
        <v>719</v>
      </c>
      <c r="C93" s="81"/>
      <c r="D93" s="81"/>
      <c r="E93" s="81"/>
      <c r="F93" s="81"/>
      <c r="G93" s="81"/>
      <c r="H93" s="81"/>
      <c r="I93" s="81"/>
      <c r="J93" s="81"/>
      <c r="K93" s="81"/>
      <c r="L93" s="81"/>
      <c r="M93" s="81"/>
      <c r="N93" s="79"/>
    </row>
    <row r="94" spans="2:14" ht="12.75" customHeight="1">
      <c r="B94" s="1871" t="s">
        <v>720</v>
      </c>
      <c r="C94" s="1872"/>
      <c r="D94" s="1872"/>
      <c r="E94" s="1872"/>
      <c r="F94" s="1872"/>
      <c r="G94" s="1872"/>
      <c r="H94" s="1872"/>
      <c r="I94" s="1872"/>
      <c r="J94" s="1872"/>
      <c r="K94" s="1872"/>
      <c r="L94" s="1872"/>
      <c r="M94" s="1872"/>
      <c r="N94" s="1873"/>
    </row>
    <row r="95" spans="2:14">
      <c r="B95" s="1871"/>
      <c r="C95" s="1872"/>
      <c r="D95" s="1872"/>
      <c r="E95" s="1872"/>
      <c r="F95" s="1872"/>
      <c r="G95" s="1872"/>
      <c r="H95" s="1872"/>
      <c r="I95" s="1872"/>
      <c r="J95" s="1872"/>
      <c r="K95" s="1872"/>
      <c r="L95" s="1872"/>
      <c r="M95" s="1872"/>
      <c r="N95" s="1873"/>
    </row>
    <row r="96" spans="2:14">
      <c r="B96" s="1871" t="s">
        <v>721</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49"/>
      <c r="C98" s="81"/>
      <c r="D98" s="81"/>
      <c r="E98" s="81"/>
      <c r="F98" s="81"/>
      <c r="G98" s="81"/>
      <c r="H98" s="81"/>
      <c r="I98" s="81"/>
      <c r="J98" s="81"/>
      <c r="K98" s="81"/>
      <c r="L98" s="81"/>
      <c r="M98" s="81"/>
      <c r="N98" s="79"/>
    </row>
    <row r="99" spans="2:14">
      <c r="B99" s="85"/>
      <c r="C99" s="66"/>
      <c r="D99" s="66"/>
      <c r="E99" s="66"/>
      <c r="F99" s="66"/>
      <c r="G99" s="71" t="s">
        <v>249</v>
      </c>
      <c r="H99" s="66"/>
      <c r="I99" s="66"/>
      <c r="J99" s="66"/>
      <c r="K99" s="66"/>
      <c r="L99" s="66"/>
      <c r="M99" s="66"/>
      <c r="N99" s="73"/>
    </row>
    <row r="100" spans="2:14">
      <c r="B100" s="85"/>
      <c r="C100" s="66"/>
      <c r="D100" s="66"/>
      <c r="E100" s="66"/>
      <c r="F100" s="66"/>
      <c r="G100" s="66" t="s">
        <v>250</v>
      </c>
      <c r="H100" s="86"/>
      <c r="I100" s="86"/>
      <c r="J100" s="86"/>
      <c r="K100" s="66"/>
      <c r="L100" s="66"/>
      <c r="M100" s="66"/>
      <c r="N100" s="73"/>
    </row>
    <row r="101" spans="2:14">
      <c r="B101" s="85"/>
      <c r="C101" s="66"/>
      <c r="D101" s="66"/>
      <c r="E101" s="66"/>
      <c r="F101" s="66"/>
      <c r="G101" s="66" t="s">
        <v>255</v>
      </c>
      <c r="H101" s="80"/>
      <c r="I101" s="80"/>
      <c r="J101" s="80"/>
      <c r="M101" s="66"/>
      <c r="N101" s="73"/>
    </row>
    <row r="102" spans="2:14">
      <c r="B102" s="127"/>
      <c r="C102" s="81"/>
      <c r="D102" s="81"/>
      <c r="E102" s="81"/>
      <c r="F102" s="81"/>
      <c r="G102" s="66" t="s">
        <v>252</v>
      </c>
      <c r="K102" s="81"/>
      <c r="L102" s="81"/>
      <c r="M102" s="81"/>
      <c r="N102" s="79"/>
    </row>
    <row r="103" spans="2:14" ht="17.25" customHeight="1">
      <c r="B103" s="138" t="s">
        <v>722</v>
      </c>
      <c r="C103" s="128"/>
      <c r="D103" s="128"/>
      <c r="E103" s="66"/>
      <c r="F103" s="66"/>
      <c r="G103" s="66"/>
      <c r="H103" s="66"/>
      <c r="I103" s="66"/>
      <c r="J103" s="1863"/>
      <c r="K103" s="1863"/>
      <c r="L103" s="1863"/>
      <c r="M103" s="1863"/>
      <c r="N103" s="1864"/>
    </row>
    <row r="104" spans="2:14" ht="18.75" customHeight="1" thickBot="1">
      <c r="B104" s="1867" t="s">
        <v>723</v>
      </c>
      <c r="C104" s="1868"/>
      <c r="D104" s="1868"/>
      <c r="E104" s="87"/>
      <c r="F104" s="87"/>
      <c r="G104" s="87"/>
      <c r="H104" s="87"/>
      <c r="I104" s="87"/>
      <c r="J104" s="1865"/>
      <c r="K104" s="1865"/>
      <c r="L104" s="1865"/>
      <c r="M104" s="1865"/>
      <c r="N104" s="1866"/>
    </row>
  </sheetData>
  <mergeCells count="97">
    <mergeCell ref="J103:N104"/>
    <mergeCell ref="B104:D104"/>
    <mergeCell ref="B2:B8"/>
    <mergeCell ref="C2:J2"/>
    <mergeCell ref="K2:K3"/>
    <mergeCell ref="L2:N3"/>
    <mergeCell ref="C3:J3"/>
    <mergeCell ref="C4:J4"/>
    <mergeCell ref="K4:K5"/>
    <mergeCell ref="L4:N5"/>
    <mergeCell ref="C5:J5"/>
    <mergeCell ref="C6:J7"/>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9:I49"/>
    <mergeCell ref="L49:M49"/>
    <mergeCell ref="B50:I50"/>
    <mergeCell ref="L50:M50"/>
    <mergeCell ref="B51:M51"/>
    <mergeCell ref="B52:N54"/>
    <mergeCell ref="B55:H55"/>
    <mergeCell ref="L55:M55"/>
    <mergeCell ref="L65:M65"/>
    <mergeCell ref="B56:H56"/>
    <mergeCell ref="L56:M56"/>
    <mergeCell ref="B57:H57"/>
    <mergeCell ref="L57:M57"/>
    <mergeCell ref="B58:H58"/>
    <mergeCell ref="L58:M58"/>
    <mergeCell ref="B59:M59"/>
    <mergeCell ref="B60:N62"/>
    <mergeCell ref="B63:H63"/>
    <mergeCell ref="L63:M63"/>
    <mergeCell ref="L64:M64"/>
    <mergeCell ref="L77:M77"/>
    <mergeCell ref="L66:M66"/>
    <mergeCell ref="B67:H67"/>
    <mergeCell ref="L67:M67"/>
    <mergeCell ref="B68:M68"/>
    <mergeCell ref="B70:M70"/>
    <mergeCell ref="B71:N73"/>
    <mergeCell ref="B74:H74"/>
    <mergeCell ref="L74:M74"/>
    <mergeCell ref="B75:H75"/>
    <mergeCell ref="L75:M75"/>
    <mergeCell ref="L76:M76"/>
    <mergeCell ref="B96:N97"/>
    <mergeCell ref="B78:M78"/>
    <mergeCell ref="B80:M80"/>
    <mergeCell ref="B90:N90"/>
    <mergeCell ref="B91:N91"/>
    <mergeCell ref="B94:N95"/>
  </mergeCells>
  <pageMargins left="0.7" right="0.7" top="0.75" bottom="0.75" header="0.3" footer="0.3"/>
  <drawing r:id="rId1"/>
  <legacyDrawing r:id="rId2"/>
  <oleObjects>
    <mc:AlternateContent xmlns:mc="http://schemas.openxmlformats.org/markup-compatibility/2006">
      <mc:Choice Requires="x14">
        <oleObject progId="PBrush" shapeId="2334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3473" r:id="rId3"/>
      </mc:Fallback>
    </mc:AlternateContent>
  </oleObjects>
  <mc:AlternateContent xmlns:mc="http://schemas.openxmlformats.org/markup-compatibility/2006">
    <mc:Choice Requires="x14">
      <controls>
        <mc:AlternateContent xmlns:mc="http://schemas.openxmlformats.org/markup-compatibility/2006">
          <mc:Choice Requires="x14">
            <control shapeId="2334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34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dimension ref="B1:P105"/>
  <sheetViews>
    <sheetView showGridLines="0" topLeftCell="A22" zoomScale="55" zoomScaleNormal="55" workbookViewId="0">
      <selection sqref="A1:XFD1048576"/>
    </sheetView>
  </sheetViews>
  <sheetFormatPr baseColWidth="10" defaultColWidth="11.42578125" defaultRowHeight="12.75"/>
  <cols>
    <col min="1" max="1" width="3.140625" style="39" customWidth="1"/>
    <col min="2" max="10" width="11.42578125" style="39"/>
    <col min="11" max="11" width="12.85546875" style="39" customWidth="1"/>
    <col min="12" max="13" width="11.42578125" style="39"/>
    <col min="14" max="14" width="14.710937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16</v>
      </c>
      <c r="C34" s="1885" t="s">
        <v>639</v>
      </c>
      <c r="D34" s="1887"/>
      <c r="E34" s="1887"/>
      <c r="F34" s="1887"/>
      <c r="G34" s="1887"/>
      <c r="H34" s="1887"/>
      <c r="I34" s="1887"/>
      <c r="J34" s="1887"/>
      <c r="K34" s="1886"/>
      <c r="L34" s="1885" t="s">
        <v>111</v>
      </c>
      <c r="M34" s="1886"/>
      <c r="N34" s="177">
        <v>7728</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v>
      </c>
      <c r="C39" s="1840"/>
      <c r="D39" s="1840"/>
      <c r="E39" s="1840"/>
      <c r="F39" s="1841"/>
      <c r="G39" s="1842"/>
      <c r="H39" s="1841"/>
      <c r="I39" s="1842"/>
      <c r="J39" s="1841"/>
      <c r="K39" s="88">
        <v>9450</v>
      </c>
      <c r="L39" s="1922">
        <v>2</v>
      </c>
      <c r="M39" s="1923">
        <v>1.01</v>
      </c>
      <c r="N39" s="89">
        <v>4725</v>
      </c>
    </row>
    <row r="40" spans="2:14">
      <c r="B40" s="1839" t="s">
        <v>77</v>
      </c>
      <c r="C40" s="1840"/>
      <c r="D40" s="1840"/>
      <c r="E40" s="1840"/>
      <c r="F40" s="1841"/>
      <c r="G40" s="1842"/>
      <c r="H40" s="1841"/>
      <c r="I40" s="1842"/>
      <c r="J40" s="1841"/>
      <c r="K40" s="88"/>
      <c r="L40" s="1920"/>
      <c r="M40" s="1921"/>
      <c r="N40" s="89">
        <v>1488.24290625</v>
      </c>
    </row>
    <row r="41" spans="2:14">
      <c r="B41" s="1839"/>
      <c r="C41" s="1840"/>
      <c r="D41" s="1840"/>
      <c r="E41" s="1840"/>
      <c r="F41" s="1841"/>
      <c r="G41" s="1842"/>
      <c r="H41" s="1841"/>
      <c r="I41" s="1842"/>
      <c r="J41" s="1841"/>
      <c r="K41" s="88"/>
      <c r="L41" s="1920"/>
      <c r="M41" s="1921"/>
      <c r="N41" s="89"/>
    </row>
    <row r="42" spans="2:14">
      <c r="B42" s="1839"/>
      <c r="C42" s="1840"/>
      <c r="D42" s="1840"/>
      <c r="E42" s="1840"/>
      <c r="F42" s="1841"/>
      <c r="G42" s="1842"/>
      <c r="H42" s="1841"/>
      <c r="I42" s="1842"/>
      <c r="J42" s="1841"/>
      <c r="K42" s="88"/>
      <c r="L42" s="1920"/>
      <c r="M42" s="1921"/>
      <c r="N42" s="89"/>
    </row>
    <row r="43" spans="2:14">
      <c r="B43" s="1839"/>
      <c r="C43" s="1840"/>
      <c r="D43" s="1840"/>
      <c r="E43" s="1840"/>
      <c r="F43" s="1841"/>
      <c r="G43" s="1842"/>
      <c r="H43" s="1841"/>
      <c r="I43" s="1842"/>
      <c r="J43" s="1841"/>
      <c r="K43" s="88"/>
      <c r="L43" s="1913"/>
      <c r="M43" s="1914"/>
      <c r="N43" s="89"/>
    </row>
    <row r="44" spans="2:14" ht="13.5" thickBot="1">
      <c r="B44" s="1839"/>
      <c r="C44" s="1840"/>
      <c r="D44" s="1840"/>
      <c r="E44" s="1840"/>
      <c r="F44" s="1841"/>
      <c r="G44" s="1842"/>
      <c r="H44" s="1841"/>
      <c r="I44" s="1842"/>
      <c r="J44" s="1841"/>
      <c r="K44" s="88"/>
      <c r="L44" s="1908"/>
      <c r="M44" s="1909"/>
      <c r="N44" s="89"/>
    </row>
    <row r="45" spans="2:14" ht="14.25" thickBot="1">
      <c r="B45" s="1848" t="s">
        <v>188</v>
      </c>
      <c r="C45" s="1849"/>
      <c r="D45" s="1849"/>
      <c r="E45" s="1849"/>
      <c r="F45" s="1849"/>
      <c r="G45" s="1849"/>
      <c r="H45" s="1849"/>
      <c r="I45" s="1849"/>
      <c r="J45" s="1849"/>
      <c r="K45" s="1849"/>
      <c r="L45" s="1849"/>
      <c r="M45" s="1850"/>
      <c r="N45" s="91">
        <v>6213.2429062499996</v>
      </c>
    </row>
    <row r="46" spans="2:14">
      <c r="B46" s="1763" t="s">
        <v>189</v>
      </c>
      <c r="C46" s="1764"/>
      <c r="D46" s="1764"/>
      <c r="E46" s="1764"/>
      <c r="F46" s="1764"/>
      <c r="G46" s="1764"/>
      <c r="H46" s="1764"/>
      <c r="I46" s="1764"/>
      <c r="J46" s="1764"/>
      <c r="K46" s="1764"/>
      <c r="L46" s="1764"/>
      <c r="M46" s="1764"/>
      <c r="N46" s="1765"/>
    </row>
    <row r="47" spans="2:14">
      <c r="B47" s="1766"/>
      <c r="C47" s="1767"/>
      <c r="D47" s="1767"/>
      <c r="E47" s="1767"/>
      <c r="F47" s="1767"/>
      <c r="G47" s="1767"/>
      <c r="H47" s="1767"/>
      <c r="I47" s="1767"/>
      <c r="J47" s="1767"/>
      <c r="K47" s="1767"/>
      <c r="L47" s="1767"/>
      <c r="M47" s="1767"/>
      <c r="N47" s="1768"/>
    </row>
    <row r="48" spans="2:14" ht="13.5" thickBot="1">
      <c r="B48" s="1769"/>
      <c r="C48" s="1770"/>
      <c r="D48" s="1770"/>
      <c r="E48" s="1770"/>
      <c r="F48" s="1770"/>
      <c r="G48" s="1770"/>
      <c r="H48" s="1770"/>
      <c r="I48" s="1770"/>
      <c r="J48" s="1770"/>
      <c r="K48" s="1770"/>
      <c r="L48" s="1770"/>
      <c r="M48" s="1770"/>
      <c r="N48" s="1771"/>
    </row>
    <row r="49" spans="2:14" ht="13.5">
      <c r="B49" s="1826" t="s">
        <v>173</v>
      </c>
      <c r="C49" s="1851"/>
      <c r="D49" s="1851"/>
      <c r="E49" s="1851"/>
      <c r="F49" s="1851"/>
      <c r="G49" s="1851"/>
      <c r="H49" s="1851"/>
      <c r="I49" s="1832"/>
      <c r="J49" s="180" t="s">
        <v>38</v>
      </c>
      <c r="K49" s="178" t="s">
        <v>115</v>
      </c>
      <c r="L49" s="1829" t="s">
        <v>190</v>
      </c>
      <c r="M49" s="1832"/>
      <c r="N49" s="179" t="s">
        <v>191</v>
      </c>
    </row>
    <row r="50" spans="2:14">
      <c r="B50" s="1839" t="s">
        <v>1502</v>
      </c>
      <c r="C50" s="1840"/>
      <c r="D50" s="1840"/>
      <c r="E50" s="1840"/>
      <c r="F50" s="1840"/>
      <c r="G50" s="1840"/>
      <c r="H50" s="1840"/>
      <c r="I50" s="1841"/>
      <c r="J50" s="131" t="s">
        <v>40</v>
      </c>
      <c r="K50" s="144">
        <v>1.05</v>
      </c>
      <c r="L50" s="1852">
        <v>332816.00728125003</v>
      </c>
      <c r="M50" s="1853"/>
      <c r="N50" s="89">
        <v>349456.80764531257</v>
      </c>
    </row>
    <row r="51" spans="2:14" ht="13.5" thickBot="1">
      <c r="B51" s="1839" t="s">
        <v>7</v>
      </c>
      <c r="C51" s="1840"/>
      <c r="D51" s="1840"/>
      <c r="E51" s="1840"/>
      <c r="F51" s="1840"/>
      <c r="G51" s="1840"/>
      <c r="H51" s="1840"/>
      <c r="I51" s="1841"/>
      <c r="J51" s="147" t="s">
        <v>42</v>
      </c>
      <c r="K51" s="155">
        <v>1</v>
      </c>
      <c r="L51" s="1852">
        <v>42000</v>
      </c>
      <c r="M51" s="1853"/>
      <c r="N51" s="89">
        <v>42000</v>
      </c>
    </row>
    <row r="52" spans="2:14" ht="14.25" thickBot="1">
      <c r="B52" s="1848" t="s">
        <v>188</v>
      </c>
      <c r="C52" s="1849"/>
      <c r="D52" s="1849"/>
      <c r="E52" s="1849"/>
      <c r="F52" s="1849"/>
      <c r="G52" s="1849"/>
      <c r="H52" s="1849"/>
      <c r="I52" s="1849"/>
      <c r="J52" s="1849"/>
      <c r="K52" s="1849"/>
      <c r="L52" s="1849"/>
      <c r="M52" s="1850"/>
      <c r="N52" s="99">
        <v>391456.80764531257</v>
      </c>
    </row>
    <row r="53" spans="2:14">
      <c r="B53" s="1763" t="s">
        <v>51</v>
      </c>
      <c r="C53" s="1764"/>
      <c r="D53" s="1764"/>
      <c r="E53" s="1764"/>
      <c r="F53" s="1764"/>
      <c r="G53" s="1764"/>
      <c r="H53" s="1764"/>
      <c r="I53" s="1764"/>
      <c r="J53" s="1764"/>
      <c r="K53" s="1764"/>
      <c r="L53" s="1764"/>
      <c r="M53" s="1764"/>
      <c r="N53" s="1765"/>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81" t="s">
        <v>194</v>
      </c>
      <c r="K56" s="182" t="s">
        <v>310</v>
      </c>
      <c r="L56" s="1829" t="s">
        <v>39</v>
      </c>
      <c r="M56" s="1832"/>
      <c r="N56" s="179" t="s">
        <v>191</v>
      </c>
    </row>
    <row r="57" spans="2:14">
      <c r="B57" s="1839"/>
      <c r="C57" s="1840"/>
      <c r="D57" s="1840"/>
      <c r="E57" s="1840"/>
      <c r="F57" s="1840"/>
      <c r="G57" s="1840"/>
      <c r="H57" s="1840"/>
      <c r="I57" s="96"/>
      <c r="J57" s="133"/>
      <c r="K57" s="134"/>
      <c r="L57" s="1859"/>
      <c r="M57" s="1860"/>
      <c r="N57" s="135"/>
    </row>
    <row r="58" spans="2:14">
      <c r="B58" s="1839"/>
      <c r="C58" s="1840"/>
      <c r="D58" s="1840"/>
      <c r="E58" s="1840"/>
      <c r="F58" s="1840"/>
      <c r="G58" s="1840"/>
      <c r="H58" s="1840"/>
      <c r="I58" s="96"/>
      <c r="J58" s="133"/>
      <c r="K58" s="134"/>
      <c r="L58" s="1859"/>
      <c r="M58" s="1860"/>
      <c r="N58" s="135"/>
    </row>
    <row r="59" spans="2:14" ht="13.5" thickBot="1">
      <c r="B59" s="1834"/>
      <c r="C59" s="1835"/>
      <c r="D59" s="1835"/>
      <c r="E59" s="1835"/>
      <c r="F59" s="1835"/>
      <c r="G59" s="1835"/>
      <c r="H59" s="1835"/>
      <c r="I59" s="136"/>
      <c r="J59" s="137"/>
      <c r="K59" s="100"/>
      <c r="L59" s="1837"/>
      <c r="M59" s="1838"/>
      <c r="N59" s="135"/>
    </row>
    <row r="60" spans="2:14" ht="14.25" thickBot="1">
      <c r="B60" s="1848" t="s">
        <v>188</v>
      </c>
      <c r="C60" s="1849"/>
      <c r="D60" s="1849"/>
      <c r="E60" s="1849"/>
      <c r="F60" s="1849"/>
      <c r="G60" s="1849"/>
      <c r="H60" s="1849"/>
      <c r="I60" s="1849"/>
      <c r="J60" s="1849"/>
      <c r="K60" s="1849"/>
      <c r="L60" s="1849"/>
      <c r="M60" s="1850"/>
      <c r="N60" s="112">
        <v>0</v>
      </c>
    </row>
    <row r="61" spans="2:14">
      <c r="B61" s="1763" t="s">
        <v>52</v>
      </c>
      <c r="C61" s="1764"/>
      <c r="D61" s="1764"/>
      <c r="E61" s="1764"/>
      <c r="F61" s="1764"/>
      <c r="G61" s="1764"/>
      <c r="H61" s="1764"/>
      <c r="I61" s="1764"/>
      <c r="J61" s="1764"/>
      <c r="K61" s="1764"/>
      <c r="L61" s="1764"/>
      <c r="M61" s="1764"/>
      <c r="N61" s="1765"/>
    </row>
    <row r="62" spans="2:14">
      <c r="B62" s="1766"/>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6">
      <c r="B65" s="105" t="s">
        <v>1</v>
      </c>
      <c r="C65" s="106"/>
      <c r="D65" s="106"/>
      <c r="E65" s="106"/>
      <c r="F65" s="106"/>
      <c r="G65" s="106"/>
      <c r="H65" s="106"/>
      <c r="I65" s="107">
        <v>164400</v>
      </c>
      <c r="J65" s="108">
        <v>1.85</v>
      </c>
      <c r="K65" s="109">
        <v>304140</v>
      </c>
      <c r="L65" s="1861">
        <v>16</v>
      </c>
      <c r="M65" s="1862"/>
      <c r="N65" s="110">
        <v>19008.75</v>
      </c>
    </row>
    <row r="66" spans="2:16">
      <c r="B66" s="105" t="s">
        <v>273</v>
      </c>
      <c r="C66" s="106"/>
      <c r="D66" s="106"/>
      <c r="E66" s="106"/>
      <c r="F66" s="106"/>
      <c r="G66" s="106"/>
      <c r="H66" s="106"/>
      <c r="I66" s="107">
        <v>40446</v>
      </c>
      <c r="J66" s="108">
        <v>1.85</v>
      </c>
      <c r="K66" s="109">
        <v>74825.100000000006</v>
      </c>
      <c r="L66" s="1861">
        <v>16</v>
      </c>
      <c r="M66" s="1862"/>
      <c r="N66" s="110">
        <v>4676.5687500000004</v>
      </c>
    </row>
    <row r="67" spans="2:16">
      <c r="B67" s="105" t="s">
        <v>8</v>
      </c>
      <c r="C67" s="106"/>
      <c r="D67" s="106"/>
      <c r="E67" s="106"/>
      <c r="F67" s="106"/>
      <c r="G67" s="106"/>
      <c r="H67" s="106"/>
      <c r="I67" s="107">
        <v>52579.8</v>
      </c>
      <c r="J67" s="108">
        <v>1.85</v>
      </c>
      <c r="K67" s="109">
        <v>97272.63</v>
      </c>
      <c r="L67" s="1859">
        <v>16</v>
      </c>
      <c r="M67" s="1860"/>
      <c r="N67" s="110">
        <v>6079.5393750000003</v>
      </c>
    </row>
    <row r="68" spans="2:16" ht="13.5" thickBot="1">
      <c r="B68" s="1834"/>
      <c r="C68" s="1835"/>
      <c r="D68" s="1835"/>
      <c r="E68" s="1835"/>
      <c r="F68" s="1835"/>
      <c r="G68" s="1835"/>
      <c r="H68" s="1835"/>
      <c r="I68" s="102"/>
      <c r="J68" s="87"/>
      <c r="K68" s="102"/>
      <c r="L68" s="1837"/>
      <c r="M68" s="1838"/>
      <c r="N68" s="111"/>
    </row>
    <row r="69" spans="2:16" ht="14.25" thickBot="1">
      <c r="B69" s="1848" t="s">
        <v>188</v>
      </c>
      <c r="C69" s="1849"/>
      <c r="D69" s="1849"/>
      <c r="E69" s="1849"/>
      <c r="F69" s="1849"/>
      <c r="G69" s="1849"/>
      <c r="H69" s="1849"/>
      <c r="I69" s="1849"/>
      <c r="J69" s="1849"/>
      <c r="K69" s="1849"/>
      <c r="L69" s="1849"/>
      <c r="M69" s="1850"/>
      <c r="N69" s="112">
        <v>29764.858124999999</v>
      </c>
    </row>
    <row r="70" spans="2:16" ht="13.5" thickBot="1">
      <c r="B70" s="85"/>
      <c r="C70" s="66"/>
      <c r="D70" s="66"/>
      <c r="E70" s="66"/>
      <c r="F70" s="66"/>
      <c r="G70" s="66"/>
      <c r="H70" s="66"/>
      <c r="I70" s="66"/>
      <c r="J70" s="66"/>
      <c r="K70" s="66"/>
      <c r="L70" s="66"/>
      <c r="M70" s="66"/>
      <c r="N70" s="73"/>
    </row>
    <row r="71" spans="2:16" ht="13.5" thickBot="1">
      <c r="B71" s="1854" t="s">
        <v>198</v>
      </c>
      <c r="C71" s="1855"/>
      <c r="D71" s="1855"/>
      <c r="E71" s="1855"/>
      <c r="F71" s="1855"/>
      <c r="G71" s="1855"/>
      <c r="H71" s="1855"/>
      <c r="I71" s="1855"/>
      <c r="J71" s="1855"/>
      <c r="K71" s="1855"/>
      <c r="L71" s="1855"/>
      <c r="M71" s="1856"/>
      <c r="N71" s="186">
        <v>427434.90867656254</v>
      </c>
      <c r="P71" s="206"/>
    </row>
    <row r="72" spans="2:16">
      <c r="B72" s="1763" t="s">
        <v>53</v>
      </c>
      <c r="C72" s="1764"/>
      <c r="D72" s="1764"/>
      <c r="E72" s="1764"/>
      <c r="F72" s="1764"/>
      <c r="G72" s="1764"/>
      <c r="H72" s="1764"/>
      <c r="I72" s="1764"/>
      <c r="J72" s="1764"/>
      <c r="K72" s="1764"/>
      <c r="L72" s="1764"/>
      <c r="M72" s="1764"/>
      <c r="N72" s="1765"/>
    </row>
    <row r="73" spans="2:16">
      <c r="B73" s="1766"/>
      <c r="C73" s="1767"/>
      <c r="D73" s="1767"/>
      <c r="E73" s="1767"/>
      <c r="F73" s="1767"/>
      <c r="G73" s="1767"/>
      <c r="H73" s="1767"/>
      <c r="I73" s="1767"/>
      <c r="J73" s="1767"/>
      <c r="K73" s="1767"/>
      <c r="L73" s="1767"/>
      <c r="M73" s="1767"/>
      <c r="N73" s="1768"/>
    </row>
    <row r="74" spans="2:16" ht="13.5" thickBot="1">
      <c r="B74" s="1769"/>
      <c r="C74" s="1770"/>
      <c r="D74" s="1770"/>
      <c r="E74" s="1770"/>
      <c r="F74" s="1770"/>
      <c r="G74" s="1770"/>
      <c r="H74" s="1770"/>
      <c r="I74" s="1770"/>
      <c r="J74" s="1770"/>
      <c r="K74" s="1770"/>
      <c r="L74" s="1770"/>
      <c r="M74" s="1770"/>
      <c r="N74" s="1771"/>
    </row>
    <row r="75" spans="2:16" ht="13.5">
      <c r="B75" s="1826" t="s">
        <v>50</v>
      </c>
      <c r="C75" s="1851"/>
      <c r="D75" s="1851"/>
      <c r="E75" s="1851"/>
      <c r="F75" s="1851"/>
      <c r="G75" s="1851"/>
      <c r="H75" s="1851"/>
      <c r="I75" s="181"/>
      <c r="J75" s="187"/>
      <c r="K75" s="184" t="s">
        <v>54</v>
      </c>
      <c r="L75" s="1857" t="s">
        <v>55</v>
      </c>
      <c r="M75" s="1858"/>
      <c r="N75" s="185"/>
    </row>
    <row r="76" spans="2:16">
      <c r="B76" s="1839" t="s">
        <v>44</v>
      </c>
      <c r="C76" s="1840"/>
      <c r="D76" s="1840"/>
      <c r="E76" s="1840"/>
      <c r="F76" s="1840"/>
      <c r="G76" s="1840"/>
      <c r="H76" s="1840"/>
      <c r="I76" s="113"/>
      <c r="J76" s="114"/>
      <c r="K76" s="192">
        <v>0.22</v>
      </c>
      <c r="L76" s="1877">
        <v>94035.679908843755</v>
      </c>
      <c r="M76" s="1878"/>
      <c r="N76" s="115"/>
    </row>
    <row r="77" spans="2:16">
      <c r="B77" s="116" t="s">
        <v>56</v>
      </c>
      <c r="C77" s="117"/>
      <c r="D77" s="117"/>
      <c r="E77" s="117"/>
      <c r="F77" s="117"/>
      <c r="G77" s="117"/>
      <c r="H77" s="117"/>
      <c r="I77" s="113"/>
      <c r="J77" s="114"/>
      <c r="K77" s="192">
        <v>0.05</v>
      </c>
      <c r="L77" s="1877">
        <v>21371.745433828128</v>
      </c>
      <c r="M77" s="1878"/>
      <c r="N77" s="115"/>
    </row>
    <row r="78" spans="2:16" ht="13.5" thickBot="1">
      <c r="B78" s="118" t="s">
        <v>45</v>
      </c>
      <c r="C78" s="119"/>
      <c r="D78" s="119"/>
      <c r="E78" s="119"/>
      <c r="F78" s="119"/>
      <c r="G78" s="119"/>
      <c r="H78" s="119"/>
      <c r="I78" s="120"/>
      <c r="J78" s="121"/>
      <c r="K78" s="192">
        <v>0.05</v>
      </c>
      <c r="L78" s="1879">
        <v>21371.745433828128</v>
      </c>
      <c r="M78" s="1880"/>
      <c r="N78" s="115"/>
    </row>
    <row r="79" spans="2:16" ht="14.25" thickBot="1">
      <c r="B79" s="1848" t="s">
        <v>188</v>
      </c>
      <c r="C79" s="1849"/>
      <c r="D79" s="1849"/>
      <c r="E79" s="1849"/>
      <c r="F79" s="1849"/>
      <c r="G79" s="1849"/>
      <c r="H79" s="1849"/>
      <c r="I79" s="1849"/>
      <c r="J79" s="1849"/>
      <c r="K79" s="1849"/>
      <c r="L79" s="1849"/>
      <c r="M79" s="1850"/>
      <c r="N79" s="122">
        <v>136779.17077650002</v>
      </c>
    </row>
    <row r="80" spans="2:16"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564214</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103">
    <mergeCell ref="B12:E12"/>
    <mergeCell ref="B95:N96"/>
    <mergeCell ref="B97:N98"/>
    <mergeCell ref="J104:N105"/>
    <mergeCell ref="B105:D10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F43"/>
    <mergeCell ref="G43:H43"/>
    <mergeCell ref="I43:J43"/>
    <mergeCell ref="L43:M43"/>
    <mergeCell ref="B44:F44"/>
    <mergeCell ref="G44:H44"/>
    <mergeCell ref="I44:J44"/>
    <mergeCell ref="L44:M44"/>
    <mergeCell ref="B45:M45"/>
    <mergeCell ref="B49:I49"/>
    <mergeCell ref="L49:M49"/>
    <mergeCell ref="B50:I50"/>
    <mergeCell ref="L50:M50"/>
    <mergeCell ref="B46:N48"/>
    <mergeCell ref="B51:I51"/>
    <mergeCell ref="L51:M51"/>
    <mergeCell ref="B52:M52"/>
    <mergeCell ref="B56:H56"/>
    <mergeCell ref="L56:M56"/>
    <mergeCell ref="B57:H57"/>
    <mergeCell ref="L57:M57"/>
    <mergeCell ref="B58:H58"/>
    <mergeCell ref="L58:M58"/>
    <mergeCell ref="B59:H59"/>
    <mergeCell ref="L59:M59"/>
    <mergeCell ref="B53:N55"/>
    <mergeCell ref="B60:M60"/>
    <mergeCell ref="B64:H64"/>
    <mergeCell ref="L64:M64"/>
    <mergeCell ref="L65:M65"/>
    <mergeCell ref="L66:M66"/>
    <mergeCell ref="L67:M67"/>
    <mergeCell ref="B68:H68"/>
    <mergeCell ref="L68:M68"/>
    <mergeCell ref="B69:M69"/>
    <mergeCell ref="B61:N63"/>
    <mergeCell ref="B91:N91"/>
    <mergeCell ref="B92:N92"/>
    <mergeCell ref="B71:M71"/>
    <mergeCell ref="B75:H75"/>
    <mergeCell ref="L75:M75"/>
    <mergeCell ref="B76:H76"/>
    <mergeCell ref="L76:M76"/>
    <mergeCell ref="L77:M77"/>
    <mergeCell ref="L78:M78"/>
    <mergeCell ref="B79:M79"/>
    <mergeCell ref="B81:M81"/>
    <mergeCell ref="B72:N74"/>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365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6545" r:id="rId3"/>
      </mc:Fallback>
    </mc:AlternateContent>
  </oleObjects>
  <mc:AlternateContent xmlns:mc="http://schemas.openxmlformats.org/markup-compatibility/2006">
    <mc:Choice Requires="x14">
      <controls>
        <mc:AlternateContent xmlns:mc="http://schemas.openxmlformats.org/markup-compatibility/2006">
          <mc:Choice Requires="x14">
            <control shapeId="2365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65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dimension ref="B1:N105"/>
  <sheetViews>
    <sheetView showGridLines="0" topLeftCell="A21" zoomScale="55" zoomScaleNormal="55"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110</v>
      </c>
      <c r="C34" s="1885" t="s">
        <v>144</v>
      </c>
      <c r="D34" s="1887"/>
      <c r="E34" s="1887"/>
      <c r="F34" s="1887"/>
      <c r="G34" s="1887"/>
      <c r="H34" s="1887"/>
      <c r="I34" s="1887"/>
      <c r="J34" s="1887"/>
      <c r="K34" s="1886"/>
      <c r="L34" s="1885" t="s">
        <v>79</v>
      </c>
      <c r="M34" s="1886"/>
      <c r="N34" s="177">
        <v>475612</v>
      </c>
    </row>
    <row r="35" spans="2:14">
      <c r="B35" s="1763" t="s">
        <v>49</v>
      </c>
      <c r="C35" s="1764"/>
      <c r="D35" s="1764"/>
      <c r="E35" s="1764"/>
      <c r="F35" s="1764"/>
      <c r="G35" s="1764"/>
      <c r="H35" s="1764"/>
      <c r="I35" s="1764"/>
      <c r="J35" s="1764"/>
      <c r="K35" s="1764"/>
      <c r="L35" s="1764"/>
      <c r="M35" s="1764"/>
      <c r="N35" s="1765"/>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77</v>
      </c>
      <c r="C39" s="1840"/>
      <c r="D39" s="1840"/>
      <c r="E39" s="1840"/>
      <c r="F39" s="1841"/>
      <c r="G39" s="1842"/>
      <c r="H39" s="1841"/>
      <c r="I39" s="1842"/>
      <c r="J39" s="1841"/>
      <c r="K39" s="88"/>
      <c r="L39" s="1922"/>
      <c r="M39" s="1923"/>
      <c r="N39" s="89">
        <v>31.378775000000005</v>
      </c>
    </row>
    <row r="40" spans="2:14">
      <c r="B40" s="1839" t="s">
        <v>12</v>
      </c>
      <c r="C40" s="1840"/>
      <c r="D40" s="1840"/>
      <c r="E40" s="1840"/>
      <c r="F40" s="1841"/>
      <c r="G40" s="1842"/>
      <c r="H40" s="1841"/>
      <c r="I40" s="1842"/>
      <c r="J40" s="1841"/>
      <c r="K40" s="132">
        <v>808.5</v>
      </c>
      <c r="L40" s="1924">
        <v>80.5</v>
      </c>
      <c r="M40" s="1925"/>
      <c r="N40" s="89">
        <v>10.043478260869565</v>
      </c>
    </row>
    <row r="41" spans="2:14">
      <c r="B41" s="93"/>
      <c r="C41" s="93"/>
      <c r="D41" s="93"/>
      <c r="E41" s="93"/>
      <c r="F41" s="93"/>
      <c r="G41" s="1842"/>
      <c r="H41" s="1841"/>
      <c r="I41" s="1842"/>
      <c r="J41" s="1841"/>
      <c r="K41" s="132"/>
      <c r="L41" s="1924"/>
      <c r="M41" s="1925"/>
      <c r="N41" s="89"/>
    </row>
    <row r="42" spans="2:14" ht="13.5" thickBot="1">
      <c r="B42" s="1839"/>
      <c r="C42" s="1840"/>
      <c r="D42" s="1840"/>
      <c r="E42" s="1840"/>
      <c r="F42" s="1841"/>
      <c r="G42" s="1842"/>
      <c r="H42" s="1841"/>
      <c r="I42" s="1842"/>
      <c r="J42" s="1841"/>
      <c r="K42" s="132"/>
      <c r="L42" s="1924"/>
      <c r="M42" s="1925"/>
      <c r="N42" s="89"/>
    </row>
    <row r="43" spans="2:14" ht="14.25" thickBot="1">
      <c r="B43" s="1848" t="s">
        <v>188</v>
      </c>
      <c r="C43" s="1849"/>
      <c r="D43" s="1849"/>
      <c r="E43" s="1849"/>
      <c r="F43" s="1849"/>
      <c r="G43" s="1849"/>
      <c r="H43" s="1849"/>
      <c r="I43" s="1849"/>
      <c r="J43" s="1849"/>
      <c r="K43" s="1849"/>
      <c r="L43" s="1849"/>
      <c r="M43" s="1850"/>
      <c r="N43" s="91">
        <v>41.422253260869567</v>
      </c>
    </row>
    <row r="44" spans="2:14">
      <c r="B44" s="1763" t="s">
        <v>189</v>
      </c>
      <c r="C44" s="1764"/>
      <c r="D44" s="1764"/>
      <c r="E44" s="1764"/>
      <c r="F44" s="1764"/>
      <c r="G44" s="1764"/>
      <c r="H44" s="1764"/>
      <c r="I44" s="1764"/>
      <c r="J44" s="1764"/>
      <c r="K44" s="1764"/>
      <c r="L44" s="1764"/>
      <c r="M44" s="1764"/>
      <c r="N44" s="1765"/>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658</v>
      </c>
      <c r="C48" s="1840"/>
      <c r="D48" s="1840"/>
      <c r="E48" s="1840"/>
      <c r="F48" s="1840"/>
      <c r="G48" s="1840"/>
      <c r="H48" s="1840"/>
      <c r="I48" s="1841"/>
      <c r="J48" s="131" t="s">
        <v>33</v>
      </c>
      <c r="K48" s="144">
        <v>1.05</v>
      </c>
      <c r="L48" s="1852">
        <v>2500</v>
      </c>
      <c r="M48" s="1853"/>
      <c r="N48" s="89">
        <v>2625</v>
      </c>
    </row>
    <row r="49" spans="2:14">
      <c r="B49" s="1839" t="s">
        <v>541</v>
      </c>
      <c r="C49" s="1840"/>
      <c r="D49" s="1840"/>
      <c r="E49" s="1840"/>
      <c r="F49" s="1840"/>
      <c r="G49" s="1840"/>
      <c r="H49" s="1840"/>
      <c r="I49" s="1841"/>
      <c r="J49" s="131" t="s">
        <v>33</v>
      </c>
      <c r="K49" s="144">
        <v>0.03</v>
      </c>
      <c r="L49" s="1852">
        <v>3500</v>
      </c>
      <c r="M49" s="1853"/>
      <c r="N49" s="89">
        <v>105</v>
      </c>
    </row>
    <row r="50" spans="2:14">
      <c r="B50" s="1839"/>
      <c r="C50" s="1840"/>
      <c r="D50" s="1840"/>
      <c r="E50" s="1840"/>
      <c r="F50" s="1840"/>
      <c r="G50" s="1840"/>
      <c r="H50" s="1840"/>
      <c r="I50" s="1841"/>
      <c r="J50" s="131"/>
      <c r="K50" s="144"/>
      <c r="L50" s="1852"/>
      <c r="M50" s="1853"/>
      <c r="N50" s="89"/>
    </row>
    <row r="51" spans="2:14" ht="13.5" thickBot="1">
      <c r="B51" s="1839"/>
      <c r="C51" s="1840"/>
      <c r="D51" s="1840"/>
      <c r="E51" s="1840"/>
      <c r="F51" s="1840"/>
      <c r="G51" s="1840"/>
      <c r="H51" s="1840"/>
      <c r="I51" s="1841"/>
      <c r="J51" s="131"/>
      <c r="K51" s="144"/>
      <c r="L51" s="1852"/>
      <c r="M51" s="1853"/>
      <c r="N51" s="89"/>
    </row>
    <row r="52" spans="2:14" ht="14.25" thickBot="1">
      <c r="B52" s="1848" t="s">
        <v>188</v>
      </c>
      <c r="C52" s="1849"/>
      <c r="D52" s="1849"/>
      <c r="E52" s="1849"/>
      <c r="F52" s="1849"/>
      <c r="G52" s="1849"/>
      <c r="H52" s="1849"/>
      <c r="I52" s="1849"/>
      <c r="J52" s="1849"/>
      <c r="K52" s="1849"/>
      <c r="L52" s="1849"/>
      <c r="M52" s="1850"/>
      <c r="N52" s="99">
        <v>2730</v>
      </c>
    </row>
    <row r="53" spans="2:14">
      <c r="B53" s="1763" t="s">
        <v>51</v>
      </c>
      <c r="C53" s="1764"/>
      <c r="D53" s="1764"/>
      <c r="E53" s="1764"/>
      <c r="F53" s="1764"/>
      <c r="G53" s="1764"/>
      <c r="H53" s="1764"/>
      <c r="I53" s="1764"/>
      <c r="J53" s="1764"/>
      <c r="K53" s="1764"/>
      <c r="L53" s="1764"/>
      <c r="M53" s="1764"/>
      <c r="N53" s="1765"/>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81" t="s">
        <v>194</v>
      </c>
      <c r="K56" s="182" t="s">
        <v>310</v>
      </c>
      <c r="L56" s="1829" t="s">
        <v>39</v>
      </c>
      <c r="M56" s="1832"/>
      <c r="N56" s="179" t="s">
        <v>191</v>
      </c>
    </row>
    <row r="57" spans="2:14">
      <c r="B57" s="1839"/>
      <c r="C57" s="1840"/>
      <c r="D57" s="1840"/>
      <c r="E57" s="1840"/>
      <c r="F57" s="1840"/>
      <c r="G57" s="1840"/>
      <c r="H57" s="1840"/>
      <c r="I57" s="96"/>
      <c r="J57" s="133"/>
      <c r="K57" s="134"/>
      <c r="L57" s="1859"/>
      <c r="M57" s="1860"/>
      <c r="N57" s="135"/>
    </row>
    <row r="58" spans="2:14">
      <c r="B58" s="1839"/>
      <c r="C58" s="1840"/>
      <c r="D58" s="1840"/>
      <c r="E58" s="1840"/>
      <c r="F58" s="1840"/>
      <c r="G58" s="1840"/>
      <c r="H58" s="1840"/>
      <c r="I58" s="96"/>
      <c r="J58" s="133"/>
      <c r="K58" s="134"/>
      <c r="L58" s="1859"/>
      <c r="M58" s="1860"/>
      <c r="N58" s="135"/>
    </row>
    <row r="59" spans="2:14" ht="13.5" thickBot="1">
      <c r="B59" s="1834"/>
      <c r="C59" s="1835"/>
      <c r="D59" s="1835"/>
      <c r="E59" s="1835"/>
      <c r="F59" s="1835"/>
      <c r="G59" s="1835"/>
      <c r="H59" s="1835"/>
      <c r="I59" s="136"/>
      <c r="J59" s="137"/>
      <c r="K59" s="100"/>
      <c r="L59" s="1837"/>
      <c r="M59" s="1838"/>
      <c r="N59" s="135"/>
    </row>
    <row r="60" spans="2:14" ht="14.25" thickBot="1">
      <c r="B60" s="1848" t="s">
        <v>188</v>
      </c>
      <c r="C60" s="1849"/>
      <c r="D60" s="1849"/>
      <c r="E60" s="1849"/>
      <c r="F60" s="1849"/>
      <c r="G60" s="1849"/>
      <c r="H60" s="1849"/>
      <c r="I60" s="1849"/>
      <c r="J60" s="1849"/>
      <c r="K60" s="1849"/>
      <c r="L60" s="1849"/>
      <c r="M60" s="1850"/>
      <c r="N60" s="112">
        <v>0</v>
      </c>
    </row>
    <row r="61" spans="2:14">
      <c r="B61" s="1763" t="s">
        <v>52</v>
      </c>
      <c r="C61" s="1764"/>
      <c r="D61" s="1764"/>
      <c r="E61" s="1764"/>
      <c r="F61" s="1764"/>
      <c r="G61" s="1764"/>
      <c r="H61" s="1764"/>
      <c r="I61" s="1764"/>
      <c r="J61" s="1764"/>
      <c r="K61" s="1764"/>
      <c r="L61" s="1764"/>
      <c r="M61" s="1764"/>
      <c r="N61" s="1765"/>
    </row>
    <row r="62" spans="2:14">
      <c r="B62" s="1766"/>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4">
      <c r="B65" s="105" t="s">
        <v>72</v>
      </c>
      <c r="C65" s="106"/>
      <c r="D65" s="106"/>
      <c r="E65" s="106"/>
      <c r="F65" s="106"/>
      <c r="G65" s="106"/>
      <c r="H65" s="106"/>
      <c r="I65" s="107">
        <v>27400</v>
      </c>
      <c r="J65" s="108">
        <v>1.85</v>
      </c>
      <c r="K65" s="109">
        <v>50690</v>
      </c>
      <c r="L65" s="1861">
        <v>200</v>
      </c>
      <c r="M65" s="1862"/>
      <c r="N65" s="110">
        <v>253.45</v>
      </c>
    </row>
    <row r="66" spans="2:14">
      <c r="B66" s="105" t="s">
        <v>273</v>
      </c>
      <c r="C66" s="106"/>
      <c r="D66" s="106"/>
      <c r="E66" s="106"/>
      <c r="F66" s="106"/>
      <c r="G66" s="106"/>
      <c r="H66" s="106"/>
      <c r="I66" s="107">
        <v>40446</v>
      </c>
      <c r="J66" s="108">
        <v>1.85</v>
      </c>
      <c r="K66" s="109">
        <v>74825.100000000006</v>
      </c>
      <c r="L66" s="1861">
        <v>200</v>
      </c>
      <c r="M66" s="1862"/>
      <c r="N66" s="110">
        <v>374.12550000000005</v>
      </c>
    </row>
    <row r="67" spans="2:14">
      <c r="B67" s="105"/>
      <c r="C67" s="106"/>
      <c r="D67" s="106"/>
      <c r="E67" s="106"/>
      <c r="F67" s="106"/>
      <c r="G67" s="106"/>
      <c r="H67" s="106"/>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627.57550000000003</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3398.9977532608696</v>
      </c>
    </row>
    <row r="72" spans="2:14">
      <c r="B72" s="1763" t="s">
        <v>53</v>
      </c>
      <c r="C72" s="1764"/>
      <c r="D72" s="1764"/>
      <c r="E72" s="1764"/>
      <c r="F72" s="1764"/>
      <c r="G72" s="1764"/>
      <c r="H72" s="1764"/>
      <c r="I72" s="1764"/>
      <c r="J72" s="1764"/>
      <c r="K72" s="1764"/>
      <c r="L72" s="1764"/>
      <c r="M72" s="1764"/>
      <c r="N72" s="1765"/>
    </row>
    <row r="73" spans="2:14">
      <c r="B73" s="1766"/>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81"/>
      <c r="J75" s="187"/>
      <c r="K75" s="184" t="s">
        <v>54</v>
      </c>
      <c r="L75" s="1857" t="s">
        <v>55</v>
      </c>
      <c r="M75" s="1858"/>
      <c r="N75" s="185"/>
    </row>
    <row r="76" spans="2:14">
      <c r="B76" s="1839" t="s">
        <v>44</v>
      </c>
      <c r="C76" s="1840"/>
      <c r="D76" s="1840"/>
      <c r="E76" s="1840"/>
      <c r="F76" s="1840"/>
      <c r="G76" s="1840"/>
      <c r="H76" s="1840"/>
      <c r="I76" s="113"/>
      <c r="J76" s="114"/>
      <c r="K76" s="192">
        <v>0.22</v>
      </c>
      <c r="L76" s="1877">
        <v>747.77950571739132</v>
      </c>
      <c r="M76" s="1878"/>
      <c r="N76" s="115"/>
    </row>
    <row r="77" spans="2:14">
      <c r="B77" s="116" t="s">
        <v>56</v>
      </c>
      <c r="C77" s="117"/>
      <c r="D77" s="117"/>
      <c r="E77" s="117"/>
      <c r="F77" s="117"/>
      <c r="G77" s="117"/>
      <c r="H77" s="117"/>
      <c r="I77" s="113"/>
      <c r="J77" s="114"/>
      <c r="K77" s="192">
        <v>0.05</v>
      </c>
      <c r="L77" s="1877">
        <v>169.94988766304348</v>
      </c>
      <c r="M77" s="1878"/>
      <c r="N77" s="115"/>
    </row>
    <row r="78" spans="2:14" ht="13.5" thickBot="1">
      <c r="B78" s="118" t="s">
        <v>45</v>
      </c>
      <c r="C78" s="119"/>
      <c r="D78" s="119"/>
      <c r="E78" s="119"/>
      <c r="F78" s="119"/>
      <c r="G78" s="119"/>
      <c r="H78" s="119"/>
      <c r="I78" s="120"/>
      <c r="J78" s="121"/>
      <c r="K78" s="192">
        <v>0.05</v>
      </c>
      <c r="L78" s="1879">
        <v>169.94988766304348</v>
      </c>
      <c r="M78" s="1880"/>
      <c r="N78" s="115"/>
    </row>
    <row r="79" spans="2:14" ht="14.25" thickBot="1">
      <c r="B79" s="1848" t="s">
        <v>188</v>
      </c>
      <c r="C79" s="1849"/>
      <c r="D79" s="1849"/>
      <c r="E79" s="1849"/>
      <c r="F79" s="1849"/>
      <c r="G79" s="1849"/>
      <c r="H79" s="1849"/>
      <c r="I79" s="1849"/>
      <c r="J79" s="1849"/>
      <c r="K79" s="1849"/>
      <c r="L79" s="1849"/>
      <c r="M79" s="1850"/>
      <c r="N79" s="122">
        <v>1087.6792810434783</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4487</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8">
    <mergeCell ref="J104:N105"/>
    <mergeCell ref="B105:D105"/>
    <mergeCell ref="B61:N63"/>
    <mergeCell ref="B72:N7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B12:E12"/>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M52"/>
    <mergeCell ref="B56:H56"/>
    <mergeCell ref="L56:M56"/>
    <mergeCell ref="B57:H57"/>
    <mergeCell ref="L57:M57"/>
    <mergeCell ref="B53:N55"/>
    <mergeCell ref="B58:H58"/>
    <mergeCell ref="L58:M58"/>
    <mergeCell ref="B59:H59"/>
    <mergeCell ref="L59:M59"/>
    <mergeCell ref="B60:M60"/>
    <mergeCell ref="B64:H64"/>
    <mergeCell ref="L64:M64"/>
    <mergeCell ref="L65:M65"/>
    <mergeCell ref="L66:M66"/>
    <mergeCell ref="L67:M67"/>
    <mergeCell ref="B68:H68"/>
    <mergeCell ref="L68:M68"/>
    <mergeCell ref="B69:M69"/>
    <mergeCell ref="B71:M71"/>
    <mergeCell ref="B75:H75"/>
    <mergeCell ref="L75:M75"/>
    <mergeCell ref="B95:N96"/>
    <mergeCell ref="B97:N98"/>
    <mergeCell ref="B91:N91"/>
    <mergeCell ref="B92:N92"/>
    <mergeCell ref="B76:H76"/>
    <mergeCell ref="L76:M76"/>
    <mergeCell ref="L77:M77"/>
    <mergeCell ref="L78:M78"/>
    <mergeCell ref="B79:M79"/>
    <mergeCell ref="B81:M81"/>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447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4737" r:id="rId3"/>
      </mc:Fallback>
    </mc:AlternateContent>
  </oleObjects>
  <mc:AlternateContent xmlns:mc="http://schemas.openxmlformats.org/markup-compatibility/2006">
    <mc:Choice Requires="x14">
      <controls>
        <mc:AlternateContent xmlns:mc="http://schemas.openxmlformats.org/markup-compatibility/2006">
          <mc:Choice Requires="x14">
            <control shapeId="24474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474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dimension ref="B1:N109"/>
  <sheetViews>
    <sheetView showGridLines="0" topLeftCell="A43"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7109375" style="39" customWidth="1"/>
    <col min="12" max="13" width="11.42578125" style="39"/>
    <col min="14" max="14" width="13.5703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ht="12" customHeight="1">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94</v>
      </c>
      <c r="C34" s="1885" t="s">
        <v>696</v>
      </c>
      <c r="D34" s="1887"/>
      <c r="E34" s="1887"/>
      <c r="F34" s="1887"/>
      <c r="G34" s="1887"/>
      <c r="H34" s="1887"/>
      <c r="I34" s="1887"/>
      <c r="J34" s="1887"/>
      <c r="K34" s="1886"/>
      <c r="L34" s="1885" t="s">
        <v>81</v>
      </c>
      <c r="M34" s="1886"/>
      <c r="N34" s="177">
        <v>1702</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14</v>
      </c>
      <c r="C39" s="1840"/>
      <c r="D39" s="1840"/>
      <c r="E39" s="1840"/>
      <c r="F39" s="1841"/>
      <c r="G39" s="1842"/>
      <c r="H39" s="1841"/>
      <c r="I39" s="1842"/>
      <c r="J39" s="1841"/>
      <c r="K39" s="88">
        <v>4200</v>
      </c>
      <c r="L39" s="1922">
        <v>0.9</v>
      </c>
      <c r="M39" s="1923"/>
      <c r="N39" s="89">
        <v>4666.666666666667</v>
      </c>
    </row>
    <row r="40" spans="2:14">
      <c r="B40" s="1839" t="s">
        <v>155</v>
      </c>
      <c r="C40" s="1840"/>
      <c r="D40" s="1840"/>
      <c r="E40" s="1840"/>
      <c r="F40" s="1841"/>
      <c r="G40" s="1842"/>
      <c r="H40" s="1841"/>
      <c r="I40" s="1842"/>
      <c r="J40" s="1841"/>
      <c r="K40" s="88">
        <v>8400</v>
      </c>
      <c r="L40" s="1924">
        <v>0.9</v>
      </c>
      <c r="M40" s="1925"/>
      <c r="N40" s="89">
        <v>9333.3333333333339</v>
      </c>
    </row>
    <row r="41" spans="2:14">
      <c r="B41" s="1839"/>
      <c r="C41" s="1840"/>
      <c r="D41" s="1840"/>
      <c r="E41" s="1840"/>
      <c r="F41" s="1841"/>
      <c r="G41" s="1842"/>
      <c r="H41" s="1841"/>
      <c r="I41" s="1842"/>
      <c r="J41" s="1841"/>
      <c r="K41" s="88"/>
      <c r="L41" s="1924"/>
      <c r="M41" s="1925"/>
      <c r="N41" s="89"/>
    </row>
    <row r="42" spans="2:14">
      <c r="B42" s="1839"/>
      <c r="C42" s="1840"/>
      <c r="D42" s="1840"/>
      <c r="E42" s="1840"/>
      <c r="F42" s="1841"/>
      <c r="G42" s="1842"/>
      <c r="H42" s="1841"/>
      <c r="I42" s="1842"/>
      <c r="J42" s="1841"/>
      <c r="K42" s="88"/>
      <c r="L42" s="1924"/>
      <c r="M42" s="1925"/>
      <c r="N42" s="89"/>
    </row>
    <row r="43" spans="2:14">
      <c r="B43" s="1839"/>
      <c r="C43" s="1840"/>
      <c r="D43" s="1840"/>
      <c r="E43" s="1840"/>
      <c r="F43" s="1841"/>
      <c r="G43" s="1842"/>
      <c r="H43" s="1841"/>
      <c r="I43" s="1842"/>
      <c r="J43" s="1841"/>
      <c r="K43" s="88"/>
      <c r="L43" s="1924"/>
      <c r="M43" s="1925"/>
      <c r="N43" s="89"/>
    </row>
    <row r="44" spans="2:14">
      <c r="B44" s="1839"/>
      <c r="C44" s="1840"/>
      <c r="D44" s="1840"/>
      <c r="E44" s="1840"/>
      <c r="F44" s="1841"/>
      <c r="G44" s="1842"/>
      <c r="H44" s="1841"/>
      <c r="I44" s="1842"/>
      <c r="J44" s="1841"/>
      <c r="K44" s="88"/>
      <c r="L44" s="1922"/>
      <c r="M44" s="1923"/>
      <c r="N44" s="89"/>
    </row>
    <row r="45" spans="2:14" ht="13.5" thickBot="1">
      <c r="B45" s="1834"/>
      <c r="C45" s="1835"/>
      <c r="D45" s="1835"/>
      <c r="E45" s="1835"/>
      <c r="F45" s="1836"/>
      <c r="G45" s="1845"/>
      <c r="H45" s="1836"/>
      <c r="I45" s="1845"/>
      <c r="J45" s="1836"/>
      <c r="K45" s="88"/>
      <c r="L45" s="1929"/>
      <c r="M45" s="1930"/>
      <c r="N45" s="89"/>
    </row>
    <row r="46" spans="2:14" ht="14.25" thickBot="1">
      <c r="B46" s="1848" t="s">
        <v>188</v>
      </c>
      <c r="C46" s="1849"/>
      <c r="D46" s="1849"/>
      <c r="E46" s="1849"/>
      <c r="F46" s="1849"/>
      <c r="G46" s="1849"/>
      <c r="H46" s="1849"/>
      <c r="I46" s="1849"/>
      <c r="J46" s="1849"/>
      <c r="K46" s="1849"/>
      <c r="L46" s="1849"/>
      <c r="M46" s="1850"/>
      <c r="N46" s="91">
        <v>14000</v>
      </c>
    </row>
    <row r="47" spans="2:14">
      <c r="B47" s="1766" t="s">
        <v>189</v>
      </c>
      <c r="C47" s="1767"/>
      <c r="D47" s="1767"/>
      <c r="E47" s="1767"/>
      <c r="F47" s="1767"/>
      <c r="G47" s="1767"/>
      <c r="H47" s="1767"/>
      <c r="I47" s="1767"/>
      <c r="J47" s="1767"/>
      <c r="K47" s="1767"/>
      <c r="L47" s="1767"/>
      <c r="M47" s="1767"/>
      <c r="N47" s="1768"/>
    </row>
    <row r="48" spans="2:14">
      <c r="B48" s="1766"/>
      <c r="C48" s="1767"/>
      <c r="D48" s="1767"/>
      <c r="E48" s="1767"/>
      <c r="F48" s="1767"/>
      <c r="G48" s="1767"/>
      <c r="H48" s="1767"/>
      <c r="I48" s="1767"/>
      <c r="J48" s="1767"/>
      <c r="K48" s="1767"/>
      <c r="L48" s="1767"/>
      <c r="M48" s="1767"/>
      <c r="N48" s="1768"/>
    </row>
    <row r="49" spans="2:14" ht="13.5" thickBot="1">
      <c r="B49" s="1769"/>
      <c r="C49" s="1770"/>
      <c r="D49" s="1770"/>
      <c r="E49" s="1770"/>
      <c r="F49" s="1770"/>
      <c r="G49" s="1770"/>
      <c r="H49" s="1770"/>
      <c r="I49" s="1770"/>
      <c r="J49" s="1770"/>
      <c r="K49" s="1770"/>
      <c r="L49" s="1770"/>
      <c r="M49" s="1770"/>
      <c r="N49" s="1771"/>
    </row>
    <row r="50" spans="2:14" ht="13.5">
      <c r="B50" s="1826" t="s">
        <v>173</v>
      </c>
      <c r="C50" s="1851"/>
      <c r="D50" s="1851"/>
      <c r="E50" s="1851"/>
      <c r="F50" s="1851"/>
      <c r="G50" s="1851"/>
      <c r="H50" s="1851"/>
      <c r="I50" s="1832"/>
      <c r="J50" s="180" t="s">
        <v>38</v>
      </c>
      <c r="K50" s="178" t="s">
        <v>115</v>
      </c>
      <c r="L50" s="1829" t="s">
        <v>190</v>
      </c>
      <c r="M50" s="1832"/>
      <c r="N50" s="179" t="s">
        <v>191</v>
      </c>
    </row>
    <row r="51" spans="2:14">
      <c r="B51" s="1926" t="s">
        <v>274</v>
      </c>
      <c r="C51" s="1927"/>
      <c r="D51" s="1927"/>
      <c r="E51" s="1927"/>
      <c r="F51" s="1927"/>
      <c r="G51" s="1927"/>
      <c r="H51" s="1927"/>
      <c r="I51" s="1928"/>
      <c r="J51" s="131" t="s">
        <v>40</v>
      </c>
      <c r="K51" s="144">
        <v>0.02</v>
      </c>
      <c r="L51" s="1852">
        <v>383200</v>
      </c>
      <c r="M51" s="1853"/>
      <c r="N51" s="89">
        <v>7664</v>
      </c>
    </row>
    <row r="52" spans="2:14">
      <c r="B52" s="1926" t="s">
        <v>697</v>
      </c>
      <c r="C52" s="1927"/>
      <c r="D52" s="1927"/>
      <c r="E52" s="1927"/>
      <c r="F52" s="1927"/>
      <c r="G52" s="1927"/>
      <c r="H52" s="1927"/>
      <c r="I52" s="1928"/>
      <c r="J52" s="131" t="s">
        <v>31</v>
      </c>
      <c r="K52" s="144">
        <v>1</v>
      </c>
      <c r="L52" s="1852">
        <v>420000</v>
      </c>
      <c r="M52" s="1853"/>
      <c r="N52" s="89">
        <v>420000</v>
      </c>
    </row>
    <row r="53" spans="2:14">
      <c r="B53" s="1926"/>
      <c r="C53" s="1927"/>
      <c r="D53" s="1927"/>
      <c r="E53" s="1927"/>
      <c r="F53" s="1927"/>
      <c r="G53" s="1927"/>
      <c r="H53" s="1927"/>
      <c r="I53" s="1928"/>
      <c r="J53" s="131"/>
      <c r="K53" s="132"/>
      <c r="L53" s="1852"/>
      <c r="M53" s="1853"/>
      <c r="N53" s="89"/>
    </row>
    <row r="54" spans="2:14">
      <c r="B54" s="1926"/>
      <c r="C54" s="1927"/>
      <c r="D54" s="1927"/>
      <c r="E54" s="1927"/>
      <c r="F54" s="1927"/>
      <c r="G54" s="1927"/>
      <c r="H54" s="1927"/>
      <c r="I54" s="1928"/>
      <c r="J54" s="131"/>
      <c r="K54" s="132"/>
      <c r="L54" s="1852"/>
      <c r="M54" s="1853"/>
      <c r="N54" s="89"/>
    </row>
    <row r="55" spans="2:14" ht="13.5" thickBot="1">
      <c r="B55" s="1926"/>
      <c r="C55" s="1927"/>
      <c r="D55" s="1927"/>
      <c r="E55" s="1927"/>
      <c r="F55" s="1927"/>
      <c r="G55" s="1927"/>
      <c r="H55" s="1927"/>
      <c r="I55" s="1928"/>
      <c r="J55" s="131"/>
      <c r="K55" s="132"/>
      <c r="L55" s="1852"/>
      <c r="M55" s="1853"/>
      <c r="N55" s="89"/>
    </row>
    <row r="56" spans="2:14" ht="14.25" thickBot="1">
      <c r="B56" s="1848" t="s">
        <v>188</v>
      </c>
      <c r="C56" s="1849"/>
      <c r="D56" s="1849"/>
      <c r="E56" s="1849"/>
      <c r="F56" s="1849"/>
      <c r="G56" s="1849"/>
      <c r="H56" s="1849"/>
      <c r="I56" s="1849"/>
      <c r="J56" s="1849"/>
      <c r="K56" s="1849"/>
      <c r="L56" s="1849"/>
      <c r="M56" s="1850"/>
      <c r="N56" s="99">
        <v>427664</v>
      </c>
    </row>
    <row r="57" spans="2:14">
      <c r="B57" s="1766" t="s">
        <v>51</v>
      </c>
      <c r="C57" s="1767"/>
      <c r="D57" s="1767"/>
      <c r="E57" s="1767"/>
      <c r="F57" s="1767"/>
      <c r="G57" s="1767"/>
      <c r="H57" s="1767"/>
      <c r="I57" s="1767"/>
      <c r="J57" s="1767"/>
      <c r="K57" s="1767"/>
      <c r="L57" s="1767"/>
      <c r="M57" s="1767"/>
      <c r="N57" s="1768"/>
    </row>
    <row r="58" spans="2:14">
      <c r="B58" s="1766"/>
      <c r="C58" s="1767"/>
      <c r="D58" s="1767"/>
      <c r="E58" s="1767"/>
      <c r="F58" s="1767"/>
      <c r="G58" s="1767"/>
      <c r="H58" s="1767"/>
      <c r="I58" s="1767"/>
      <c r="J58" s="1767"/>
      <c r="K58" s="1767"/>
      <c r="L58" s="1767"/>
      <c r="M58" s="1767"/>
      <c r="N58" s="1768"/>
    </row>
    <row r="59" spans="2:14" ht="13.5" thickBot="1">
      <c r="B59" s="1769"/>
      <c r="C59" s="1770"/>
      <c r="D59" s="1770"/>
      <c r="E59" s="1770"/>
      <c r="F59" s="1770"/>
      <c r="G59" s="1770"/>
      <c r="H59" s="1770"/>
      <c r="I59" s="1770"/>
      <c r="J59" s="1770"/>
      <c r="K59" s="1770"/>
      <c r="L59" s="1770"/>
      <c r="M59" s="1770"/>
      <c r="N59" s="1771"/>
    </row>
    <row r="60" spans="2:14" ht="13.5">
      <c r="B60" s="1826" t="s">
        <v>192</v>
      </c>
      <c r="C60" s="1851"/>
      <c r="D60" s="1851"/>
      <c r="E60" s="1851"/>
      <c r="F60" s="1851"/>
      <c r="G60" s="1851"/>
      <c r="H60" s="1851"/>
      <c r="I60" s="178" t="s">
        <v>193</v>
      </c>
      <c r="J60" s="181" t="s">
        <v>194</v>
      </c>
      <c r="K60" s="182" t="s">
        <v>310</v>
      </c>
      <c r="L60" s="1829" t="s">
        <v>39</v>
      </c>
      <c r="M60" s="1832"/>
      <c r="N60" s="179" t="s">
        <v>191</v>
      </c>
    </row>
    <row r="61" spans="2:14">
      <c r="B61" s="1839"/>
      <c r="C61" s="1840"/>
      <c r="D61" s="1840"/>
      <c r="E61" s="1840"/>
      <c r="F61" s="1840"/>
      <c r="G61" s="1840"/>
      <c r="H61" s="1840"/>
      <c r="I61" s="96"/>
      <c r="J61" s="133"/>
      <c r="K61" s="134"/>
      <c r="L61" s="1859"/>
      <c r="M61" s="1860"/>
      <c r="N61" s="135"/>
    </row>
    <row r="62" spans="2:14">
      <c r="B62" s="1839"/>
      <c r="C62" s="1840"/>
      <c r="D62" s="1840"/>
      <c r="E62" s="1840"/>
      <c r="F62" s="1840"/>
      <c r="G62" s="1840"/>
      <c r="H62" s="1840"/>
      <c r="I62" s="96"/>
      <c r="J62" s="133"/>
      <c r="K62" s="134"/>
      <c r="L62" s="1859"/>
      <c r="M62" s="1860"/>
      <c r="N62" s="135"/>
    </row>
    <row r="63" spans="2:14" ht="13.5" thickBot="1">
      <c r="B63" s="1834"/>
      <c r="C63" s="1835"/>
      <c r="D63" s="1835"/>
      <c r="E63" s="1835"/>
      <c r="F63" s="1835"/>
      <c r="G63" s="1835"/>
      <c r="H63" s="1835"/>
      <c r="I63" s="136"/>
      <c r="J63" s="137"/>
      <c r="K63" s="100"/>
      <c r="L63" s="1837"/>
      <c r="M63" s="1838"/>
      <c r="N63" s="135"/>
    </row>
    <row r="64" spans="2:14" ht="14.25" thickBot="1">
      <c r="B64" s="1848" t="s">
        <v>188</v>
      </c>
      <c r="C64" s="1849"/>
      <c r="D64" s="1849"/>
      <c r="E64" s="1849"/>
      <c r="F64" s="1849"/>
      <c r="G64" s="1849"/>
      <c r="H64" s="1849"/>
      <c r="I64" s="1849"/>
      <c r="J64" s="1849"/>
      <c r="K64" s="1849"/>
      <c r="L64" s="1849"/>
      <c r="M64" s="1850"/>
      <c r="N64" s="112">
        <v>0</v>
      </c>
    </row>
    <row r="65" spans="2:14">
      <c r="B65" s="1766" t="s">
        <v>52</v>
      </c>
      <c r="C65" s="1767"/>
      <c r="D65" s="1767"/>
      <c r="E65" s="1767"/>
      <c r="F65" s="1767"/>
      <c r="G65" s="1767"/>
      <c r="H65" s="1767"/>
      <c r="I65" s="1767"/>
      <c r="J65" s="1767"/>
      <c r="K65" s="1767"/>
      <c r="L65" s="1767"/>
      <c r="M65" s="1767"/>
      <c r="N65" s="1768"/>
    </row>
    <row r="66" spans="2:14">
      <c r="B66" s="1766"/>
      <c r="C66" s="1767"/>
      <c r="D66" s="1767"/>
      <c r="E66" s="1767"/>
      <c r="F66" s="1767"/>
      <c r="G66" s="1767"/>
      <c r="H66" s="1767"/>
      <c r="I66" s="1767"/>
      <c r="J66" s="1767"/>
      <c r="K66" s="1767"/>
      <c r="L66" s="1767"/>
      <c r="M66" s="1767"/>
      <c r="N66" s="1768"/>
    </row>
    <row r="67" spans="2:14" ht="13.5" thickBot="1">
      <c r="B67" s="1769"/>
      <c r="C67" s="1770"/>
      <c r="D67" s="1770"/>
      <c r="E67" s="1770"/>
      <c r="F67" s="1770"/>
      <c r="G67" s="1770"/>
      <c r="H67" s="1770"/>
      <c r="I67" s="1770"/>
      <c r="J67" s="1770"/>
      <c r="K67" s="1770"/>
      <c r="L67" s="1770"/>
      <c r="M67" s="1770"/>
      <c r="N67" s="1771"/>
    </row>
    <row r="68" spans="2:14" ht="13.5">
      <c r="B68" s="1826" t="s">
        <v>195</v>
      </c>
      <c r="C68" s="1851"/>
      <c r="D68" s="1851"/>
      <c r="E68" s="1851"/>
      <c r="F68" s="1851"/>
      <c r="G68" s="1851"/>
      <c r="H68" s="1851"/>
      <c r="I68" s="178" t="s">
        <v>196</v>
      </c>
      <c r="J68" s="181" t="s">
        <v>46</v>
      </c>
      <c r="K68" s="182" t="s">
        <v>197</v>
      </c>
      <c r="L68" s="1829" t="s">
        <v>186</v>
      </c>
      <c r="M68" s="1832"/>
      <c r="N68" s="179" t="s">
        <v>191</v>
      </c>
    </row>
    <row r="69" spans="2:14">
      <c r="B69" s="149" t="s">
        <v>63</v>
      </c>
      <c r="C69" s="150"/>
      <c r="D69" s="150"/>
      <c r="E69" s="150"/>
      <c r="F69" s="150"/>
      <c r="G69" s="150"/>
      <c r="H69" s="150"/>
      <c r="I69" s="107">
        <v>109600</v>
      </c>
      <c r="J69" s="108">
        <v>1.85</v>
      </c>
      <c r="K69" s="109">
        <v>202760</v>
      </c>
      <c r="L69" s="1861">
        <v>16</v>
      </c>
      <c r="M69" s="1862"/>
      <c r="N69" s="110">
        <v>12672.5</v>
      </c>
    </row>
    <row r="70" spans="2:14">
      <c r="B70" s="149" t="s">
        <v>273</v>
      </c>
      <c r="C70" s="150"/>
      <c r="D70" s="150"/>
      <c r="E70" s="150"/>
      <c r="F70" s="150"/>
      <c r="G70" s="150"/>
      <c r="H70" s="150"/>
      <c r="I70" s="107">
        <v>40446</v>
      </c>
      <c r="J70" s="108">
        <v>1.85</v>
      </c>
      <c r="K70" s="109">
        <v>74825.100000000006</v>
      </c>
      <c r="L70" s="1861">
        <v>16</v>
      </c>
      <c r="M70" s="1862"/>
      <c r="N70" s="110">
        <v>4676.5687500000004</v>
      </c>
    </row>
    <row r="71" spans="2:14">
      <c r="B71" s="149"/>
      <c r="C71" s="150"/>
      <c r="D71" s="150"/>
      <c r="E71" s="150"/>
      <c r="F71" s="150"/>
      <c r="G71" s="150"/>
      <c r="H71" s="150"/>
      <c r="I71" s="107"/>
      <c r="J71" s="108"/>
      <c r="K71" s="109"/>
      <c r="L71" s="1859"/>
      <c r="M71" s="1860"/>
      <c r="N71" s="110"/>
    </row>
    <row r="72" spans="2:14" ht="13.5" thickBot="1">
      <c r="B72" s="1834"/>
      <c r="C72" s="1835"/>
      <c r="D72" s="1835"/>
      <c r="E72" s="1835"/>
      <c r="F72" s="1835"/>
      <c r="G72" s="1835"/>
      <c r="H72" s="1835"/>
      <c r="I72" s="102"/>
      <c r="J72" s="87"/>
      <c r="K72" s="102"/>
      <c r="L72" s="1837"/>
      <c r="M72" s="1838"/>
      <c r="N72" s="111"/>
    </row>
    <row r="73" spans="2:14" ht="14.25" thickBot="1">
      <c r="B73" s="1848" t="s">
        <v>188</v>
      </c>
      <c r="C73" s="1849"/>
      <c r="D73" s="1849"/>
      <c r="E73" s="1849"/>
      <c r="F73" s="1849"/>
      <c r="G73" s="1849"/>
      <c r="H73" s="1849"/>
      <c r="I73" s="1849"/>
      <c r="J73" s="1849"/>
      <c r="K73" s="1849"/>
      <c r="L73" s="1849"/>
      <c r="M73" s="1850"/>
      <c r="N73" s="112">
        <v>17349.068749999999</v>
      </c>
    </row>
    <row r="74" spans="2:14" ht="13.5" thickBot="1">
      <c r="B74" s="85"/>
      <c r="C74" s="66"/>
      <c r="D74" s="66"/>
      <c r="E74" s="66"/>
      <c r="F74" s="66"/>
      <c r="G74" s="66"/>
      <c r="H74" s="66"/>
      <c r="I74" s="66"/>
      <c r="J74" s="66"/>
      <c r="K74" s="66"/>
      <c r="L74" s="66"/>
      <c r="M74" s="66"/>
      <c r="N74" s="73"/>
    </row>
    <row r="75" spans="2:14" ht="13.5" thickBot="1">
      <c r="B75" s="1854" t="s">
        <v>198</v>
      </c>
      <c r="C75" s="1855"/>
      <c r="D75" s="1855"/>
      <c r="E75" s="1855"/>
      <c r="F75" s="1855"/>
      <c r="G75" s="1855"/>
      <c r="H75" s="1855"/>
      <c r="I75" s="1855"/>
      <c r="J75" s="1855"/>
      <c r="K75" s="1855"/>
      <c r="L75" s="1855"/>
      <c r="M75" s="1856"/>
      <c r="N75" s="186">
        <v>459013.06874999998</v>
      </c>
    </row>
    <row r="76" spans="2:14">
      <c r="B76" s="1766" t="s">
        <v>53</v>
      </c>
      <c r="C76" s="1767"/>
      <c r="D76" s="1767"/>
      <c r="E76" s="1767"/>
      <c r="F76" s="1767"/>
      <c r="G76" s="1767"/>
      <c r="H76" s="1767"/>
      <c r="I76" s="1767"/>
      <c r="J76" s="1767"/>
      <c r="K76" s="1767"/>
      <c r="L76" s="1767"/>
      <c r="M76" s="1767"/>
      <c r="N76" s="1768"/>
    </row>
    <row r="77" spans="2:14">
      <c r="B77" s="1766"/>
      <c r="C77" s="1767"/>
      <c r="D77" s="1767"/>
      <c r="E77" s="1767"/>
      <c r="F77" s="1767"/>
      <c r="G77" s="1767"/>
      <c r="H77" s="1767"/>
      <c r="I77" s="1767"/>
      <c r="J77" s="1767"/>
      <c r="K77" s="1767"/>
      <c r="L77" s="1767"/>
      <c r="M77" s="1767"/>
      <c r="N77" s="1768"/>
    </row>
    <row r="78" spans="2:14" ht="13.5" thickBot="1">
      <c r="B78" s="1769"/>
      <c r="C78" s="1770"/>
      <c r="D78" s="1770"/>
      <c r="E78" s="1770"/>
      <c r="F78" s="1770"/>
      <c r="G78" s="1770"/>
      <c r="H78" s="1770"/>
      <c r="I78" s="1770"/>
      <c r="J78" s="1770"/>
      <c r="K78" s="1770"/>
      <c r="L78" s="1770"/>
      <c r="M78" s="1770"/>
      <c r="N78" s="1771"/>
    </row>
    <row r="79" spans="2:14" ht="13.5">
      <c r="B79" s="1826" t="s">
        <v>50</v>
      </c>
      <c r="C79" s="1851"/>
      <c r="D79" s="1851"/>
      <c r="E79" s="1851"/>
      <c r="F79" s="1851"/>
      <c r="G79" s="1851"/>
      <c r="H79" s="1851"/>
      <c r="I79" s="181"/>
      <c r="J79" s="187"/>
      <c r="K79" s="184" t="s">
        <v>54</v>
      </c>
      <c r="L79" s="1857" t="s">
        <v>55</v>
      </c>
      <c r="M79" s="1858"/>
      <c r="N79" s="185"/>
    </row>
    <row r="80" spans="2:14">
      <c r="B80" s="1839" t="s">
        <v>44</v>
      </c>
      <c r="C80" s="1840"/>
      <c r="D80" s="1840"/>
      <c r="E80" s="1840"/>
      <c r="F80" s="1840"/>
      <c r="G80" s="1840"/>
      <c r="H80" s="1840"/>
      <c r="I80" s="113"/>
      <c r="J80" s="114"/>
      <c r="K80" s="192">
        <v>0.22</v>
      </c>
      <c r="L80" s="1877">
        <v>100982.87512499999</v>
      </c>
      <c r="M80" s="1878"/>
      <c r="N80" s="115"/>
    </row>
    <row r="81" spans="2:14">
      <c r="B81" s="116" t="s">
        <v>56</v>
      </c>
      <c r="C81" s="117"/>
      <c r="D81" s="117"/>
      <c r="E81" s="117"/>
      <c r="F81" s="117"/>
      <c r="G81" s="117"/>
      <c r="H81" s="117"/>
      <c r="I81" s="113"/>
      <c r="J81" s="114"/>
      <c r="K81" s="192">
        <v>0.05</v>
      </c>
      <c r="L81" s="1877">
        <v>22950.653437500001</v>
      </c>
      <c r="M81" s="1878"/>
      <c r="N81" s="115"/>
    </row>
    <row r="82" spans="2:14" ht="13.5" thickBot="1">
      <c r="B82" s="118" t="s">
        <v>45</v>
      </c>
      <c r="C82" s="119"/>
      <c r="D82" s="119"/>
      <c r="E82" s="119"/>
      <c r="F82" s="119"/>
      <c r="G82" s="119"/>
      <c r="H82" s="119"/>
      <c r="I82" s="120"/>
      <c r="J82" s="121"/>
      <c r="K82" s="192">
        <v>0.05</v>
      </c>
      <c r="L82" s="1879">
        <v>22950.653437500001</v>
      </c>
      <c r="M82" s="1880"/>
      <c r="N82" s="115"/>
    </row>
    <row r="83" spans="2:14" ht="14.25" thickBot="1">
      <c r="B83" s="1848" t="s">
        <v>188</v>
      </c>
      <c r="C83" s="1849"/>
      <c r="D83" s="1849"/>
      <c r="E83" s="1849"/>
      <c r="F83" s="1849"/>
      <c r="G83" s="1849"/>
      <c r="H83" s="1849"/>
      <c r="I83" s="1849"/>
      <c r="J83" s="1849"/>
      <c r="K83" s="1849"/>
      <c r="L83" s="1849"/>
      <c r="M83" s="1850"/>
      <c r="N83" s="122">
        <v>146884.182</v>
      </c>
    </row>
    <row r="84" spans="2:14" ht="13.5" thickBot="1">
      <c r="B84" s="85"/>
      <c r="C84" s="66"/>
      <c r="D84" s="66"/>
      <c r="E84" s="66"/>
      <c r="F84" s="66"/>
      <c r="G84" s="66"/>
      <c r="H84" s="66"/>
      <c r="I84" s="66"/>
      <c r="J84" s="66"/>
      <c r="K84" s="66"/>
      <c r="L84" s="66"/>
      <c r="M84" s="66"/>
      <c r="N84" s="73"/>
    </row>
    <row r="85" spans="2:14" ht="13.5" thickBot="1">
      <c r="B85" s="1854" t="s">
        <v>199</v>
      </c>
      <c r="C85" s="1855"/>
      <c r="D85" s="1855"/>
      <c r="E85" s="1855"/>
      <c r="F85" s="1855"/>
      <c r="G85" s="1855"/>
      <c r="H85" s="1855"/>
      <c r="I85" s="1855"/>
      <c r="J85" s="1855"/>
      <c r="K85" s="1855"/>
      <c r="L85" s="1855"/>
      <c r="M85" s="1856"/>
      <c r="N85" s="188">
        <v>605897</v>
      </c>
    </row>
    <row r="86" spans="2:14">
      <c r="B86" s="64"/>
      <c r="C86" s="65"/>
      <c r="D86" s="65"/>
      <c r="E86" s="65"/>
      <c r="F86" s="65"/>
      <c r="G86" s="65"/>
      <c r="H86" s="65"/>
      <c r="I86" s="65"/>
      <c r="J86" s="65"/>
      <c r="K86" s="65"/>
      <c r="L86" s="65"/>
      <c r="M86" s="65"/>
      <c r="N86" s="67"/>
    </row>
    <row r="87" spans="2:14">
      <c r="B87" s="85"/>
      <c r="C87" s="66"/>
      <c r="D87" s="66"/>
      <c r="E87" s="66"/>
      <c r="F87" s="66"/>
      <c r="G87" s="66"/>
      <c r="H87" s="66"/>
      <c r="I87" s="66"/>
      <c r="J87" s="66"/>
      <c r="K87" s="66"/>
      <c r="L87" s="66"/>
      <c r="M87" s="66"/>
      <c r="N87" s="73"/>
    </row>
    <row r="88" spans="2:14">
      <c r="B88" s="85"/>
      <c r="C88" s="66"/>
      <c r="D88" s="66"/>
      <c r="E88" s="66"/>
      <c r="F88" s="66"/>
      <c r="G88" s="66"/>
      <c r="H88" s="66"/>
      <c r="I88" s="66"/>
      <c r="J88" s="66"/>
      <c r="K88" s="66"/>
      <c r="L88" s="66"/>
      <c r="M88" s="66"/>
      <c r="N88" s="73"/>
    </row>
    <row r="89" spans="2:14">
      <c r="B89" s="85"/>
      <c r="C89" s="66"/>
      <c r="D89" s="66"/>
      <c r="E89" s="66"/>
      <c r="F89" s="66"/>
      <c r="G89" s="71" t="s">
        <v>249</v>
      </c>
      <c r="H89" s="71"/>
      <c r="I89" s="71"/>
      <c r="J89" s="71"/>
      <c r="K89" s="66"/>
      <c r="L89" s="66"/>
      <c r="M89" s="66"/>
      <c r="N89" s="73"/>
    </row>
    <row r="90" spans="2:14" ht="13.5">
      <c r="B90" s="123"/>
      <c r="C90" s="124"/>
      <c r="D90" s="124"/>
      <c r="E90" s="124"/>
      <c r="F90" s="124"/>
      <c r="G90" s="71" t="s">
        <v>250</v>
      </c>
      <c r="H90" s="124"/>
      <c r="I90" s="124"/>
      <c r="J90" s="124"/>
      <c r="K90" s="124"/>
      <c r="L90" s="124"/>
      <c r="M90" s="124"/>
      <c r="N90" s="125"/>
    </row>
    <row r="91" spans="2:14" ht="13.5">
      <c r="B91" s="123"/>
      <c r="C91" s="124"/>
      <c r="D91" s="124"/>
      <c r="E91" s="124"/>
      <c r="F91" s="124"/>
      <c r="G91" s="71" t="s">
        <v>251</v>
      </c>
      <c r="J91" s="124"/>
      <c r="K91" s="124"/>
      <c r="L91" s="124"/>
      <c r="M91" s="124"/>
      <c r="N91" s="125"/>
    </row>
    <row r="92" spans="2:14">
      <c r="B92" s="49"/>
      <c r="C92" s="81"/>
      <c r="D92" s="81"/>
      <c r="E92" s="81"/>
      <c r="F92" s="81"/>
      <c r="G92" s="71" t="s">
        <v>252</v>
      </c>
      <c r="H92" s="81"/>
      <c r="I92" s="81"/>
      <c r="J92" s="81"/>
      <c r="K92" s="81"/>
      <c r="L92" s="81"/>
      <c r="M92" s="81"/>
      <c r="N92" s="79"/>
    </row>
    <row r="93" spans="2:14">
      <c r="B93" s="85"/>
      <c r="C93" s="66"/>
      <c r="D93" s="66"/>
      <c r="E93" s="66"/>
      <c r="F93" s="66"/>
      <c r="G93" s="66" t="s">
        <v>253</v>
      </c>
      <c r="H93" s="66"/>
      <c r="I93" s="66"/>
      <c r="J93" s="66"/>
      <c r="K93" s="66"/>
      <c r="L93" s="66"/>
      <c r="M93" s="66"/>
      <c r="N93" s="73"/>
    </row>
    <row r="94" spans="2:14" ht="13.5">
      <c r="B94" s="92" t="s">
        <v>254</v>
      </c>
      <c r="C94" s="93"/>
      <c r="D94" s="93"/>
      <c r="E94" s="93"/>
      <c r="F94" s="93"/>
      <c r="G94" s="93"/>
      <c r="H94" s="93"/>
      <c r="I94" s="93"/>
      <c r="J94" s="93"/>
      <c r="K94" s="93"/>
      <c r="L94" s="93"/>
      <c r="M94" s="93"/>
      <c r="N94" s="94"/>
    </row>
    <row r="95" spans="2:14">
      <c r="B95" s="1874"/>
      <c r="C95" s="1875"/>
      <c r="D95" s="1875"/>
      <c r="E95" s="1875"/>
      <c r="F95" s="1875"/>
      <c r="G95" s="1875"/>
      <c r="H95" s="1875"/>
      <c r="I95" s="1875"/>
      <c r="J95" s="1875"/>
      <c r="K95" s="1875"/>
      <c r="L95" s="1875"/>
      <c r="M95" s="1875"/>
      <c r="N95" s="1876"/>
    </row>
    <row r="96" spans="2:14">
      <c r="B96" s="1874"/>
      <c r="C96" s="1875"/>
      <c r="D96" s="1875"/>
      <c r="E96" s="1875"/>
      <c r="F96" s="1875"/>
      <c r="G96" s="1875"/>
      <c r="H96" s="1875"/>
      <c r="I96" s="1875"/>
      <c r="J96" s="1875"/>
      <c r="K96" s="1875"/>
      <c r="L96" s="1875"/>
      <c r="M96" s="1875"/>
      <c r="N96" s="1876"/>
    </row>
    <row r="97" spans="2:14">
      <c r="B97" s="49"/>
      <c r="C97" s="81"/>
      <c r="D97" s="81"/>
      <c r="E97" s="81"/>
      <c r="F97" s="81"/>
      <c r="G97" s="81"/>
      <c r="H97" s="81"/>
      <c r="I97" s="81"/>
      <c r="J97" s="81"/>
      <c r="K97" s="81"/>
      <c r="L97" s="81"/>
      <c r="M97" s="81"/>
      <c r="N97" s="79"/>
    </row>
    <row r="98" spans="2:14">
      <c r="B98" s="406" t="s">
        <v>719</v>
      </c>
      <c r="C98" s="81"/>
      <c r="D98" s="81"/>
      <c r="E98" s="81"/>
      <c r="F98" s="81"/>
      <c r="G98" s="81"/>
      <c r="H98" s="81"/>
      <c r="I98" s="81"/>
      <c r="J98" s="81"/>
      <c r="K98" s="81"/>
      <c r="L98" s="81"/>
      <c r="M98" s="81"/>
      <c r="N98" s="79"/>
    </row>
    <row r="99" spans="2:14" ht="12.75" customHeight="1">
      <c r="B99" s="1871" t="s">
        <v>720</v>
      </c>
      <c r="C99" s="1872"/>
      <c r="D99" s="1872"/>
      <c r="E99" s="1872"/>
      <c r="F99" s="1872"/>
      <c r="G99" s="1872"/>
      <c r="H99" s="1872"/>
      <c r="I99" s="1872"/>
      <c r="J99" s="1872"/>
      <c r="K99" s="1872"/>
      <c r="L99" s="1872"/>
      <c r="M99" s="1872"/>
      <c r="N99" s="1873"/>
    </row>
    <row r="100" spans="2:14">
      <c r="B100" s="1871"/>
      <c r="C100" s="1872"/>
      <c r="D100" s="1872"/>
      <c r="E100" s="1872"/>
      <c r="F100" s="1872"/>
      <c r="G100" s="1872"/>
      <c r="H100" s="1872"/>
      <c r="I100" s="1872"/>
      <c r="J100" s="1872"/>
      <c r="K100" s="1872"/>
      <c r="L100" s="1872"/>
      <c r="M100" s="1872"/>
      <c r="N100" s="1873"/>
    </row>
    <row r="101" spans="2:14">
      <c r="B101" s="1871" t="s">
        <v>721</v>
      </c>
      <c r="C101" s="1872"/>
      <c r="D101" s="1872"/>
      <c r="E101" s="1872"/>
      <c r="F101" s="1872"/>
      <c r="G101" s="1872"/>
      <c r="H101" s="1872"/>
      <c r="I101" s="1872"/>
      <c r="J101" s="1872"/>
      <c r="K101" s="1872"/>
      <c r="L101" s="1872"/>
      <c r="M101" s="1872"/>
      <c r="N101" s="1873"/>
    </row>
    <row r="102" spans="2:14">
      <c r="B102" s="1871"/>
      <c r="C102" s="1872"/>
      <c r="D102" s="1872"/>
      <c r="E102" s="1872"/>
      <c r="F102" s="1872"/>
      <c r="G102" s="1872"/>
      <c r="H102" s="1872"/>
      <c r="I102" s="1872"/>
      <c r="J102" s="1872"/>
      <c r="K102" s="1872"/>
      <c r="L102" s="1872"/>
      <c r="M102" s="1872"/>
      <c r="N102" s="1873"/>
    </row>
    <row r="103" spans="2:14">
      <c r="B103" s="49"/>
      <c r="C103" s="81"/>
      <c r="D103" s="81"/>
      <c r="E103" s="81"/>
      <c r="F103" s="81"/>
      <c r="G103" s="81"/>
      <c r="H103" s="81"/>
      <c r="I103" s="81"/>
      <c r="J103" s="81"/>
      <c r="K103" s="81"/>
      <c r="L103" s="81"/>
      <c r="M103" s="81"/>
      <c r="N103" s="79"/>
    </row>
    <row r="104" spans="2:14">
      <c r="B104" s="85"/>
      <c r="C104" s="66"/>
      <c r="D104" s="66"/>
      <c r="E104" s="66"/>
      <c r="F104" s="66"/>
      <c r="G104" s="71" t="s">
        <v>249</v>
      </c>
      <c r="H104" s="66"/>
      <c r="I104" s="66"/>
      <c r="J104" s="66"/>
      <c r="K104" s="66"/>
      <c r="L104" s="66"/>
      <c r="M104" s="66"/>
      <c r="N104" s="73"/>
    </row>
    <row r="105" spans="2:14">
      <c r="B105" s="85"/>
      <c r="C105" s="66"/>
      <c r="D105" s="66"/>
      <c r="E105" s="66"/>
      <c r="F105" s="66"/>
      <c r="G105" s="66" t="s">
        <v>250</v>
      </c>
      <c r="H105" s="86"/>
      <c r="I105" s="86"/>
      <c r="J105" s="86"/>
      <c r="K105" s="66"/>
      <c r="L105" s="66"/>
      <c r="M105" s="66"/>
      <c r="N105" s="73"/>
    </row>
    <row r="106" spans="2:14">
      <c r="B106" s="85"/>
      <c r="C106" s="66"/>
      <c r="D106" s="66"/>
      <c r="E106" s="66"/>
      <c r="F106" s="66"/>
      <c r="G106" s="66" t="s">
        <v>255</v>
      </c>
      <c r="H106" s="80"/>
      <c r="I106" s="80"/>
      <c r="J106" s="80"/>
      <c r="M106" s="66"/>
      <c r="N106" s="73"/>
    </row>
    <row r="107" spans="2:14">
      <c r="B107" s="127"/>
      <c r="C107" s="81"/>
      <c r="D107" s="81"/>
      <c r="E107" s="81"/>
      <c r="F107" s="81"/>
      <c r="G107" s="66" t="s">
        <v>252</v>
      </c>
      <c r="K107" s="81"/>
      <c r="L107" s="81"/>
      <c r="M107" s="81"/>
      <c r="N107" s="79"/>
    </row>
    <row r="108" spans="2:14" ht="17.25" customHeight="1">
      <c r="B108" s="138" t="s">
        <v>722</v>
      </c>
      <c r="C108" s="128"/>
      <c r="D108" s="128"/>
      <c r="E108" s="66"/>
      <c r="F108" s="66"/>
      <c r="G108" s="66"/>
      <c r="H108" s="66"/>
      <c r="I108" s="66"/>
      <c r="J108" s="1863"/>
      <c r="K108" s="1863"/>
      <c r="L108" s="1863"/>
      <c r="M108" s="1863"/>
      <c r="N108" s="1864"/>
    </row>
    <row r="109" spans="2:14" ht="18.75" customHeight="1" thickBot="1">
      <c r="B109" s="1867" t="s">
        <v>723</v>
      </c>
      <c r="C109" s="1868"/>
      <c r="D109" s="1868"/>
      <c r="E109" s="87"/>
      <c r="F109" s="87"/>
      <c r="G109" s="87"/>
      <c r="H109" s="87"/>
      <c r="I109" s="87"/>
      <c r="J109" s="1865"/>
      <c r="K109" s="1865"/>
      <c r="L109" s="1865"/>
      <c r="M109" s="1865"/>
      <c r="N109" s="1866"/>
    </row>
  </sheetData>
  <mergeCells count="113">
    <mergeCell ref="B12:E12"/>
    <mergeCell ref="B99:N100"/>
    <mergeCell ref="B101:N102"/>
    <mergeCell ref="J108:N109"/>
    <mergeCell ref="B109:D10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F43"/>
    <mergeCell ref="G43:H43"/>
    <mergeCell ref="I43:J43"/>
    <mergeCell ref="L43:M43"/>
    <mergeCell ref="B44:F44"/>
    <mergeCell ref="G44:H44"/>
    <mergeCell ref="I44:J44"/>
    <mergeCell ref="L44:M44"/>
    <mergeCell ref="B52:I52"/>
    <mergeCell ref="L52:M52"/>
    <mergeCell ref="B53:I53"/>
    <mergeCell ref="L53:M53"/>
    <mergeCell ref="B54:I54"/>
    <mergeCell ref="L54:M54"/>
    <mergeCell ref="B55:I55"/>
    <mergeCell ref="L55:M55"/>
    <mergeCell ref="B45:F45"/>
    <mergeCell ref="G45:H45"/>
    <mergeCell ref="I45:J45"/>
    <mergeCell ref="L45:M45"/>
    <mergeCell ref="B46:M46"/>
    <mergeCell ref="B50:I50"/>
    <mergeCell ref="L50:M50"/>
    <mergeCell ref="B51:I51"/>
    <mergeCell ref="L51:M51"/>
    <mergeCell ref="B47:N49"/>
    <mergeCell ref="B56:M56"/>
    <mergeCell ref="B60:H60"/>
    <mergeCell ref="L60:M60"/>
    <mergeCell ref="B61:H61"/>
    <mergeCell ref="L61:M61"/>
    <mergeCell ref="B62:H62"/>
    <mergeCell ref="L62:M62"/>
    <mergeCell ref="B63:H63"/>
    <mergeCell ref="L63:M63"/>
    <mergeCell ref="B57:N59"/>
    <mergeCell ref="B64:M64"/>
    <mergeCell ref="B68:H68"/>
    <mergeCell ref="L68:M68"/>
    <mergeCell ref="L69:M69"/>
    <mergeCell ref="L70:M70"/>
    <mergeCell ref="L71:M71"/>
    <mergeCell ref="B72:H72"/>
    <mergeCell ref="L72:M72"/>
    <mergeCell ref="B73:M73"/>
    <mergeCell ref="B65:N67"/>
    <mergeCell ref="B95:N95"/>
    <mergeCell ref="B96:N96"/>
    <mergeCell ref="B75:M75"/>
    <mergeCell ref="B79:H79"/>
    <mergeCell ref="L79:M79"/>
    <mergeCell ref="B80:H80"/>
    <mergeCell ref="L80:M80"/>
    <mergeCell ref="L81:M81"/>
    <mergeCell ref="L82:M82"/>
    <mergeCell ref="B83:M83"/>
    <mergeCell ref="B85:M85"/>
    <mergeCell ref="B76:N78"/>
  </mergeCells>
  <phoneticPr fontId="0" type="noConversion"/>
  <dataValidations count="1">
    <dataValidation type="list" allowBlank="1" showInputMessage="1" showErrorMessage="1" sqref="B20:B27">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877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87745" r:id="rId3"/>
      </mc:Fallback>
    </mc:AlternateContent>
  </oleObjects>
  <mc:AlternateContent xmlns:mc="http://schemas.openxmlformats.org/markup-compatibility/2006">
    <mc:Choice Requires="x14">
      <controls>
        <mc:AlternateContent xmlns:mc="http://schemas.openxmlformats.org/markup-compatibility/2006">
          <mc:Choice Requires="x14">
            <control shapeId="2877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877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dimension ref="B1:N104"/>
  <sheetViews>
    <sheetView showGridLines="0" topLeftCell="A35" zoomScale="70" zoomScaleNormal="70" workbookViewId="0">
      <selection sqref="A1:XFD1048576"/>
    </sheetView>
  </sheetViews>
  <sheetFormatPr baseColWidth="10" defaultColWidth="11.42578125" defaultRowHeight="12.75"/>
  <cols>
    <col min="1" max="1" width="3.140625" style="39" customWidth="1"/>
    <col min="2" max="2" width="11.5703125" style="39" bestFit="1" customWidth="1"/>
    <col min="3" max="8" width="11.42578125" style="39"/>
    <col min="9" max="10" width="11.5703125" style="39" bestFit="1" customWidth="1"/>
    <col min="11" max="11" width="12.140625" style="39" customWidth="1"/>
    <col min="12" max="12" width="11.5703125" style="39" bestFit="1" customWidth="1"/>
    <col min="13" max="13" width="11.42578125" style="39"/>
    <col min="14" max="14" width="12.85546875" style="39" bestFit="1"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300</v>
      </c>
      <c r="C34" s="1885" t="s">
        <v>650</v>
      </c>
      <c r="D34" s="1887"/>
      <c r="E34" s="1887"/>
      <c r="F34" s="1887"/>
      <c r="G34" s="1887"/>
      <c r="H34" s="1887"/>
      <c r="I34" s="1887"/>
      <c r="J34" s="1887"/>
      <c r="K34" s="1886"/>
      <c r="L34" s="1885" t="s">
        <v>111</v>
      </c>
      <c r="M34" s="1886"/>
      <c r="N34" s="177">
        <v>6046</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77</v>
      </c>
      <c r="C39" s="1840"/>
      <c r="D39" s="1840"/>
      <c r="E39" s="1840"/>
      <c r="F39" s="1841"/>
      <c r="G39" s="1842"/>
      <c r="H39" s="1841"/>
      <c r="I39" s="1842"/>
      <c r="J39" s="1841"/>
      <c r="K39" s="88"/>
      <c r="L39" s="1922"/>
      <c r="M39" s="1923"/>
      <c r="N39" s="89">
        <v>756.31700000000001</v>
      </c>
    </row>
    <row r="40" spans="2:14">
      <c r="B40" s="1839"/>
      <c r="C40" s="1840"/>
      <c r="D40" s="1840"/>
      <c r="E40" s="1840"/>
      <c r="F40" s="1841"/>
      <c r="G40" s="1842"/>
      <c r="H40" s="1841"/>
      <c r="I40" s="1842"/>
      <c r="J40" s="1841"/>
      <c r="K40" s="88"/>
      <c r="L40" s="1922"/>
      <c r="M40" s="1923"/>
      <c r="N40" s="89"/>
    </row>
    <row r="41" spans="2:14" ht="13.5" thickBot="1">
      <c r="B41" s="1839"/>
      <c r="C41" s="1840"/>
      <c r="D41" s="1840"/>
      <c r="E41" s="1840"/>
      <c r="F41" s="1841"/>
      <c r="G41" s="1842"/>
      <c r="H41" s="1841"/>
      <c r="I41" s="1842"/>
      <c r="J41" s="1841"/>
      <c r="K41" s="88"/>
      <c r="L41" s="1908"/>
      <c r="M41" s="1909"/>
      <c r="N41" s="89"/>
    </row>
    <row r="42" spans="2:14" ht="14.25" thickBot="1">
      <c r="B42" s="1848" t="s">
        <v>188</v>
      </c>
      <c r="C42" s="1849"/>
      <c r="D42" s="1849"/>
      <c r="E42" s="1849"/>
      <c r="F42" s="1849"/>
      <c r="G42" s="1849"/>
      <c r="H42" s="1849"/>
      <c r="I42" s="1849"/>
      <c r="J42" s="1849"/>
      <c r="K42" s="1849"/>
      <c r="L42" s="1849"/>
      <c r="M42" s="1850"/>
      <c r="N42" s="91">
        <v>756.31700000000001</v>
      </c>
    </row>
    <row r="43" spans="2:14">
      <c r="B43" s="1766" t="s">
        <v>189</v>
      </c>
      <c r="C43" s="1767"/>
      <c r="D43" s="1767"/>
      <c r="E43" s="1767"/>
      <c r="F43" s="1767"/>
      <c r="G43" s="1767"/>
      <c r="H43" s="1767"/>
      <c r="I43" s="1767"/>
      <c r="J43" s="1767"/>
      <c r="K43" s="1767"/>
      <c r="L43" s="1767"/>
      <c r="M43" s="1767"/>
      <c r="N43" s="1768"/>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c r="B47" s="1839" t="s">
        <v>659</v>
      </c>
      <c r="C47" s="1840"/>
      <c r="D47" s="1840"/>
      <c r="E47" s="1840"/>
      <c r="F47" s="1840"/>
      <c r="G47" s="1840"/>
      <c r="H47" s="1840"/>
      <c r="I47" s="1841"/>
      <c r="J47" s="131" t="s">
        <v>40</v>
      </c>
      <c r="K47" s="144">
        <v>1.05</v>
      </c>
      <c r="L47" s="1931">
        <v>306200.6846875</v>
      </c>
      <c r="M47" s="1932"/>
      <c r="N47" s="89">
        <v>321510.718921875</v>
      </c>
    </row>
    <row r="48" spans="2:14">
      <c r="B48" s="1839" t="s">
        <v>15</v>
      </c>
      <c r="C48" s="1840"/>
      <c r="D48" s="1840"/>
      <c r="E48" s="1840"/>
      <c r="F48" s="1840"/>
      <c r="G48" s="1840"/>
      <c r="H48" s="1840"/>
      <c r="I48" s="1841"/>
      <c r="J48" s="131" t="s">
        <v>68</v>
      </c>
      <c r="K48" s="144">
        <v>0.3</v>
      </c>
      <c r="L48" s="1852">
        <v>13200</v>
      </c>
      <c r="M48" s="1853"/>
      <c r="N48" s="89">
        <v>3960</v>
      </c>
    </row>
    <row r="49" spans="2:14">
      <c r="B49" s="1839" t="s">
        <v>106</v>
      </c>
      <c r="C49" s="1840"/>
      <c r="D49" s="1840"/>
      <c r="E49" s="1840"/>
      <c r="F49" s="1840"/>
      <c r="G49" s="1840"/>
      <c r="H49" s="1840"/>
      <c r="I49" s="1841"/>
      <c r="J49" s="131" t="s">
        <v>33</v>
      </c>
      <c r="K49" s="144">
        <v>0.05</v>
      </c>
      <c r="L49" s="1852">
        <v>1700</v>
      </c>
      <c r="M49" s="1853"/>
      <c r="N49" s="89">
        <v>85</v>
      </c>
    </row>
    <row r="50" spans="2:14" ht="13.5" thickBot="1">
      <c r="B50" s="1839"/>
      <c r="C50" s="1840"/>
      <c r="D50" s="1840"/>
      <c r="E50" s="1840"/>
      <c r="F50" s="1840"/>
      <c r="G50" s="1840"/>
      <c r="H50" s="1840"/>
      <c r="I50" s="1841"/>
      <c r="J50" s="131"/>
      <c r="K50" s="144"/>
      <c r="L50" s="1852"/>
      <c r="M50" s="1853"/>
      <c r="N50" s="89"/>
    </row>
    <row r="51" spans="2:14" ht="14.25" thickBot="1">
      <c r="B51" s="1848" t="s">
        <v>188</v>
      </c>
      <c r="C51" s="1849"/>
      <c r="D51" s="1849"/>
      <c r="E51" s="1849"/>
      <c r="F51" s="1849"/>
      <c r="G51" s="1849"/>
      <c r="H51" s="1849"/>
      <c r="I51" s="1849"/>
      <c r="J51" s="1849"/>
      <c r="K51" s="1849"/>
      <c r="L51" s="1849"/>
      <c r="M51" s="1850"/>
      <c r="N51" s="99">
        <v>325555.718921875</v>
      </c>
    </row>
    <row r="52" spans="2:14">
      <c r="B52" s="1766" t="s">
        <v>51</v>
      </c>
      <c r="C52" s="1767"/>
      <c r="D52" s="1767"/>
      <c r="E52" s="1767"/>
      <c r="F52" s="1767"/>
      <c r="G52" s="1767"/>
      <c r="H52" s="1767"/>
      <c r="I52" s="1767"/>
      <c r="J52" s="1767"/>
      <c r="K52" s="1767"/>
      <c r="L52" s="1767"/>
      <c r="M52" s="1767"/>
      <c r="N52" s="1768"/>
    </row>
    <row r="53" spans="2:14">
      <c r="B53" s="1766"/>
      <c r="C53" s="1767"/>
      <c r="D53" s="1767"/>
      <c r="E53" s="1767"/>
      <c r="F53" s="1767"/>
      <c r="G53" s="1767"/>
      <c r="H53" s="1767"/>
      <c r="I53" s="1767"/>
      <c r="J53" s="1767"/>
      <c r="K53" s="1767"/>
      <c r="L53" s="1767"/>
      <c r="M53" s="1767"/>
      <c r="N53" s="1768"/>
    </row>
    <row r="54" spans="2:14" ht="13.5" thickBot="1">
      <c r="B54" s="1769"/>
      <c r="C54" s="1770"/>
      <c r="D54" s="1770"/>
      <c r="E54" s="1770"/>
      <c r="F54" s="1770"/>
      <c r="G54" s="1770"/>
      <c r="H54" s="1770"/>
      <c r="I54" s="1770"/>
      <c r="J54" s="1770"/>
      <c r="K54" s="1770"/>
      <c r="L54" s="1770"/>
      <c r="M54" s="1770"/>
      <c r="N54" s="1771"/>
    </row>
    <row r="55" spans="2:14" ht="13.5">
      <c r="B55" s="1826" t="s">
        <v>192</v>
      </c>
      <c r="C55" s="1851"/>
      <c r="D55" s="1851"/>
      <c r="E55" s="1851"/>
      <c r="F55" s="1851"/>
      <c r="G55" s="1851"/>
      <c r="H55" s="1851"/>
      <c r="I55" s="178" t="s">
        <v>193</v>
      </c>
      <c r="J55" s="181" t="s">
        <v>194</v>
      </c>
      <c r="K55" s="182" t="s">
        <v>310</v>
      </c>
      <c r="L55" s="1829" t="s">
        <v>39</v>
      </c>
      <c r="M55" s="1832"/>
      <c r="N55" s="179" t="s">
        <v>191</v>
      </c>
    </row>
    <row r="56" spans="2:14">
      <c r="B56" s="1839"/>
      <c r="C56" s="1840"/>
      <c r="D56" s="1840"/>
      <c r="E56" s="1840"/>
      <c r="F56" s="1840"/>
      <c r="G56" s="1840"/>
      <c r="H56" s="1840"/>
      <c r="I56" s="96"/>
      <c r="J56" s="133"/>
      <c r="K56" s="134"/>
      <c r="L56" s="1859"/>
      <c r="M56" s="1860"/>
      <c r="N56" s="135"/>
    </row>
    <row r="57" spans="2:14">
      <c r="B57" s="1839"/>
      <c r="C57" s="1840"/>
      <c r="D57" s="1840"/>
      <c r="E57" s="1840"/>
      <c r="F57" s="1840"/>
      <c r="G57" s="1840"/>
      <c r="H57" s="1840"/>
      <c r="I57" s="96"/>
      <c r="J57" s="133"/>
      <c r="K57" s="134"/>
      <c r="L57" s="1859"/>
      <c r="M57" s="1860"/>
      <c r="N57" s="135"/>
    </row>
    <row r="58" spans="2:14" ht="13.5" thickBot="1">
      <c r="B58" s="1834"/>
      <c r="C58" s="1835"/>
      <c r="D58" s="1835"/>
      <c r="E58" s="1835"/>
      <c r="F58" s="1835"/>
      <c r="G58" s="1835"/>
      <c r="H58" s="1835"/>
      <c r="I58" s="136"/>
      <c r="J58" s="137"/>
      <c r="K58" s="100"/>
      <c r="L58" s="1837"/>
      <c r="M58" s="1838"/>
      <c r="N58" s="135"/>
    </row>
    <row r="59" spans="2:14" ht="14.25" thickBot="1">
      <c r="B59" s="1848" t="s">
        <v>188</v>
      </c>
      <c r="C59" s="1849"/>
      <c r="D59" s="1849"/>
      <c r="E59" s="1849"/>
      <c r="F59" s="1849"/>
      <c r="G59" s="1849"/>
      <c r="H59" s="1849"/>
      <c r="I59" s="1849"/>
      <c r="J59" s="1849"/>
      <c r="K59" s="1849"/>
      <c r="L59" s="1849"/>
      <c r="M59" s="1850"/>
      <c r="N59" s="112">
        <v>0</v>
      </c>
    </row>
    <row r="60" spans="2:14">
      <c r="B60" s="1766" t="s">
        <v>52</v>
      </c>
      <c r="C60" s="1767"/>
      <c r="D60" s="1767"/>
      <c r="E60" s="1767"/>
      <c r="F60" s="1767"/>
      <c r="G60" s="1767"/>
      <c r="H60" s="1767"/>
      <c r="I60" s="1767"/>
      <c r="J60" s="1767"/>
      <c r="K60" s="1767"/>
      <c r="L60" s="1767"/>
      <c r="M60" s="1767"/>
      <c r="N60" s="1768"/>
    </row>
    <row r="61" spans="2:14">
      <c r="B61" s="1766"/>
      <c r="C61" s="1767"/>
      <c r="D61" s="1767"/>
      <c r="E61" s="1767"/>
      <c r="F61" s="1767"/>
      <c r="G61" s="1767"/>
      <c r="H61" s="1767"/>
      <c r="I61" s="1767"/>
      <c r="J61" s="1767"/>
      <c r="K61" s="1767"/>
      <c r="L61" s="1767"/>
      <c r="M61" s="1767"/>
      <c r="N61" s="1768"/>
    </row>
    <row r="62" spans="2:14" ht="13.5" thickBot="1">
      <c r="B62" s="1769"/>
      <c r="C62" s="1770"/>
      <c r="D62" s="1770"/>
      <c r="E62" s="1770"/>
      <c r="F62" s="1770"/>
      <c r="G62" s="1770"/>
      <c r="H62" s="1770"/>
      <c r="I62" s="1770"/>
      <c r="J62" s="1770"/>
      <c r="K62" s="1770"/>
      <c r="L62" s="1770"/>
      <c r="M62" s="1770"/>
      <c r="N62" s="1771"/>
    </row>
    <row r="63" spans="2:14" ht="13.5">
      <c r="B63" s="1826" t="s">
        <v>195</v>
      </c>
      <c r="C63" s="1851"/>
      <c r="D63" s="1851"/>
      <c r="E63" s="1851"/>
      <c r="F63" s="1851"/>
      <c r="G63" s="1851"/>
      <c r="H63" s="1851"/>
      <c r="I63" s="178" t="s">
        <v>196</v>
      </c>
      <c r="J63" s="181" t="s">
        <v>46</v>
      </c>
      <c r="K63" s="182" t="s">
        <v>197</v>
      </c>
      <c r="L63" s="1829" t="s">
        <v>186</v>
      </c>
      <c r="M63" s="1832"/>
      <c r="N63" s="179" t="s">
        <v>191</v>
      </c>
    </row>
    <row r="64" spans="2:14">
      <c r="B64" s="149" t="s">
        <v>62</v>
      </c>
      <c r="C64" s="150"/>
      <c r="D64" s="150"/>
      <c r="E64" s="150"/>
      <c r="F64" s="150"/>
      <c r="G64" s="150"/>
      <c r="H64" s="150"/>
      <c r="I64" s="107">
        <v>82200</v>
      </c>
      <c r="J64" s="108">
        <v>1.85</v>
      </c>
      <c r="K64" s="109">
        <v>152070</v>
      </c>
      <c r="L64" s="1861">
        <v>15</v>
      </c>
      <c r="M64" s="1862"/>
      <c r="N64" s="110">
        <v>10138</v>
      </c>
    </row>
    <row r="65" spans="2:14">
      <c r="B65" s="149" t="s">
        <v>273</v>
      </c>
      <c r="C65" s="150"/>
      <c r="D65" s="150"/>
      <c r="E65" s="150"/>
      <c r="F65" s="150"/>
      <c r="G65" s="150"/>
      <c r="H65" s="150"/>
      <c r="I65" s="107">
        <v>40446</v>
      </c>
      <c r="J65" s="108">
        <v>1.85</v>
      </c>
      <c r="K65" s="109">
        <v>74825.100000000006</v>
      </c>
      <c r="L65" s="1861">
        <v>15</v>
      </c>
      <c r="M65" s="1862"/>
      <c r="N65" s="110">
        <v>4988.34</v>
      </c>
    </row>
    <row r="66" spans="2:14">
      <c r="B66" s="149"/>
      <c r="C66" s="150"/>
      <c r="D66" s="150"/>
      <c r="E66" s="150"/>
      <c r="F66" s="150"/>
      <c r="G66" s="150"/>
      <c r="H66" s="150"/>
      <c r="I66" s="107"/>
      <c r="J66" s="108"/>
      <c r="K66" s="109"/>
      <c r="L66" s="1859"/>
      <c r="M66" s="1860"/>
      <c r="N66" s="110"/>
    </row>
    <row r="67" spans="2:14" ht="13.5" thickBot="1">
      <c r="B67" s="1834"/>
      <c r="C67" s="1835"/>
      <c r="D67" s="1835"/>
      <c r="E67" s="1835"/>
      <c r="F67" s="1835"/>
      <c r="G67" s="1835"/>
      <c r="H67" s="1835"/>
      <c r="I67" s="102"/>
      <c r="J67" s="87"/>
      <c r="K67" s="102"/>
      <c r="L67" s="1837"/>
      <c r="M67" s="1838"/>
      <c r="N67" s="111"/>
    </row>
    <row r="68" spans="2:14" ht="14.25" thickBot="1">
      <c r="B68" s="1848" t="s">
        <v>188</v>
      </c>
      <c r="C68" s="1849"/>
      <c r="D68" s="1849"/>
      <c r="E68" s="1849"/>
      <c r="F68" s="1849"/>
      <c r="G68" s="1849"/>
      <c r="H68" s="1849"/>
      <c r="I68" s="1849"/>
      <c r="J68" s="1849"/>
      <c r="K68" s="1849"/>
      <c r="L68" s="1849"/>
      <c r="M68" s="1850"/>
      <c r="N68" s="112">
        <v>15126.34</v>
      </c>
    </row>
    <row r="69" spans="2:14" ht="13.5" thickBot="1">
      <c r="B69" s="85"/>
      <c r="C69" s="66"/>
      <c r="D69" s="66"/>
      <c r="E69" s="66"/>
      <c r="F69" s="66"/>
      <c r="G69" s="66"/>
      <c r="H69" s="66"/>
      <c r="I69" s="66"/>
      <c r="J69" s="66"/>
      <c r="K69" s="66"/>
      <c r="L69" s="66"/>
      <c r="M69" s="66"/>
      <c r="N69" s="73"/>
    </row>
    <row r="70" spans="2:14" ht="13.5" thickBot="1">
      <c r="B70" s="1854" t="s">
        <v>198</v>
      </c>
      <c r="C70" s="1855"/>
      <c r="D70" s="1855"/>
      <c r="E70" s="1855"/>
      <c r="F70" s="1855"/>
      <c r="G70" s="1855"/>
      <c r="H70" s="1855"/>
      <c r="I70" s="1855"/>
      <c r="J70" s="1855"/>
      <c r="K70" s="1855"/>
      <c r="L70" s="1855"/>
      <c r="M70" s="1856"/>
      <c r="N70" s="186">
        <v>341438.37592187501</v>
      </c>
    </row>
    <row r="71" spans="2:14">
      <c r="B71" s="1766" t="s">
        <v>53</v>
      </c>
      <c r="C71" s="1767"/>
      <c r="D71" s="1767"/>
      <c r="E71" s="1767"/>
      <c r="F71" s="1767"/>
      <c r="G71" s="1767"/>
      <c r="H71" s="1767"/>
      <c r="I71" s="1767"/>
      <c r="J71" s="1767"/>
      <c r="K71" s="1767"/>
      <c r="L71" s="1767"/>
      <c r="M71" s="1767"/>
      <c r="N71" s="1768"/>
    </row>
    <row r="72" spans="2:14">
      <c r="B72" s="1766"/>
      <c r="C72" s="1767"/>
      <c r="D72" s="1767"/>
      <c r="E72" s="1767"/>
      <c r="F72" s="1767"/>
      <c r="G72" s="1767"/>
      <c r="H72" s="1767"/>
      <c r="I72" s="1767"/>
      <c r="J72" s="1767"/>
      <c r="K72" s="1767"/>
      <c r="L72" s="1767"/>
      <c r="M72" s="1767"/>
      <c r="N72" s="1768"/>
    </row>
    <row r="73" spans="2:14" ht="13.5" thickBot="1">
      <c r="B73" s="1769"/>
      <c r="C73" s="1770"/>
      <c r="D73" s="1770"/>
      <c r="E73" s="1770"/>
      <c r="F73" s="1770"/>
      <c r="G73" s="1770"/>
      <c r="H73" s="1770"/>
      <c r="I73" s="1770"/>
      <c r="J73" s="1770"/>
      <c r="K73" s="1770"/>
      <c r="L73" s="1770"/>
      <c r="M73" s="1770"/>
      <c r="N73" s="1771"/>
    </row>
    <row r="74" spans="2:14" ht="13.5">
      <c r="B74" s="1826" t="s">
        <v>50</v>
      </c>
      <c r="C74" s="1851"/>
      <c r="D74" s="1851"/>
      <c r="E74" s="1851"/>
      <c r="F74" s="1851"/>
      <c r="G74" s="1851"/>
      <c r="H74" s="1851"/>
      <c r="I74" s="181"/>
      <c r="J74" s="187"/>
      <c r="K74" s="184" t="s">
        <v>54</v>
      </c>
      <c r="L74" s="1857" t="s">
        <v>55</v>
      </c>
      <c r="M74" s="1858"/>
      <c r="N74" s="185"/>
    </row>
    <row r="75" spans="2:14">
      <c r="B75" s="1839" t="s">
        <v>44</v>
      </c>
      <c r="C75" s="1840"/>
      <c r="D75" s="1840"/>
      <c r="E75" s="1840"/>
      <c r="F75" s="1840"/>
      <c r="G75" s="1840"/>
      <c r="H75" s="1840"/>
      <c r="I75" s="113"/>
      <c r="J75" s="114"/>
      <c r="K75" s="192">
        <v>0.22</v>
      </c>
      <c r="L75" s="1877">
        <v>75116.442702812506</v>
      </c>
      <c r="M75" s="1878"/>
      <c r="N75" s="115"/>
    </row>
    <row r="76" spans="2:14">
      <c r="B76" s="116" t="s">
        <v>56</v>
      </c>
      <c r="C76" s="117"/>
      <c r="D76" s="117"/>
      <c r="E76" s="117"/>
      <c r="F76" s="117"/>
      <c r="G76" s="117"/>
      <c r="H76" s="117"/>
      <c r="I76" s="113"/>
      <c r="J76" s="114"/>
      <c r="K76" s="192">
        <v>0.05</v>
      </c>
      <c r="L76" s="1877">
        <v>17071.918796093752</v>
      </c>
      <c r="M76" s="1878"/>
      <c r="N76" s="115"/>
    </row>
    <row r="77" spans="2:14" ht="13.5" thickBot="1">
      <c r="B77" s="118" t="s">
        <v>45</v>
      </c>
      <c r="C77" s="119"/>
      <c r="D77" s="119"/>
      <c r="E77" s="119"/>
      <c r="F77" s="119"/>
      <c r="G77" s="119"/>
      <c r="H77" s="119"/>
      <c r="I77" s="120"/>
      <c r="J77" s="121"/>
      <c r="K77" s="192">
        <v>0.05</v>
      </c>
      <c r="L77" s="1879">
        <v>17071.918796093752</v>
      </c>
      <c r="M77" s="1880"/>
      <c r="N77" s="115"/>
    </row>
    <row r="78" spans="2:14" ht="14.25" thickBot="1">
      <c r="B78" s="1848" t="s">
        <v>188</v>
      </c>
      <c r="C78" s="1849"/>
      <c r="D78" s="1849"/>
      <c r="E78" s="1849"/>
      <c r="F78" s="1849"/>
      <c r="G78" s="1849"/>
      <c r="H78" s="1849"/>
      <c r="I78" s="1849"/>
      <c r="J78" s="1849"/>
      <c r="K78" s="1849"/>
      <c r="L78" s="1849"/>
      <c r="M78" s="1850"/>
      <c r="N78" s="122">
        <v>109260.28029500002</v>
      </c>
    </row>
    <row r="79" spans="2:14" ht="13.5" thickBot="1">
      <c r="B79" s="85"/>
      <c r="C79" s="66"/>
      <c r="D79" s="66"/>
      <c r="E79" s="66"/>
      <c r="F79" s="66"/>
      <c r="G79" s="66"/>
      <c r="H79" s="66"/>
      <c r="I79" s="66"/>
      <c r="J79" s="66"/>
      <c r="K79" s="66"/>
      <c r="L79" s="66"/>
      <c r="M79" s="66"/>
      <c r="N79" s="73"/>
    </row>
    <row r="80" spans="2:14" ht="13.5" thickBot="1">
      <c r="B80" s="1854" t="s">
        <v>199</v>
      </c>
      <c r="C80" s="1855"/>
      <c r="D80" s="1855"/>
      <c r="E80" s="1855"/>
      <c r="F80" s="1855"/>
      <c r="G80" s="1855"/>
      <c r="H80" s="1855"/>
      <c r="I80" s="1855"/>
      <c r="J80" s="1855"/>
      <c r="K80" s="1855"/>
      <c r="L80" s="1855"/>
      <c r="M80" s="1856"/>
      <c r="N80" s="188">
        <v>450699</v>
      </c>
    </row>
    <row r="81" spans="2:14">
      <c r="B81" s="64"/>
      <c r="C81" s="65"/>
      <c r="D81" s="65"/>
      <c r="E81" s="65"/>
      <c r="F81" s="65"/>
      <c r="G81" s="65"/>
      <c r="H81" s="65"/>
      <c r="I81" s="65"/>
      <c r="J81" s="65"/>
      <c r="K81" s="65"/>
      <c r="L81" s="65"/>
      <c r="M81" s="65"/>
      <c r="N81" s="67"/>
    </row>
    <row r="82" spans="2:14">
      <c r="B82" s="85"/>
      <c r="C82" s="66"/>
      <c r="D82" s="66"/>
      <c r="E82" s="66"/>
      <c r="F82" s="66"/>
      <c r="G82" s="66"/>
      <c r="H82" s="66"/>
      <c r="I82" s="66"/>
      <c r="J82" s="66"/>
      <c r="K82" s="66"/>
      <c r="L82" s="66"/>
      <c r="M82" s="66"/>
      <c r="N82" s="73"/>
    </row>
    <row r="83" spans="2:14">
      <c r="B83" s="85"/>
      <c r="C83" s="66"/>
      <c r="D83" s="66"/>
      <c r="E83" s="66"/>
      <c r="F83" s="66"/>
      <c r="G83" s="66"/>
      <c r="H83" s="66"/>
      <c r="I83" s="66"/>
      <c r="J83" s="66"/>
      <c r="K83" s="66"/>
      <c r="L83" s="66"/>
      <c r="M83" s="66"/>
      <c r="N83" s="73"/>
    </row>
    <row r="84" spans="2:14">
      <c r="B84" s="85"/>
      <c r="C84" s="66"/>
      <c r="D84" s="66"/>
      <c r="E84" s="66"/>
      <c r="F84" s="66"/>
      <c r="G84" s="71" t="s">
        <v>249</v>
      </c>
      <c r="H84" s="71"/>
      <c r="I84" s="71"/>
      <c r="J84" s="71"/>
      <c r="K84" s="66"/>
      <c r="L84" s="66"/>
      <c r="M84" s="66"/>
      <c r="N84" s="73"/>
    </row>
    <row r="85" spans="2:14" ht="13.5">
      <c r="B85" s="123"/>
      <c r="C85" s="124"/>
      <c r="D85" s="124"/>
      <c r="E85" s="124"/>
      <c r="F85" s="124"/>
      <c r="G85" s="71" t="s">
        <v>250</v>
      </c>
      <c r="H85" s="124"/>
      <c r="I85" s="124"/>
      <c r="J85" s="124"/>
      <c r="K85" s="124"/>
      <c r="L85" s="124"/>
      <c r="M85" s="124"/>
      <c r="N85" s="125"/>
    </row>
    <row r="86" spans="2:14" ht="13.5">
      <c r="B86" s="123"/>
      <c r="C86" s="124"/>
      <c r="D86" s="124"/>
      <c r="E86" s="124"/>
      <c r="F86" s="124"/>
      <c r="G86" s="71" t="s">
        <v>251</v>
      </c>
      <c r="J86" s="124"/>
      <c r="K86" s="124"/>
      <c r="L86" s="124"/>
      <c r="M86" s="124"/>
      <c r="N86" s="125"/>
    </row>
    <row r="87" spans="2:14">
      <c r="B87" s="49"/>
      <c r="C87" s="81"/>
      <c r="D87" s="81"/>
      <c r="E87" s="81"/>
      <c r="F87" s="81"/>
      <c r="G87" s="71" t="s">
        <v>252</v>
      </c>
      <c r="H87" s="81"/>
      <c r="I87" s="81"/>
      <c r="J87" s="81"/>
      <c r="K87" s="81"/>
      <c r="L87" s="81"/>
      <c r="M87" s="81"/>
      <c r="N87" s="79"/>
    </row>
    <row r="88" spans="2:14">
      <c r="B88" s="85"/>
      <c r="C88" s="66"/>
      <c r="D88" s="66"/>
      <c r="E88" s="66"/>
      <c r="F88" s="66"/>
      <c r="G88" s="66" t="s">
        <v>253</v>
      </c>
      <c r="H88" s="66"/>
      <c r="I88" s="66"/>
      <c r="J88" s="66"/>
      <c r="K88" s="66"/>
      <c r="L88" s="66"/>
      <c r="M88" s="66"/>
      <c r="N88" s="73"/>
    </row>
    <row r="89" spans="2:14" ht="13.5">
      <c r="B89" s="92" t="s">
        <v>254</v>
      </c>
      <c r="C89" s="93"/>
      <c r="D89" s="93"/>
      <c r="E89" s="93"/>
      <c r="F89" s="93"/>
      <c r="G89" s="93"/>
      <c r="H89" s="93"/>
      <c r="I89" s="93"/>
      <c r="J89" s="93"/>
      <c r="K89" s="93"/>
      <c r="L89" s="93"/>
      <c r="M89" s="93"/>
      <c r="N89" s="94"/>
    </row>
    <row r="90" spans="2:14">
      <c r="B90" s="1874"/>
      <c r="C90" s="1875"/>
      <c r="D90" s="1875"/>
      <c r="E90" s="1875"/>
      <c r="F90" s="1875"/>
      <c r="G90" s="1875"/>
      <c r="H90" s="1875"/>
      <c r="I90" s="1875"/>
      <c r="J90" s="1875"/>
      <c r="K90" s="1875"/>
      <c r="L90" s="1875"/>
      <c r="M90" s="1875"/>
      <c r="N90" s="1876"/>
    </row>
    <row r="91" spans="2:14">
      <c r="B91" s="1874"/>
      <c r="C91" s="1875"/>
      <c r="D91" s="1875"/>
      <c r="E91" s="1875"/>
      <c r="F91" s="1875"/>
      <c r="G91" s="1875"/>
      <c r="H91" s="1875"/>
      <c r="I91" s="1875"/>
      <c r="J91" s="1875"/>
      <c r="K91" s="1875"/>
      <c r="L91" s="1875"/>
      <c r="M91" s="1875"/>
      <c r="N91" s="1876"/>
    </row>
    <row r="92" spans="2:14">
      <c r="B92" s="49"/>
      <c r="C92" s="81"/>
      <c r="D92" s="81"/>
      <c r="E92" s="81"/>
      <c r="F92" s="81"/>
      <c r="G92" s="81"/>
      <c r="H92" s="81"/>
      <c r="I92" s="81"/>
      <c r="J92" s="81"/>
      <c r="K92" s="81"/>
      <c r="L92" s="81"/>
      <c r="M92" s="81"/>
      <c r="N92" s="79"/>
    </row>
    <row r="93" spans="2:14">
      <c r="B93" s="406" t="s">
        <v>719</v>
      </c>
      <c r="C93" s="81"/>
      <c r="D93" s="81"/>
      <c r="E93" s="81"/>
      <c r="F93" s="81"/>
      <c r="G93" s="81"/>
      <c r="H93" s="81"/>
      <c r="I93" s="81"/>
      <c r="J93" s="81"/>
      <c r="K93" s="81"/>
      <c r="L93" s="81"/>
      <c r="M93" s="81"/>
      <c r="N93" s="79"/>
    </row>
    <row r="94" spans="2:14" ht="12.75" customHeight="1">
      <c r="B94" s="1871" t="s">
        <v>720</v>
      </c>
      <c r="C94" s="1872"/>
      <c r="D94" s="1872"/>
      <c r="E94" s="1872"/>
      <c r="F94" s="1872"/>
      <c r="G94" s="1872"/>
      <c r="H94" s="1872"/>
      <c r="I94" s="1872"/>
      <c r="J94" s="1872"/>
      <c r="K94" s="1872"/>
      <c r="L94" s="1872"/>
      <c r="M94" s="1872"/>
      <c r="N94" s="1873"/>
    </row>
    <row r="95" spans="2:14">
      <c r="B95" s="1871"/>
      <c r="C95" s="1872"/>
      <c r="D95" s="1872"/>
      <c r="E95" s="1872"/>
      <c r="F95" s="1872"/>
      <c r="G95" s="1872"/>
      <c r="H95" s="1872"/>
      <c r="I95" s="1872"/>
      <c r="J95" s="1872"/>
      <c r="K95" s="1872"/>
      <c r="L95" s="1872"/>
      <c r="M95" s="1872"/>
      <c r="N95" s="1873"/>
    </row>
    <row r="96" spans="2:14">
      <c r="B96" s="1871" t="s">
        <v>721</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49"/>
      <c r="C98" s="81"/>
      <c r="D98" s="81"/>
      <c r="E98" s="81"/>
      <c r="F98" s="81"/>
      <c r="G98" s="81"/>
      <c r="H98" s="81"/>
      <c r="I98" s="81"/>
      <c r="J98" s="81"/>
      <c r="K98" s="81"/>
      <c r="L98" s="81"/>
      <c r="M98" s="81"/>
      <c r="N98" s="79"/>
    </row>
    <row r="99" spans="2:14">
      <c r="B99" s="85"/>
      <c r="C99" s="66"/>
      <c r="D99" s="66"/>
      <c r="E99" s="66"/>
      <c r="F99" s="66"/>
      <c r="G99" s="71" t="s">
        <v>249</v>
      </c>
      <c r="H99" s="66"/>
      <c r="I99" s="66"/>
      <c r="J99" s="66"/>
      <c r="K99" s="66"/>
      <c r="L99" s="66"/>
      <c r="M99" s="66"/>
      <c r="N99" s="73"/>
    </row>
    <row r="100" spans="2:14">
      <c r="B100" s="85"/>
      <c r="C100" s="66"/>
      <c r="D100" s="66"/>
      <c r="E100" s="66"/>
      <c r="F100" s="66"/>
      <c r="G100" s="66" t="s">
        <v>250</v>
      </c>
      <c r="H100" s="86"/>
      <c r="I100" s="86"/>
      <c r="J100" s="86"/>
      <c r="K100" s="66"/>
      <c r="L100" s="66"/>
      <c r="M100" s="66"/>
      <c r="N100" s="73"/>
    </row>
    <row r="101" spans="2:14">
      <c r="B101" s="85"/>
      <c r="C101" s="66"/>
      <c r="D101" s="66"/>
      <c r="E101" s="66"/>
      <c r="F101" s="66"/>
      <c r="G101" s="66" t="s">
        <v>255</v>
      </c>
      <c r="H101" s="80"/>
      <c r="I101" s="80"/>
      <c r="J101" s="80"/>
      <c r="M101" s="66"/>
      <c r="N101" s="73"/>
    </row>
    <row r="102" spans="2:14">
      <c r="B102" s="127"/>
      <c r="C102" s="81"/>
      <c r="D102" s="81"/>
      <c r="E102" s="81"/>
      <c r="F102" s="81"/>
      <c r="G102" s="66" t="s">
        <v>252</v>
      </c>
      <c r="K102" s="81"/>
      <c r="L102" s="81"/>
      <c r="M102" s="81"/>
      <c r="N102" s="79"/>
    </row>
    <row r="103" spans="2:14" ht="17.25" customHeight="1">
      <c r="B103" s="138" t="s">
        <v>722</v>
      </c>
      <c r="C103" s="128"/>
      <c r="D103" s="128"/>
      <c r="E103" s="66"/>
      <c r="F103" s="66"/>
      <c r="G103" s="66"/>
      <c r="H103" s="66"/>
      <c r="I103" s="66"/>
      <c r="J103" s="1863"/>
      <c r="K103" s="1863"/>
      <c r="L103" s="1863"/>
      <c r="M103" s="1863"/>
      <c r="N103" s="1864"/>
    </row>
    <row r="104" spans="2:14" ht="18.75" customHeight="1" thickBot="1">
      <c r="B104" s="1867" t="s">
        <v>723</v>
      </c>
      <c r="C104" s="1868"/>
      <c r="D104" s="1868"/>
      <c r="E104" s="87"/>
      <c r="F104" s="87"/>
      <c r="G104" s="87"/>
      <c r="H104" s="87"/>
      <c r="I104" s="87"/>
      <c r="J104" s="1865"/>
      <c r="K104" s="1865"/>
      <c r="L104" s="1865"/>
      <c r="M104" s="1865"/>
      <c r="N104" s="1866"/>
    </row>
  </sheetData>
  <mergeCells count="95">
    <mergeCell ref="J103:N104"/>
    <mergeCell ref="B104:D104"/>
    <mergeCell ref="B43:N45"/>
    <mergeCell ref="B52:N54"/>
    <mergeCell ref="B60:N62"/>
    <mergeCell ref="B71:N73"/>
    <mergeCell ref="B46:I46"/>
    <mergeCell ref="L46:M46"/>
    <mergeCell ref="B50:I50"/>
    <mergeCell ref="L50:M50"/>
    <mergeCell ref="B47:I47"/>
    <mergeCell ref="L47:M47"/>
    <mergeCell ref="B48:I48"/>
    <mergeCell ref="L48:M48"/>
    <mergeCell ref="B49:I49"/>
    <mergeCell ref="L49:M4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B12:E12"/>
    <mergeCell ref="D25:M25"/>
    <mergeCell ref="E27:M27"/>
    <mergeCell ref="G29:M29"/>
    <mergeCell ref="B31:N31"/>
    <mergeCell ref="D20:M21"/>
    <mergeCell ref="D23:M23"/>
    <mergeCell ref="D13:G13"/>
    <mergeCell ref="J13:M13"/>
    <mergeCell ref="L14:N14"/>
    <mergeCell ref="H19:M19"/>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M42"/>
    <mergeCell ref="B51:M51"/>
    <mergeCell ref="B55:H55"/>
    <mergeCell ref="L55:M55"/>
    <mergeCell ref="B56:H56"/>
    <mergeCell ref="L56:M56"/>
    <mergeCell ref="B57:H57"/>
    <mergeCell ref="L57:M57"/>
    <mergeCell ref="B58:H58"/>
    <mergeCell ref="L58:M58"/>
    <mergeCell ref="B59:M59"/>
    <mergeCell ref="B63:H63"/>
    <mergeCell ref="L63:M63"/>
    <mergeCell ref="L64:M64"/>
    <mergeCell ref="L65:M65"/>
    <mergeCell ref="L66:M66"/>
    <mergeCell ref="B67:H67"/>
    <mergeCell ref="L67:M67"/>
    <mergeCell ref="B68:M68"/>
    <mergeCell ref="B70:M70"/>
    <mergeCell ref="B74:H74"/>
    <mergeCell ref="L74:M74"/>
    <mergeCell ref="B75:H75"/>
    <mergeCell ref="L75:M75"/>
    <mergeCell ref="L76:M76"/>
    <mergeCell ref="L77:M77"/>
    <mergeCell ref="B78:M78"/>
    <mergeCell ref="B80:M80"/>
    <mergeCell ref="B90:N90"/>
    <mergeCell ref="B91:N91"/>
    <mergeCell ref="B94:N95"/>
    <mergeCell ref="B96:N9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00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0033" r:id="rId3"/>
      </mc:Fallback>
    </mc:AlternateContent>
  </oleObjects>
  <mc:AlternateContent xmlns:mc="http://schemas.openxmlformats.org/markup-compatibility/2006">
    <mc:Choice Requires="x14">
      <controls>
        <mc:AlternateContent xmlns:mc="http://schemas.openxmlformats.org/markup-compatibility/2006">
          <mc:Choice Requires="x14">
            <control shapeId="30003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003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dimension ref="B1:N103"/>
  <sheetViews>
    <sheetView showGridLines="0" topLeftCell="A23" zoomScale="70" zoomScaleNormal="70"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95</v>
      </c>
      <c r="C34" s="1885" t="s">
        <v>651</v>
      </c>
      <c r="D34" s="1887"/>
      <c r="E34" s="1887"/>
      <c r="F34" s="1887"/>
      <c r="G34" s="1887"/>
      <c r="H34" s="1887"/>
      <c r="I34" s="1887"/>
      <c r="J34" s="1887"/>
      <c r="K34" s="1886"/>
      <c r="L34" s="1885" t="s">
        <v>28</v>
      </c>
      <c r="M34" s="1886"/>
      <c r="N34" s="177">
        <v>19520</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77</v>
      </c>
      <c r="C39" s="1840"/>
      <c r="D39" s="1840"/>
      <c r="E39" s="1840"/>
      <c r="F39" s="1841"/>
      <c r="G39" s="1842"/>
      <c r="H39" s="1841"/>
      <c r="I39" s="1842"/>
      <c r="J39" s="1841"/>
      <c r="K39" s="88"/>
      <c r="L39" s="1922"/>
      <c r="M39" s="1923"/>
      <c r="N39" s="89">
        <v>16.896666666666668</v>
      </c>
    </row>
    <row r="40" spans="2:14">
      <c r="B40" s="1839"/>
      <c r="C40" s="1840"/>
      <c r="D40" s="1840"/>
      <c r="E40" s="1840"/>
      <c r="F40" s="1841"/>
      <c r="G40" s="1842"/>
      <c r="H40" s="1841"/>
      <c r="I40" s="1842"/>
      <c r="J40" s="1841"/>
      <c r="K40" s="88"/>
      <c r="L40" s="1920"/>
      <c r="M40" s="1921"/>
      <c r="N40" s="89"/>
    </row>
    <row r="41" spans="2:14" ht="13.5" thickBot="1">
      <c r="B41" s="1839"/>
      <c r="C41" s="1840"/>
      <c r="D41" s="1840"/>
      <c r="E41" s="1840"/>
      <c r="F41" s="1841"/>
      <c r="G41" s="1842"/>
      <c r="H41" s="1841"/>
      <c r="I41" s="1842"/>
      <c r="J41" s="1841"/>
      <c r="K41" s="88"/>
      <c r="L41" s="1908"/>
      <c r="M41" s="1909"/>
      <c r="N41" s="89"/>
    </row>
    <row r="42" spans="2:14" ht="14.25" thickBot="1">
      <c r="B42" s="1848" t="s">
        <v>188</v>
      </c>
      <c r="C42" s="1849"/>
      <c r="D42" s="1849"/>
      <c r="E42" s="1849"/>
      <c r="F42" s="1849"/>
      <c r="G42" s="1849"/>
      <c r="H42" s="1849"/>
      <c r="I42" s="1849"/>
      <c r="J42" s="1849"/>
      <c r="K42" s="1849"/>
      <c r="L42" s="1849"/>
      <c r="M42" s="1850"/>
      <c r="N42" s="91">
        <v>16.896666666666668</v>
      </c>
    </row>
    <row r="43" spans="2:14">
      <c r="B43" s="1766" t="s">
        <v>189</v>
      </c>
      <c r="C43" s="1767"/>
      <c r="D43" s="1767"/>
      <c r="E43" s="1767"/>
      <c r="F43" s="1767"/>
      <c r="G43" s="1767"/>
      <c r="H43" s="1767"/>
      <c r="I43" s="1767"/>
      <c r="J43" s="1767"/>
      <c r="K43" s="1767"/>
      <c r="L43" s="1767"/>
      <c r="M43" s="1767"/>
      <c r="N43" s="1768"/>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ht="13.5">
      <c r="B47" s="1839" t="s">
        <v>660</v>
      </c>
      <c r="C47" s="1840"/>
      <c r="D47" s="1840"/>
      <c r="E47" s="1840"/>
      <c r="F47" s="1840"/>
      <c r="G47" s="1840"/>
      <c r="H47" s="1840"/>
      <c r="I47" s="1841"/>
      <c r="J47" s="151" t="s">
        <v>68</v>
      </c>
      <c r="K47" s="152">
        <v>1.1000000000000001</v>
      </c>
      <c r="L47" s="1852">
        <v>5800</v>
      </c>
      <c r="M47" s="1853"/>
      <c r="N47" s="89">
        <v>6380.0000000000009</v>
      </c>
    </row>
    <row r="48" spans="2:14" ht="13.5">
      <c r="B48" s="1839"/>
      <c r="C48" s="1840"/>
      <c r="D48" s="1840"/>
      <c r="E48" s="1840"/>
      <c r="F48" s="1840"/>
      <c r="G48" s="1840"/>
      <c r="H48" s="1840"/>
      <c r="I48" s="1841"/>
      <c r="J48" s="151"/>
      <c r="K48" s="152"/>
      <c r="L48" s="1852"/>
      <c r="M48" s="1853"/>
      <c r="N48" s="89"/>
    </row>
    <row r="49" spans="2:14" ht="13.5" thickBot="1">
      <c r="B49" s="1839"/>
      <c r="C49" s="1840"/>
      <c r="D49" s="1840"/>
      <c r="E49" s="1840"/>
      <c r="F49" s="1840"/>
      <c r="G49" s="1840"/>
      <c r="H49" s="1840"/>
      <c r="I49" s="1841"/>
      <c r="J49" s="131"/>
      <c r="K49" s="144"/>
      <c r="L49" s="1852"/>
      <c r="M49" s="1853"/>
      <c r="N49" s="89"/>
    </row>
    <row r="50" spans="2:14" ht="14.25" thickBot="1">
      <c r="B50" s="1848" t="s">
        <v>188</v>
      </c>
      <c r="C50" s="1849"/>
      <c r="D50" s="1849"/>
      <c r="E50" s="1849"/>
      <c r="F50" s="1849"/>
      <c r="G50" s="1849"/>
      <c r="H50" s="1849"/>
      <c r="I50" s="1849"/>
      <c r="J50" s="1849"/>
      <c r="K50" s="1849"/>
      <c r="L50" s="1849"/>
      <c r="M50" s="1850"/>
      <c r="N50" s="99">
        <v>6380.0000000000009</v>
      </c>
    </row>
    <row r="51" spans="2:14">
      <c r="B51" s="1766" t="s">
        <v>51</v>
      </c>
      <c r="C51" s="1767"/>
      <c r="D51" s="1767"/>
      <c r="E51" s="1767"/>
      <c r="F51" s="1767"/>
      <c r="G51" s="1767"/>
      <c r="H51" s="1767"/>
      <c r="I51" s="1767"/>
      <c r="J51" s="1767"/>
      <c r="K51" s="1767"/>
      <c r="L51" s="1767"/>
      <c r="M51" s="1767"/>
      <c r="N51" s="1768"/>
    </row>
    <row r="52" spans="2:14">
      <c r="B52" s="1766"/>
      <c r="C52" s="1767"/>
      <c r="D52" s="1767"/>
      <c r="E52" s="1767"/>
      <c r="F52" s="1767"/>
      <c r="G52" s="1767"/>
      <c r="H52" s="1767"/>
      <c r="I52" s="1767"/>
      <c r="J52" s="1767"/>
      <c r="K52" s="1767"/>
      <c r="L52" s="1767"/>
      <c r="M52" s="1767"/>
      <c r="N52" s="1768"/>
    </row>
    <row r="53" spans="2:14" ht="13.5" thickBot="1">
      <c r="B53" s="1769"/>
      <c r="C53" s="1770"/>
      <c r="D53" s="1770"/>
      <c r="E53" s="1770"/>
      <c r="F53" s="1770"/>
      <c r="G53" s="1770"/>
      <c r="H53" s="1770"/>
      <c r="I53" s="1770"/>
      <c r="J53" s="1770"/>
      <c r="K53" s="1770"/>
      <c r="L53" s="1770"/>
      <c r="M53" s="1770"/>
      <c r="N53" s="1771"/>
    </row>
    <row r="54" spans="2:14" ht="13.5">
      <c r="B54" s="1826" t="s">
        <v>192</v>
      </c>
      <c r="C54" s="1851"/>
      <c r="D54" s="1851"/>
      <c r="E54" s="1851"/>
      <c r="F54" s="1851"/>
      <c r="G54" s="1851"/>
      <c r="H54" s="1851"/>
      <c r="I54" s="178" t="s">
        <v>193</v>
      </c>
      <c r="J54" s="181" t="s">
        <v>194</v>
      </c>
      <c r="K54" s="182" t="s">
        <v>310</v>
      </c>
      <c r="L54" s="1829" t="s">
        <v>39</v>
      </c>
      <c r="M54" s="1832"/>
      <c r="N54" s="179" t="s">
        <v>191</v>
      </c>
    </row>
    <row r="55" spans="2:14">
      <c r="B55" s="1839"/>
      <c r="C55" s="1840"/>
      <c r="D55" s="1840"/>
      <c r="E55" s="1840"/>
      <c r="F55" s="1840"/>
      <c r="G55" s="1840"/>
      <c r="H55" s="1840"/>
      <c r="I55" s="96"/>
      <c r="J55" s="133"/>
      <c r="K55" s="134"/>
      <c r="L55" s="1859"/>
      <c r="M55" s="1860"/>
      <c r="N55" s="135"/>
    </row>
    <row r="56" spans="2:14">
      <c r="B56" s="1839"/>
      <c r="C56" s="1840"/>
      <c r="D56" s="1840"/>
      <c r="E56" s="1840"/>
      <c r="F56" s="1840"/>
      <c r="G56" s="1840"/>
      <c r="H56" s="1840"/>
      <c r="I56" s="96"/>
      <c r="J56" s="133"/>
      <c r="K56" s="134"/>
      <c r="L56" s="1859"/>
      <c r="M56" s="1860"/>
      <c r="N56" s="135"/>
    </row>
    <row r="57" spans="2:14" ht="13.5" thickBot="1">
      <c r="B57" s="1834"/>
      <c r="C57" s="1835"/>
      <c r="D57" s="1835"/>
      <c r="E57" s="1835"/>
      <c r="F57" s="1835"/>
      <c r="G57" s="1835"/>
      <c r="H57" s="1835"/>
      <c r="I57" s="136"/>
      <c r="J57" s="137"/>
      <c r="K57" s="100"/>
      <c r="L57" s="1837"/>
      <c r="M57" s="1838"/>
      <c r="N57" s="135"/>
    </row>
    <row r="58" spans="2:14" ht="14.25" thickBot="1">
      <c r="B58" s="1848" t="s">
        <v>188</v>
      </c>
      <c r="C58" s="1849"/>
      <c r="D58" s="1849"/>
      <c r="E58" s="1849"/>
      <c r="F58" s="1849"/>
      <c r="G58" s="1849"/>
      <c r="H58" s="1849"/>
      <c r="I58" s="1849"/>
      <c r="J58" s="1849"/>
      <c r="K58" s="1849"/>
      <c r="L58" s="1849"/>
      <c r="M58" s="1850"/>
      <c r="N58" s="112">
        <v>0</v>
      </c>
    </row>
    <row r="59" spans="2:14">
      <c r="B59" s="1766" t="s">
        <v>52</v>
      </c>
      <c r="C59" s="1767"/>
      <c r="D59" s="1767"/>
      <c r="E59" s="1767"/>
      <c r="F59" s="1767"/>
      <c r="G59" s="1767"/>
      <c r="H59" s="1767"/>
      <c r="I59" s="1767"/>
      <c r="J59" s="1767"/>
      <c r="K59" s="1767"/>
      <c r="L59" s="1767"/>
      <c r="M59" s="1767"/>
      <c r="N59" s="1768"/>
    </row>
    <row r="60" spans="2:14">
      <c r="B60" s="1766"/>
      <c r="C60" s="1767"/>
      <c r="D60" s="1767"/>
      <c r="E60" s="1767"/>
      <c r="F60" s="1767"/>
      <c r="G60" s="1767"/>
      <c r="H60" s="1767"/>
      <c r="I60" s="1767"/>
      <c r="J60" s="1767"/>
      <c r="K60" s="1767"/>
      <c r="L60" s="1767"/>
      <c r="M60" s="1767"/>
      <c r="N60" s="1768"/>
    </row>
    <row r="61" spans="2:14" ht="13.5" thickBot="1">
      <c r="B61" s="1769"/>
      <c r="C61" s="1770"/>
      <c r="D61" s="1770"/>
      <c r="E61" s="1770"/>
      <c r="F61" s="1770"/>
      <c r="G61" s="1770"/>
      <c r="H61" s="1770"/>
      <c r="I61" s="1770"/>
      <c r="J61" s="1770"/>
      <c r="K61" s="1770"/>
      <c r="L61" s="1770"/>
      <c r="M61" s="1770"/>
      <c r="N61" s="1771"/>
    </row>
    <row r="62" spans="2:14" ht="13.5">
      <c r="B62" s="1826" t="s">
        <v>195</v>
      </c>
      <c r="C62" s="1851"/>
      <c r="D62" s="1851"/>
      <c r="E62" s="1851"/>
      <c r="F62" s="1851"/>
      <c r="G62" s="1851"/>
      <c r="H62" s="1851"/>
      <c r="I62" s="178" t="s">
        <v>196</v>
      </c>
      <c r="J62" s="181" t="s">
        <v>46</v>
      </c>
      <c r="K62" s="182" t="s">
        <v>197</v>
      </c>
      <c r="L62" s="1829" t="s">
        <v>186</v>
      </c>
      <c r="M62" s="1832"/>
      <c r="N62" s="179" t="s">
        <v>191</v>
      </c>
    </row>
    <row r="63" spans="2:14">
      <c r="B63" s="149" t="s">
        <v>61</v>
      </c>
      <c r="C63" s="150"/>
      <c r="D63" s="150"/>
      <c r="E63" s="150"/>
      <c r="F63" s="150"/>
      <c r="G63" s="150"/>
      <c r="H63" s="150"/>
      <c r="I63" s="107">
        <v>54800</v>
      </c>
      <c r="J63" s="108">
        <v>1.85</v>
      </c>
      <c r="K63" s="109">
        <v>101380</v>
      </c>
      <c r="L63" s="1861">
        <v>300</v>
      </c>
      <c r="M63" s="1862"/>
      <c r="N63" s="110">
        <v>337.93333333333334</v>
      </c>
    </row>
    <row r="64" spans="2:14">
      <c r="B64" s="149"/>
      <c r="C64" s="150"/>
      <c r="D64" s="150"/>
      <c r="E64" s="150"/>
      <c r="F64" s="150"/>
      <c r="G64" s="150"/>
      <c r="H64" s="150"/>
      <c r="I64" s="107"/>
      <c r="J64" s="108"/>
      <c r="K64" s="109"/>
      <c r="L64" s="1861"/>
      <c r="M64" s="1862"/>
      <c r="N64" s="110"/>
    </row>
    <row r="65" spans="2:14">
      <c r="B65" s="149"/>
      <c r="C65" s="150"/>
      <c r="D65" s="150"/>
      <c r="E65" s="150"/>
      <c r="F65" s="150"/>
      <c r="G65" s="150"/>
      <c r="H65" s="150"/>
      <c r="I65" s="107"/>
      <c r="J65" s="108"/>
      <c r="K65" s="109"/>
      <c r="L65" s="1859"/>
      <c r="M65" s="1860"/>
      <c r="N65" s="110"/>
    </row>
    <row r="66" spans="2:14" ht="13.5" thickBot="1">
      <c r="B66" s="1834"/>
      <c r="C66" s="1835"/>
      <c r="D66" s="1835"/>
      <c r="E66" s="1835"/>
      <c r="F66" s="1835"/>
      <c r="G66" s="1835"/>
      <c r="H66" s="1835"/>
      <c r="I66" s="102"/>
      <c r="J66" s="87"/>
      <c r="K66" s="102"/>
      <c r="L66" s="1837"/>
      <c r="M66" s="1838"/>
      <c r="N66" s="111"/>
    </row>
    <row r="67" spans="2:14" ht="14.25" thickBot="1">
      <c r="B67" s="1848" t="s">
        <v>188</v>
      </c>
      <c r="C67" s="1849"/>
      <c r="D67" s="1849"/>
      <c r="E67" s="1849"/>
      <c r="F67" s="1849"/>
      <c r="G67" s="1849"/>
      <c r="H67" s="1849"/>
      <c r="I67" s="1849"/>
      <c r="J67" s="1849"/>
      <c r="K67" s="1849"/>
      <c r="L67" s="1849"/>
      <c r="M67" s="1850"/>
      <c r="N67" s="112">
        <v>337.93333333333334</v>
      </c>
    </row>
    <row r="68" spans="2:14" ht="13.5" thickBot="1">
      <c r="B68" s="85"/>
      <c r="C68" s="66"/>
      <c r="D68" s="66"/>
      <c r="E68" s="66"/>
      <c r="F68" s="66"/>
      <c r="G68" s="66"/>
      <c r="H68" s="66"/>
      <c r="I68" s="66"/>
      <c r="J68" s="66"/>
      <c r="K68" s="66"/>
      <c r="L68" s="66"/>
      <c r="M68" s="66"/>
      <c r="N68" s="73"/>
    </row>
    <row r="69" spans="2:14" ht="13.5" thickBot="1">
      <c r="B69" s="1854" t="s">
        <v>198</v>
      </c>
      <c r="C69" s="1855"/>
      <c r="D69" s="1855"/>
      <c r="E69" s="1855"/>
      <c r="F69" s="1855"/>
      <c r="G69" s="1855"/>
      <c r="H69" s="1855"/>
      <c r="I69" s="1855"/>
      <c r="J69" s="1855"/>
      <c r="K69" s="1855"/>
      <c r="L69" s="1855"/>
      <c r="M69" s="1856"/>
      <c r="N69" s="186">
        <v>6734.8300000000008</v>
      </c>
    </row>
    <row r="70" spans="2:14">
      <c r="B70" s="1766" t="s">
        <v>53</v>
      </c>
      <c r="C70" s="1767"/>
      <c r="D70" s="1767"/>
      <c r="E70" s="1767"/>
      <c r="F70" s="1767"/>
      <c r="G70" s="1767"/>
      <c r="H70" s="1767"/>
      <c r="I70" s="1767"/>
      <c r="J70" s="1767"/>
      <c r="K70" s="1767"/>
      <c r="L70" s="1767"/>
      <c r="M70" s="1767"/>
      <c r="N70" s="1768"/>
    </row>
    <row r="71" spans="2:14">
      <c r="B71" s="1766"/>
      <c r="C71" s="1767"/>
      <c r="D71" s="1767"/>
      <c r="E71" s="1767"/>
      <c r="F71" s="1767"/>
      <c r="G71" s="1767"/>
      <c r="H71" s="1767"/>
      <c r="I71" s="1767"/>
      <c r="J71" s="1767"/>
      <c r="K71" s="1767"/>
      <c r="L71" s="1767"/>
      <c r="M71" s="1767"/>
      <c r="N71" s="1768"/>
    </row>
    <row r="72" spans="2:14" ht="13.5" thickBot="1">
      <c r="B72" s="1769"/>
      <c r="C72" s="1770"/>
      <c r="D72" s="1770"/>
      <c r="E72" s="1770"/>
      <c r="F72" s="1770"/>
      <c r="G72" s="1770"/>
      <c r="H72" s="1770"/>
      <c r="I72" s="1770"/>
      <c r="J72" s="1770"/>
      <c r="K72" s="1770"/>
      <c r="L72" s="1770"/>
      <c r="M72" s="1770"/>
      <c r="N72" s="1771"/>
    </row>
    <row r="73" spans="2:14" ht="13.5">
      <c r="B73" s="1826" t="s">
        <v>50</v>
      </c>
      <c r="C73" s="1851"/>
      <c r="D73" s="1851"/>
      <c r="E73" s="1851"/>
      <c r="F73" s="1851"/>
      <c r="G73" s="1851"/>
      <c r="H73" s="1851"/>
      <c r="I73" s="181"/>
      <c r="J73" s="187"/>
      <c r="K73" s="184" t="s">
        <v>54</v>
      </c>
      <c r="L73" s="1857" t="s">
        <v>55</v>
      </c>
      <c r="M73" s="1858"/>
      <c r="N73" s="185"/>
    </row>
    <row r="74" spans="2:14">
      <c r="B74" s="1839" t="s">
        <v>44</v>
      </c>
      <c r="C74" s="1840"/>
      <c r="D74" s="1840"/>
      <c r="E74" s="1840"/>
      <c r="F74" s="1840"/>
      <c r="G74" s="1840"/>
      <c r="H74" s="1840"/>
      <c r="I74" s="113"/>
      <c r="J74" s="114"/>
      <c r="K74" s="192">
        <v>0.22</v>
      </c>
      <c r="L74" s="1877">
        <v>1481.6626000000001</v>
      </c>
      <c r="M74" s="1878"/>
      <c r="N74" s="115"/>
    </row>
    <row r="75" spans="2:14">
      <c r="B75" s="116" t="s">
        <v>56</v>
      </c>
      <c r="C75" s="117"/>
      <c r="D75" s="117"/>
      <c r="E75" s="117"/>
      <c r="F75" s="117"/>
      <c r="G75" s="117"/>
      <c r="H75" s="117"/>
      <c r="I75" s="113"/>
      <c r="J75" s="114"/>
      <c r="K75" s="192">
        <v>0.05</v>
      </c>
      <c r="L75" s="1877">
        <v>336.74150000000009</v>
      </c>
      <c r="M75" s="1878"/>
      <c r="N75" s="115"/>
    </row>
    <row r="76" spans="2:14" ht="13.5" thickBot="1">
      <c r="B76" s="118" t="s">
        <v>45</v>
      </c>
      <c r="C76" s="119"/>
      <c r="D76" s="119"/>
      <c r="E76" s="119"/>
      <c r="F76" s="119"/>
      <c r="G76" s="119"/>
      <c r="H76" s="119"/>
      <c r="I76" s="120"/>
      <c r="J76" s="121"/>
      <c r="K76" s="192">
        <v>0.05</v>
      </c>
      <c r="L76" s="1879">
        <v>336.74150000000009</v>
      </c>
      <c r="M76" s="1880"/>
      <c r="N76" s="115"/>
    </row>
    <row r="77" spans="2:14" ht="14.25" thickBot="1">
      <c r="B77" s="1848" t="s">
        <v>188</v>
      </c>
      <c r="C77" s="1849"/>
      <c r="D77" s="1849"/>
      <c r="E77" s="1849"/>
      <c r="F77" s="1849"/>
      <c r="G77" s="1849"/>
      <c r="H77" s="1849"/>
      <c r="I77" s="1849"/>
      <c r="J77" s="1849"/>
      <c r="K77" s="1849"/>
      <c r="L77" s="1849"/>
      <c r="M77" s="1850"/>
      <c r="N77" s="122">
        <v>2155.1456000000003</v>
      </c>
    </row>
    <row r="78" spans="2:14" ht="13.5" thickBot="1">
      <c r="B78" s="85"/>
      <c r="C78" s="66"/>
      <c r="D78" s="66"/>
      <c r="E78" s="66"/>
      <c r="F78" s="66"/>
      <c r="G78" s="66"/>
      <c r="H78" s="66"/>
      <c r="I78" s="66"/>
      <c r="J78" s="66"/>
      <c r="K78" s="66"/>
      <c r="L78" s="66"/>
      <c r="M78" s="66"/>
      <c r="N78" s="73"/>
    </row>
    <row r="79" spans="2:14" ht="13.5" thickBot="1">
      <c r="B79" s="1854" t="s">
        <v>199</v>
      </c>
      <c r="C79" s="1855"/>
      <c r="D79" s="1855"/>
      <c r="E79" s="1855"/>
      <c r="F79" s="1855"/>
      <c r="G79" s="1855"/>
      <c r="H79" s="1855"/>
      <c r="I79" s="1855"/>
      <c r="J79" s="1855"/>
      <c r="K79" s="1855"/>
      <c r="L79" s="1855"/>
      <c r="M79" s="1856"/>
      <c r="N79" s="188">
        <v>8890</v>
      </c>
    </row>
    <row r="80" spans="2:14">
      <c r="B80" s="64"/>
      <c r="C80" s="65"/>
      <c r="D80" s="65"/>
      <c r="E80" s="65"/>
      <c r="F80" s="65"/>
      <c r="G80" s="65"/>
      <c r="H80" s="65"/>
      <c r="I80" s="65"/>
      <c r="J80" s="65"/>
      <c r="K80" s="65"/>
      <c r="L80" s="65"/>
      <c r="M80" s="65"/>
      <c r="N80" s="67"/>
    </row>
    <row r="81" spans="2:14">
      <c r="B81" s="85"/>
      <c r="C81" s="66"/>
      <c r="D81" s="66"/>
      <c r="E81" s="66"/>
      <c r="F81" s="66"/>
      <c r="G81" s="66"/>
      <c r="H81" s="66"/>
      <c r="I81" s="66"/>
      <c r="J81" s="66"/>
      <c r="K81" s="66"/>
      <c r="L81" s="66"/>
      <c r="M81" s="66"/>
      <c r="N81" s="73"/>
    </row>
    <row r="82" spans="2:14">
      <c r="B82" s="85"/>
      <c r="C82" s="66"/>
      <c r="D82" s="66"/>
      <c r="E82" s="66"/>
      <c r="F82" s="66"/>
      <c r="G82" s="66"/>
      <c r="H82" s="66"/>
      <c r="I82" s="66"/>
      <c r="J82" s="66"/>
      <c r="K82" s="66"/>
      <c r="L82" s="66"/>
      <c r="M82" s="66"/>
      <c r="N82" s="73"/>
    </row>
    <row r="83" spans="2:14">
      <c r="B83" s="85"/>
      <c r="C83" s="66"/>
      <c r="D83" s="66"/>
      <c r="E83" s="66"/>
      <c r="F83" s="66"/>
      <c r="G83" s="71" t="s">
        <v>249</v>
      </c>
      <c r="H83" s="71"/>
      <c r="I83" s="71"/>
      <c r="J83" s="71"/>
      <c r="K83" s="66"/>
      <c r="L83" s="66"/>
      <c r="M83" s="66"/>
      <c r="N83" s="73"/>
    </row>
    <row r="84" spans="2:14" ht="13.5">
      <c r="B84" s="123"/>
      <c r="C84" s="124"/>
      <c r="D84" s="124"/>
      <c r="E84" s="124"/>
      <c r="F84" s="124"/>
      <c r="G84" s="71" t="s">
        <v>250</v>
      </c>
      <c r="H84" s="124"/>
      <c r="I84" s="124"/>
      <c r="J84" s="124"/>
      <c r="K84" s="124"/>
      <c r="L84" s="124"/>
      <c r="M84" s="124"/>
      <c r="N84" s="125"/>
    </row>
    <row r="85" spans="2:14" ht="13.5">
      <c r="B85" s="123"/>
      <c r="C85" s="124"/>
      <c r="D85" s="124"/>
      <c r="E85" s="124"/>
      <c r="F85" s="124"/>
      <c r="G85" s="71" t="s">
        <v>251</v>
      </c>
      <c r="J85" s="124"/>
      <c r="K85" s="124"/>
      <c r="L85" s="124"/>
      <c r="M85" s="124"/>
      <c r="N85" s="125"/>
    </row>
    <row r="86" spans="2:14">
      <c r="B86" s="49"/>
      <c r="C86" s="81"/>
      <c r="D86" s="81"/>
      <c r="E86" s="81"/>
      <c r="F86" s="81"/>
      <c r="G86" s="71" t="s">
        <v>252</v>
      </c>
      <c r="H86" s="81"/>
      <c r="I86" s="81"/>
      <c r="J86" s="81"/>
      <c r="K86" s="81"/>
      <c r="L86" s="81"/>
      <c r="M86" s="81"/>
      <c r="N86" s="79"/>
    </row>
    <row r="87" spans="2:14">
      <c r="B87" s="85"/>
      <c r="C87" s="66"/>
      <c r="D87" s="66"/>
      <c r="E87" s="66"/>
      <c r="F87" s="66"/>
      <c r="G87" s="66" t="s">
        <v>253</v>
      </c>
      <c r="H87" s="66"/>
      <c r="I87" s="66"/>
      <c r="J87" s="66"/>
      <c r="K87" s="66"/>
      <c r="L87" s="66"/>
      <c r="M87" s="66"/>
      <c r="N87" s="73"/>
    </row>
    <row r="88" spans="2:14" ht="13.5">
      <c r="B88" s="92" t="s">
        <v>254</v>
      </c>
      <c r="C88" s="93"/>
      <c r="D88" s="93"/>
      <c r="E88" s="93"/>
      <c r="F88" s="93"/>
      <c r="G88" s="93"/>
      <c r="H88" s="93"/>
      <c r="I88" s="93"/>
      <c r="J88" s="93"/>
      <c r="K88" s="93"/>
      <c r="L88" s="93"/>
      <c r="M88" s="93"/>
      <c r="N88" s="94"/>
    </row>
    <row r="89" spans="2:14">
      <c r="B89" s="1874"/>
      <c r="C89" s="1875"/>
      <c r="D89" s="1875"/>
      <c r="E89" s="1875"/>
      <c r="F89" s="1875"/>
      <c r="G89" s="1875"/>
      <c r="H89" s="1875"/>
      <c r="I89" s="1875"/>
      <c r="J89" s="1875"/>
      <c r="K89" s="1875"/>
      <c r="L89" s="1875"/>
      <c r="M89" s="1875"/>
      <c r="N89" s="1876"/>
    </row>
    <row r="90" spans="2:14">
      <c r="B90" s="1874"/>
      <c r="C90" s="1875"/>
      <c r="D90" s="1875"/>
      <c r="E90" s="1875"/>
      <c r="F90" s="1875"/>
      <c r="G90" s="1875"/>
      <c r="H90" s="1875"/>
      <c r="I90" s="1875"/>
      <c r="J90" s="1875"/>
      <c r="K90" s="1875"/>
      <c r="L90" s="1875"/>
      <c r="M90" s="1875"/>
      <c r="N90" s="1876"/>
    </row>
    <row r="91" spans="2:14">
      <c r="B91" s="49"/>
      <c r="C91" s="81"/>
      <c r="D91" s="81"/>
      <c r="E91" s="81"/>
      <c r="F91" s="81"/>
      <c r="G91" s="81"/>
      <c r="H91" s="81"/>
      <c r="I91" s="81"/>
      <c r="J91" s="81"/>
      <c r="K91" s="81"/>
      <c r="L91" s="81"/>
      <c r="M91" s="81"/>
      <c r="N91" s="79"/>
    </row>
    <row r="92" spans="2:14">
      <c r="B92" s="406" t="s">
        <v>719</v>
      </c>
      <c r="C92" s="81"/>
      <c r="D92" s="81"/>
      <c r="E92" s="81"/>
      <c r="F92" s="81"/>
      <c r="G92" s="81"/>
      <c r="H92" s="81"/>
      <c r="I92" s="81"/>
      <c r="J92" s="81"/>
      <c r="K92" s="81"/>
      <c r="L92" s="81"/>
      <c r="M92" s="81"/>
      <c r="N92" s="79"/>
    </row>
    <row r="93" spans="2:14" ht="12.75" customHeight="1">
      <c r="B93" s="1871" t="s">
        <v>720</v>
      </c>
      <c r="C93" s="1872"/>
      <c r="D93" s="1872"/>
      <c r="E93" s="1872"/>
      <c r="F93" s="1872"/>
      <c r="G93" s="1872"/>
      <c r="H93" s="1872"/>
      <c r="I93" s="1872"/>
      <c r="J93" s="1872"/>
      <c r="K93" s="1872"/>
      <c r="L93" s="1872"/>
      <c r="M93" s="1872"/>
      <c r="N93" s="1873"/>
    </row>
    <row r="94" spans="2:14">
      <c r="B94" s="1871"/>
      <c r="C94" s="1872"/>
      <c r="D94" s="1872"/>
      <c r="E94" s="1872"/>
      <c r="F94" s="1872"/>
      <c r="G94" s="1872"/>
      <c r="H94" s="1872"/>
      <c r="I94" s="1872"/>
      <c r="J94" s="1872"/>
      <c r="K94" s="1872"/>
      <c r="L94" s="1872"/>
      <c r="M94" s="1872"/>
      <c r="N94" s="1873"/>
    </row>
    <row r="95" spans="2:14">
      <c r="B95" s="1871" t="s">
        <v>721</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49"/>
      <c r="C97" s="81"/>
      <c r="D97" s="81"/>
      <c r="E97" s="81"/>
      <c r="F97" s="81"/>
      <c r="G97" s="81"/>
      <c r="H97" s="81"/>
      <c r="I97" s="81"/>
      <c r="J97" s="81"/>
      <c r="K97" s="81"/>
      <c r="L97" s="81"/>
      <c r="M97" s="81"/>
      <c r="N97" s="79"/>
    </row>
    <row r="98" spans="2:14">
      <c r="B98" s="85"/>
      <c r="C98" s="66"/>
      <c r="D98" s="66"/>
      <c r="E98" s="66"/>
      <c r="F98" s="66"/>
      <c r="G98" s="71" t="s">
        <v>249</v>
      </c>
      <c r="H98" s="66"/>
      <c r="I98" s="66"/>
      <c r="J98" s="66"/>
      <c r="K98" s="66"/>
      <c r="L98" s="66"/>
      <c r="M98" s="66"/>
      <c r="N98" s="73"/>
    </row>
    <row r="99" spans="2:14">
      <c r="B99" s="85"/>
      <c r="C99" s="66"/>
      <c r="D99" s="66"/>
      <c r="E99" s="66"/>
      <c r="F99" s="66"/>
      <c r="G99" s="66" t="s">
        <v>250</v>
      </c>
      <c r="H99" s="86"/>
      <c r="I99" s="86"/>
      <c r="J99" s="86"/>
      <c r="K99" s="66"/>
      <c r="L99" s="66"/>
      <c r="M99" s="66"/>
      <c r="N99" s="73"/>
    </row>
    <row r="100" spans="2:14">
      <c r="B100" s="85"/>
      <c r="C100" s="66"/>
      <c r="D100" s="66"/>
      <c r="E100" s="66"/>
      <c r="F100" s="66"/>
      <c r="G100" s="66" t="s">
        <v>255</v>
      </c>
      <c r="H100" s="80"/>
      <c r="I100" s="80"/>
      <c r="J100" s="80"/>
      <c r="M100" s="66"/>
      <c r="N100" s="73"/>
    </row>
    <row r="101" spans="2:14">
      <c r="B101" s="127"/>
      <c r="C101" s="81"/>
      <c r="D101" s="81"/>
      <c r="E101" s="81"/>
      <c r="F101" s="81"/>
      <c r="G101" s="66" t="s">
        <v>252</v>
      </c>
      <c r="K101" s="81"/>
      <c r="L101" s="81"/>
      <c r="M101" s="81"/>
      <c r="N101" s="79"/>
    </row>
    <row r="102" spans="2:14" ht="17.25" customHeight="1">
      <c r="B102" s="138" t="s">
        <v>722</v>
      </c>
      <c r="C102" s="128"/>
      <c r="D102" s="128"/>
      <c r="E102" s="66"/>
      <c r="F102" s="66"/>
      <c r="G102" s="66"/>
      <c r="H102" s="66"/>
      <c r="I102" s="66"/>
      <c r="J102" s="1863"/>
      <c r="K102" s="1863"/>
      <c r="L102" s="1863"/>
      <c r="M102" s="1863"/>
      <c r="N102" s="1864"/>
    </row>
    <row r="103" spans="2:14" ht="18.75" customHeight="1" thickBot="1">
      <c r="B103" s="1867" t="s">
        <v>723</v>
      </c>
      <c r="C103" s="1868"/>
      <c r="D103" s="1868"/>
      <c r="E103" s="87"/>
      <c r="F103" s="87"/>
      <c r="G103" s="87"/>
      <c r="H103" s="87"/>
      <c r="I103" s="87"/>
      <c r="J103" s="1865"/>
      <c r="K103" s="1865"/>
      <c r="L103" s="1865"/>
      <c r="M103" s="1865"/>
      <c r="N103" s="1866"/>
    </row>
  </sheetData>
  <mergeCells count="93">
    <mergeCell ref="L65:M65"/>
    <mergeCell ref="J102:N103"/>
    <mergeCell ref="B103:D103"/>
    <mergeCell ref="B12:E12"/>
    <mergeCell ref="B93:N94"/>
    <mergeCell ref="B95:N96"/>
    <mergeCell ref="B89:N89"/>
    <mergeCell ref="B90:N90"/>
    <mergeCell ref="B74:H74"/>
    <mergeCell ref="L74:M74"/>
    <mergeCell ref="L75:M75"/>
    <mergeCell ref="L76:M76"/>
    <mergeCell ref="B77:M77"/>
    <mergeCell ref="B79:M79"/>
    <mergeCell ref="B73:H73"/>
    <mergeCell ref="L73:M73"/>
    <mergeCell ref="B70:N72"/>
    <mergeCell ref="B55:H55"/>
    <mergeCell ref="L55:M55"/>
    <mergeCell ref="B56:H56"/>
    <mergeCell ref="L56:M56"/>
    <mergeCell ref="B57:H57"/>
    <mergeCell ref="L57:M57"/>
    <mergeCell ref="B66:H66"/>
    <mergeCell ref="L66:M66"/>
    <mergeCell ref="B67:M67"/>
    <mergeCell ref="B69:M69"/>
    <mergeCell ref="B59:N61"/>
    <mergeCell ref="B62:H62"/>
    <mergeCell ref="L62:M62"/>
    <mergeCell ref="L63:M63"/>
    <mergeCell ref="L64:M64"/>
    <mergeCell ref="B58:M58"/>
    <mergeCell ref="B47:I47"/>
    <mergeCell ref="L47:M47"/>
    <mergeCell ref="B48:I48"/>
    <mergeCell ref="L48:M48"/>
    <mergeCell ref="B49:I49"/>
    <mergeCell ref="L49:M49"/>
    <mergeCell ref="B50:M50"/>
    <mergeCell ref="B54:H54"/>
    <mergeCell ref="L54:M54"/>
    <mergeCell ref="B51:N53"/>
    <mergeCell ref="B46:I46"/>
    <mergeCell ref="L46:M46"/>
    <mergeCell ref="B43:N45"/>
    <mergeCell ref="B40:F40"/>
    <mergeCell ref="G40:H40"/>
    <mergeCell ref="I40:J40"/>
    <mergeCell ref="L40:M40"/>
    <mergeCell ref="B41:F41"/>
    <mergeCell ref="G41:H41"/>
    <mergeCell ref="I41:J41"/>
    <mergeCell ref="L41:M41"/>
    <mergeCell ref="B42:M42"/>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72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7201" r:id="rId3"/>
      </mc:Fallback>
    </mc:AlternateContent>
  </oleObjects>
  <mc:AlternateContent xmlns:mc="http://schemas.openxmlformats.org/markup-compatibility/2006">
    <mc:Choice Requires="x14">
      <controls>
        <mc:AlternateContent xmlns:mc="http://schemas.openxmlformats.org/markup-compatibility/2006">
          <mc:Choice Requires="x14">
            <control shapeId="30720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720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dimension ref="B1:N106"/>
  <sheetViews>
    <sheetView showGridLines="0" topLeftCell="A38"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28515625" style="39" customWidth="1"/>
    <col min="12" max="13" width="11.42578125" style="39"/>
    <col min="14" max="14" width="12.8554687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96</v>
      </c>
      <c r="C34" s="1885" t="s">
        <v>544</v>
      </c>
      <c r="D34" s="1887"/>
      <c r="E34" s="1887"/>
      <c r="F34" s="1887"/>
      <c r="G34" s="1887"/>
      <c r="H34" s="1887"/>
      <c r="I34" s="1887"/>
      <c r="J34" s="1887"/>
      <c r="K34" s="1886"/>
      <c r="L34" s="1885" t="s">
        <v>111</v>
      </c>
      <c r="M34" s="1886"/>
      <c r="N34" s="177">
        <v>6242</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77</v>
      </c>
      <c r="C39" s="1840"/>
      <c r="D39" s="1840"/>
      <c r="E39" s="1840"/>
      <c r="F39" s="1841"/>
      <c r="G39" s="1842"/>
      <c r="H39" s="1841"/>
      <c r="I39" s="1842"/>
      <c r="J39" s="1841"/>
      <c r="K39" s="88"/>
      <c r="L39" s="1922"/>
      <c r="M39" s="1923"/>
      <c r="N39" s="89">
        <v>709.04718750000006</v>
      </c>
    </row>
    <row r="40" spans="2:14">
      <c r="B40" s="1839"/>
      <c r="C40" s="1840"/>
      <c r="D40" s="1840"/>
      <c r="E40" s="1840"/>
      <c r="F40" s="1841"/>
      <c r="G40" s="1842"/>
      <c r="H40" s="1841"/>
      <c r="I40" s="1842"/>
      <c r="J40" s="1841"/>
      <c r="K40" s="88"/>
      <c r="L40" s="1920"/>
      <c r="M40" s="1921"/>
      <c r="N40" s="89"/>
    </row>
    <row r="41" spans="2:14">
      <c r="B41" s="1839"/>
      <c r="C41" s="1840"/>
      <c r="D41" s="1840"/>
      <c r="E41" s="1840"/>
      <c r="F41" s="1841"/>
      <c r="G41" s="1842"/>
      <c r="H41" s="1841"/>
      <c r="I41" s="1842"/>
      <c r="J41" s="1841"/>
      <c r="K41" s="88"/>
      <c r="L41" s="1920"/>
      <c r="M41" s="1921"/>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709.04718750000006</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ht="13.5">
      <c r="B48" s="1839" t="s">
        <v>1503</v>
      </c>
      <c r="C48" s="1840"/>
      <c r="D48" s="1840"/>
      <c r="E48" s="1840"/>
      <c r="F48" s="1840"/>
      <c r="G48" s="1840"/>
      <c r="H48" s="1840"/>
      <c r="I48" s="1841"/>
      <c r="J48" s="151" t="s">
        <v>40</v>
      </c>
      <c r="K48" s="152">
        <v>1.1000000000000001</v>
      </c>
      <c r="L48" s="1852">
        <v>71800</v>
      </c>
      <c r="M48" s="1853"/>
      <c r="N48" s="89">
        <v>78980</v>
      </c>
    </row>
    <row r="49" spans="2:14" ht="13.5">
      <c r="B49" s="1839"/>
      <c r="C49" s="1840"/>
      <c r="D49" s="1840"/>
      <c r="E49" s="1840"/>
      <c r="F49" s="1840"/>
      <c r="G49" s="1840"/>
      <c r="H49" s="1840"/>
      <c r="I49" s="1841"/>
      <c r="J49" s="151"/>
      <c r="K49" s="152"/>
      <c r="L49" s="1852"/>
      <c r="M49" s="1853"/>
      <c r="N49" s="89"/>
    </row>
    <row r="50" spans="2:14" ht="13.5">
      <c r="B50" s="1839"/>
      <c r="C50" s="1840"/>
      <c r="D50" s="1840"/>
      <c r="E50" s="1840"/>
      <c r="F50" s="1840"/>
      <c r="G50" s="1840"/>
      <c r="H50" s="1840"/>
      <c r="I50" s="1841"/>
      <c r="J50" s="151"/>
      <c r="K50" s="153"/>
      <c r="L50" s="1852"/>
      <c r="M50" s="1853"/>
      <c r="N50" s="89"/>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131"/>
      <c r="K52" s="144"/>
      <c r="L52" s="1852"/>
      <c r="M52" s="1853"/>
      <c r="N52" s="89"/>
    </row>
    <row r="53" spans="2:14" ht="14.25" thickBot="1">
      <c r="B53" s="1848" t="s">
        <v>188</v>
      </c>
      <c r="C53" s="1849"/>
      <c r="D53" s="1849"/>
      <c r="E53" s="1849"/>
      <c r="F53" s="1849"/>
      <c r="G53" s="1849"/>
      <c r="H53" s="1849"/>
      <c r="I53" s="1849"/>
      <c r="J53" s="1849"/>
      <c r="K53" s="1849"/>
      <c r="L53" s="1849"/>
      <c r="M53" s="1850"/>
      <c r="N53" s="99">
        <v>78980</v>
      </c>
    </row>
    <row r="54" spans="2:14">
      <c r="B54" s="1766" t="s">
        <v>51</v>
      </c>
      <c r="C54" s="1767"/>
      <c r="D54" s="1767"/>
      <c r="E54" s="1767"/>
      <c r="F54" s="1767"/>
      <c r="G54" s="1767"/>
      <c r="H54" s="1767"/>
      <c r="I54" s="1767"/>
      <c r="J54" s="1767"/>
      <c r="K54" s="1767"/>
      <c r="L54" s="1767"/>
      <c r="M54" s="1767"/>
      <c r="N54" s="1768"/>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96"/>
      <c r="J58" s="133"/>
      <c r="K58" s="134"/>
      <c r="L58" s="1859"/>
      <c r="M58" s="1860"/>
      <c r="N58" s="135"/>
    </row>
    <row r="59" spans="2:14">
      <c r="B59" s="1839"/>
      <c r="C59" s="1840"/>
      <c r="D59" s="1840"/>
      <c r="E59" s="1840"/>
      <c r="F59" s="1840"/>
      <c r="G59" s="1840"/>
      <c r="H59" s="1840"/>
      <c r="I59" s="96"/>
      <c r="J59" s="133"/>
      <c r="K59" s="134"/>
      <c r="L59" s="1859"/>
      <c r="M59" s="1860"/>
      <c r="N59" s="135"/>
    </row>
    <row r="60" spans="2:14" ht="13.5" thickBot="1">
      <c r="B60" s="1834"/>
      <c r="C60" s="1835"/>
      <c r="D60" s="1835"/>
      <c r="E60" s="1835"/>
      <c r="F60" s="1835"/>
      <c r="G60" s="1835"/>
      <c r="H60" s="1835"/>
      <c r="I60" s="136"/>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0</v>
      </c>
    </row>
    <row r="62" spans="2:14">
      <c r="B62" s="1766" t="s">
        <v>52</v>
      </c>
      <c r="C62" s="1767"/>
      <c r="D62" s="1767"/>
      <c r="E62" s="1767"/>
      <c r="F62" s="1767"/>
      <c r="G62" s="1767"/>
      <c r="H62" s="1767"/>
      <c r="I62" s="1767"/>
      <c r="J62" s="1767"/>
      <c r="K62" s="1767"/>
      <c r="L62" s="1767"/>
      <c r="M62" s="1767"/>
      <c r="N62" s="1768"/>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181" t="s">
        <v>46</v>
      </c>
      <c r="K65" s="182" t="s">
        <v>197</v>
      </c>
      <c r="L65" s="1829" t="s">
        <v>186</v>
      </c>
      <c r="M65" s="1832"/>
      <c r="N65" s="179" t="s">
        <v>191</v>
      </c>
    </row>
    <row r="66" spans="2:14">
      <c r="B66" s="149" t="s">
        <v>62</v>
      </c>
      <c r="C66" s="150"/>
      <c r="D66" s="150"/>
      <c r="E66" s="150"/>
      <c r="F66" s="150"/>
      <c r="G66" s="150"/>
      <c r="H66" s="150"/>
      <c r="I66" s="107">
        <v>82200</v>
      </c>
      <c r="J66" s="108">
        <v>1.85</v>
      </c>
      <c r="K66" s="109">
        <v>152070</v>
      </c>
      <c r="L66" s="1861">
        <v>16</v>
      </c>
      <c r="M66" s="1862"/>
      <c r="N66" s="110">
        <v>9504.375</v>
      </c>
    </row>
    <row r="67" spans="2:14">
      <c r="B67" s="149" t="s">
        <v>273</v>
      </c>
      <c r="C67" s="150"/>
      <c r="D67" s="150"/>
      <c r="E67" s="150"/>
      <c r="F67" s="150"/>
      <c r="G67" s="150"/>
      <c r="H67" s="150"/>
      <c r="I67" s="107">
        <v>40446</v>
      </c>
      <c r="J67" s="108">
        <v>1.85</v>
      </c>
      <c r="K67" s="109">
        <v>74825.100000000006</v>
      </c>
      <c r="L67" s="1861">
        <v>16</v>
      </c>
      <c r="M67" s="1862"/>
      <c r="N67" s="110">
        <v>4676.5687500000004</v>
      </c>
    </row>
    <row r="68" spans="2:14">
      <c r="B68" s="149"/>
      <c r="C68" s="150"/>
      <c r="D68" s="150"/>
      <c r="E68" s="150"/>
      <c r="F68" s="150"/>
      <c r="G68" s="150"/>
      <c r="H68" s="150"/>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14180.94375</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93869.990937499999</v>
      </c>
    </row>
    <row r="73" spans="2:14">
      <c r="B73" s="1766" t="s">
        <v>53</v>
      </c>
      <c r="C73" s="1767"/>
      <c r="D73" s="1767"/>
      <c r="E73" s="1767"/>
      <c r="F73" s="1767"/>
      <c r="G73" s="1767"/>
      <c r="H73" s="1767"/>
      <c r="I73" s="1767"/>
      <c r="J73" s="1767"/>
      <c r="K73" s="1767"/>
      <c r="L73" s="1767"/>
      <c r="M73" s="1767"/>
      <c r="N73" s="1768"/>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181"/>
      <c r="J76" s="187"/>
      <c r="K76" s="184" t="s">
        <v>54</v>
      </c>
      <c r="L76" s="1857" t="s">
        <v>55</v>
      </c>
      <c r="M76" s="1858"/>
      <c r="N76" s="185"/>
    </row>
    <row r="77" spans="2:14">
      <c r="B77" s="1839" t="s">
        <v>44</v>
      </c>
      <c r="C77" s="1840"/>
      <c r="D77" s="1840"/>
      <c r="E77" s="1840"/>
      <c r="F77" s="1840"/>
      <c r="G77" s="1840"/>
      <c r="H77" s="1840"/>
      <c r="I77" s="113"/>
      <c r="J77" s="114"/>
      <c r="K77" s="192">
        <v>0.22</v>
      </c>
      <c r="L77" s="1877">
        <v>20651.398006250001</v>
      </c>
      <c r="M77" s="1878"/>
      <c r="N77" s="115"/>
    </row>
    <row r="78" spans="2:14">
      <c r="B78" s="116" t="s">
        <v>56</v>
      </c>
      <c r="C78" s="117"/>
      <c r="D78" s="117"/>
      <c r="E78" s="117"/>
      <c r="F78" s="117"/>
      <c r="G78" s="117"/>
      <c r="H78" s="117"/>
      <c r="I78" s="113"/>
      <c r="J78" s="114"/>
      <c r="K78" s="192">
        <v>0.05</v>
      </c>
      <c r="L78" s="1877">
        <v>4693.4995468750003</v>
      </c>
      <c r="M78" s="1878"/>
      <c r="N78" s="115"/>
    </row>
    <row r="79" spans="2:14" ht="13.5" thickBot="1">
      <c r="B79" s="118" t="s">
        <v>45</v>
      </c>
      <c r="C79" s="119"/>
      <c r="D79" s="119"/>
      <c r="E79" s="119"/>
      <c r="F79" s="119"/>
      <c r="G79" s="119"/>
      <c r="H79" s="119"/>
      <c r="I79" s="120"/>
      <c r="J79" s="121"/>
      <c r="K79" s="192">
        <v>0.05</v>
      </c>
      <c r="L79" s="1879">
        <v>4693.4995468750003</v>
      </c>
      <c r="M79" s="1880"/>
      <c r="N79" s="115"/>
    </row>
    <row r="80" spans="2:14" ht="14.25" thickBot="1">
      <c r="B80" s="1848" t="s">
        <v>188</v>
      </c>
      <c r="C80" s="1849"/>
      <c r="D80" s="1849"/>
      <c r="E80" s="1849"/>
      <c r="F80" s="1849"/>
      <c r="G80" s="1849"/>
      <c r="H80" s="1849"/>
      <c r="I80" s="1849"/>
      <c r="J80" s="1849"/>
      <c r="K80" s="1849"/>
      <c r="L80" s="1849"/>
      <c r="M80" s="1850"/>
      <c r="N80" s="122">
        <v>30038.397100000002</v>
      </c>
    </row>
    <row r="81" spans="2:14" ht="13.5" thickBot="1">
      <c r="B81" s="85"/>
      <c r="C81" s="66"/>
      <c r="D81" s="66"/>
      <c r="E81" s="66"/>
      <c r="F81" s="66"/>
      <c r="G81" s="66"/>
      <c r="H81" s="66"/>
      <c r="I81" s="66"/>
      <c r="J81" s="66"/>
      <c r="K81" s="66"/>
      <c r="L81" s="66"/>
      <c r="M81" s="66"/>
      <c r="N81" s="73"/>
    </row>
    <row r="82" spans="2:14" ht="13.5" thickBot="1">
      <c r="B82" s="1854" t="s">
        <v>199</v>
      </c>
      <c r="C82" s="1855"/>
      <c r="D82" s="1855"/>
      <c r="E82" s="1855"/>
      <c r="F82" s="1855"/>
      <c r="G82" s="1855"/>
      <c r="H82" s="1855"/>
      <c r="I82" s="1855"/>
      <c r="J82" s="1855"/>
      <c r="K82" s="1855"/>
      <c r="L82" s="1855"/>
      <c r="M82" s="1856"/>
      <c r="N82" s="188">
        <v>123908</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249</v>
      </c>
      <c r="H86" s="71"/>
      <c r="I86" s="71"/>
      <c r="J86" s="71"/>
      <c r="K86" s="66"/>
      <c r="L86" s="66"/>
      <c r="M86" s="66"/>
      <c r="N86" s="73"/>
    </row>
    <row r="87" spans="2:14" ht="13.5">
      <c r="B87" s="123"/>
      <c r="C87" s="124"/>
      <c r="D87" s="124"/>
      <c r="E87" s="124"/>
      <c r="F87" s="124"/>
      <c r="G87" s="71" t="s">
        <v>250</v>
      </c>
      <c r="H87" s="124"/>
      <c r="I87" s="124"/>
      <c r="J87" s="124"/>
      <c r="K87" s="124"/>
      <c r="L87" s="124"/>
      <c r="M87" s="124"/>
      <c r="N87" s="125"/>
    </row>
    <row r="88" spans="2:14" ht="13.5">
      <c r="B88" s="123"/>
      <c r="C88" s="124"/>
      <c r="D88" s="124"/>
      <c r="E88" s="124"/>
      <c r="F88" s="124"/>
      <c r="G88" s="71" t="s">
        <v>251</v>
      </c>
      <c r="J88" s="124"/>
      <c r="K88" s="124"/>
      <c r="L88" s="124"/>
      <c r="M88" s="124"/>
      <c r="N88" s="125"/>
    </row>
    <row r="89" spans="2:14">
      <c r="B89" s="49"/>
      <c r="C89" s="81"/>
      <c r="D89" s="81"/>
      <c r="E89" s="81"/>
      <c r="F89" s="81"/>
      <c r="G89" s="71" t="s">
        <v>252</v>
      </c>
      <c r="H89" s="81"/>
      <c r="I89" s="81"/>
      <c r="J89" s="81"/>
      <c r="K89" s="81"/>
      <c r="L89" s="81"/>
      <c r="M89" s="81"/>
      <c r="N89" s="79"/>
    </row>
    <row r="90" spans="2:14">
      <c r="B90" s="85"/>
      <c r="C90" s="66"/>
      <c r="D90" s="66"/>
      <c r="E90" s="66"/>
      <c r="F90" s="66"/>
      <c r="G90" s="66" t="s">
        <v>253</v>
      </c>
      <c r="H90" s="66"/>
      <c r="I90" s="66"/>
      <c r="J90" s="66"/>
      <c r="K90" s="66"/>
      <c r="L90" s="66"/>
      <c r="M90" s="66"/>
      <c r="N90" s="73"/>
    </row>
    <row r="91" spans="2:14" ht="13.5">
      <c r="B91" s="92" t="s">
        <v>254</v>
      </c>
      <c r="C91" s="93"/>
      <c r="D91" s="93"/>
      <c r="E91" s="93"/>
      <c r="F91" s="93"/>
      <c r="G91" s="93"/>
      <c r="H91" s="93"/>
      <c r="I91" s="93"/>
      <c r="J91" s="93"/>
      <c r="K91" s="93"/>
      <c r="L91" s="93"/>
      <c r="M91" s="93"/>
      <c r="N91" s="94"/>
    </row>
    <row r="92" spans="2:14">
      <c r="B92" s="1874"/>
      <c r="C92" s="1875"/>
      <c r="D92" s="1875"/>
      <c r="E92" s="1875"/>
      <c r="F92" s="1875"/>
      <c r="G92" s="1875"/>
      <c r="H92" s="1875"/>
      <c r="I92" s="1875"/>
      <c r="J92" s="1875"/>
      <c r="K92" s="1875"/>
      <c r="L92" s="1875"/>
      <c r="M92" s="1875"/>
      <c r="N92" s="1876"/>
    </row>
    <row r="93" spans="2:14">
      <c r="B93" s="1874"/>
      <c r="C93" s="1875"/>
      <c r="D93" s="1875"/>
      <c r="E93" s="1875"/>
      <c r="F93" s="1875"/>
      <c r="G93" s="1875"/>
      <c r="H93" s="1875"/>
      <c r="I93" s="1875"/>
      <c r="J93" s="1875"/>
      <c r="K93" s="1875"/>
      <c r="L93" s="1875"/>
      <c r="M93" s="1875"/>
      <c r="N93" s="1876"/>
    </row>
    <row r="94" spans="2:14">
      <c r="B94" s="49"/>
      <c r="C94" s="81"/>
      <c r="D94" s="81"/>
      <c r="E94" s="81"/>
      <c r="F94" s="81"/>
      <c r="G94" s="81"/>
      <c r="H94" s="81"/>
      <c r="I94" s="81"/>
      <c r="J94" s="81"/>
      <c r="K94" s="81"/>
      <c r="L94" s="81"/>
      <c r="M94" s="81"/>
      <c r="N94" s="79"/>
    </row>
    <row r="95" spans="2:14">
      <c r="B95" s="406" t="s">
        <v>719</v>
      </c>
      <c r="C95" s="81"/>
      <c r="D95" s="81"/>
      <c r="E95" s="81"/>
      <c r="F95" s="81"/>
      <c r="G95" s="81"/>
      <c r="H95" s="81"/>
      <c r="I95" s="81"/>
      <c r="J95" s="81"/>
      <c r="K95" s="81"/>
      <c r="L95" s="81"/>
      <c r="M95" s="81"/>
      <c r="N95" s="79"/>
    </row>
    <row r="96" spans="2:14" ht="12.75" customHeight="1">
      <c r="B96" s="1871" t="s">
        <v>720</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1871" t="s">
        <v>721</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49"/>
      <c r="C100" s="81"/>
      <c r="D100" s="81"/>
      <c r="E100" s="81"/>
      <c r="F100" s="81"/>
      <c r="G100" s="81"/>
      <c r="H100" s="81"/>
      <c r="I100" s="81"/>
      <c r="J100" s="81"/>
      <c r="K100" s="81"/>
      <c r="L100" s="81"/>
      <c r="M100" s="81"/>
      <c r="N100" s="79"/>
    </row>
    <row r="101" spans="2:14">
      <c r="B101" s="85"/>
      <c r="C101" s="66"/>
      <c r="D101" s="66"/>
      <c r="E101" s="66"/>
      <c r="F101" s="66"/>
      <c r="G101" s="71" t="s">
        <v>249</v>
      </c>
      <c r="H101" s="66"/>
      <c r="I101" s="66"/>
      <c r="J101" s="66"/>
      <c r="K101" s="66"/>
      <c r="L101" s="66"/>
      <c r="M101" s="66"/>
      <c r="N101" s="73"/>
    </row>
    <row r="102" spans="2:14">
      <c r="B102" s="85"/>
      <c r="C102" s="66"/>
      <c r="D102" s="66"/>
      <c r="E102" s="66"/>
      <c r="F102" s="66"/>
      <c r="G102" s="66" t="s">
        <v>250</v>
      </c>
      <c r="H102" s="86"/>
      <c r="I102" s="86"/>
      <c r="J102" s="86"/>
      <c r="K102" s="66"/>
      <c r="L102" s="66"/>
      <c r="M102" s="66"/>
      <c r="N102" s="73"/>
    </row>
    <row r="103" spans="2:14">
      <c r="B103" s="85"/>
      <c r="C103" s="66"/>
      <c r="D103" s="66"/>
      <c r="E103" s="66"/>
      <c r="F103" s="66"/>
      <c r="G103" s="66" t="s">
        <v>255</v>
      </c>
      <c r="H103" s="80"/>
      <c r="I103" s="80"/>
      <c r="J103" s="80"/>
      <c r="M103" s="66"/>
      <c r="N103" s="73"/>
    </row>
    <row r="104" spans="2:14">
      <c r="B104" s="127"/>
      <c r="C104" s="81"/>
      <c r="D104" s="81"/>
      <c r="E104" s="81"/>
      <c r="F104" s="81"/>
      <c r="G104" s="66" t="s">
        <v>252</v>
      </c>
      <c r="K104" s="81"/>
      <c r="L104" s="81"/>
      <c r="M104" s="81"/>
      <c r="N104" s="79"/>
    </row>
    <row r="105" spans="2:14" ht="17.25" customHeight="1">
      <c r="B105" s="138" t="s">
        <v>722</v>
      </c>
      <c r="C105" s="128"/>
      <c r="D105" s="128"/>
      <c r="E105" s="66"/>
      <c r="F105" s="66"/>
      <c r="G105" s="66"/>
      <c r="H105" s="66"/>
      <c r="I105" s="66"/>
      <c r="J105" s="1863"/>
      <c r="K105" s="1863"/>
      <c r="L105" s="1863"/>
      <c r="M105" s="1863"/>
      <c r="N105" s="1864"/>
    </row>
    <row r="106" spans="2:14"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B12:E12"/>
    <mergeCell ref="B96:N97"/>
    <mergeCell ref="B98:N9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I52"/>
    <mergeCell ref="L52:M52"/>
    <mergeCell ref="B53:M53"/>
    <mergeCell ref="B57:H57"/>
    <mergeCell ref="L57:M57"/>
    <mergeCell ref="B54:N56"/>
    <mergeCell ref="B58:H58"/>
    <mergeCell ref="L58:M58"/>
    <mergeCell ref="L68:M68"/>
    <mergeCell ref="B69:H69"/>
    <mergeCell ref="L69:M69"/>
    <mergeCell ref="B70:M70"/>
    <mergeCell ref="B73:N75"/>
    <mergeCell ref="B77:H77"/>
    <mergeCell ref="L77:M77"/>
    <mergeCell ref="B59:H59"/>
    <mergeCell ref="L59:M59"/>
    <mergeCell ref="B60:H60"/>
    <mergeCell ref="L60:M60"/>
    <mergeCell ref="B61:M61"/>
    <mergeCell ref="B65:H65"/>
    <mergeCell ref="L65:M65"/>
    <mergeCell ref="L66:M66"/>
    <mergeCell ref="L67:M67"/>
    <mergeCell ref="B62:N64"/>
    <mergeCell ref="L78:M78"/>
    <mergeCell ref="L79:M79"/>
    <mergeCell ref="B80:M80"/>
    <mergeCell ref="B82:M82"/>
    <mergeCell ref="B92:N92"/>
    <mergeCell ref="B93:N93"/>
    <mergeCell ref="B72:M72"/>
    <mergeCell ref="B76:H76"/>
    <mergeCell ref="L76:M76"/>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822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8225" r:id="rId3"/>
      </mc:Fallback>
    </mc:AlternateContent>
  </oleObjects>
  <mc:AlternateContent xmlns:mc="http://schemas.openxmlformats.org/markup-compatibility/2006">
    <mc:Choice Requires="x14">
      <controls>
        <mc:AlternateContent xmlns:mc="http://schemas.openxmlformats.org/markup-compatibility/2006">
          <mc:Choice Requires="x14">
            <control shapeId="30822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822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dimension ref="B1:N106"/>
  <sheetViews>
    <sheetView showGridLines="0" topLeftCell="A52" zoomScale="70" zoomScaleNormal="70" workbookViewId="0">
      <selection sqref="A1:XFD1048576"/>
    </sheetView>
  </sheetViews>
  <sheetFormatPr baseColWidth="10" defaultColWidth="11.42578125" defaultRowHeight="12.75"/>
  <cols>
    <col min="1" max="1" width="3.140625" style="39" customWidth="1"/>
    <col min="2" max="8" width="11.42578125" style="39"/>
    <col min="9" max="12" width="11.5703125" style="39" bestFit="1" customWidth="1"/>
    <col min="13" max="13" width="11.42578125" style="39"/>
    <col min="14" max="14" width="11.85546875" style="39" bestFit="1"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ht="25.5" customHeight="1">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97</v>
      </c>
      <c r="C34" s="1885" t="s">
        <v>600</v>
      </c>
      <c r="D34" s="1887"/>
      <c r="E34" s="1887"/>
      <c r="F34" s="1887"/>
      <c r="G34" s="1887"/>
      <c r="H34" s="1887"/>
      <c r="I34" s="1887"/>
      <c r="J34" s="1887"/>
      <c r="K34" s="1886"/>
      <c r="L34" s="1885" t="s">
        <v>111</v>
      </c>
      <c r="M34" s="1886"/>
      <c r="N34" s="177">
        <v>1260</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6</v>
      </c>
      <c r="C39" s="1840"/>
      <c r="D39" s="1840"/>
      <c r="E39" s="1840"/>
      <c r="F39" s="1841"/>
      <c r="G39" s="1842"/>
      <c r="H39" s="1841"/>
      <c r="I39" s="1842"/>
      <c r="J39" s="1841"/>
      <c r="K39" s="88">
        <v>8400</v>
      </c>
      <c r="L39" s="1922">
        <v>1</v>
      </c>
      <c r="M39" s="1923"/>
      <c r="N39" s="89">
        <v>8400</v>
      </c>
    </row>
    <row r="40" spans="2:14">
      <c r="B40" s="1839" t="s">
        <v>77</v>
      </c>
      <c r="C40" s="1840"/>
      <c r="D40" s="1840"/>
      <c r="E40" s="1840"/>
      <c r="F40" s="1841"/>
      <c r="G40" s="1842"/>
      <c r="H40" s="1841"/>
      <c r="I40" s="1842"/>
      <c r="J40" s="1841"/>
      <c r="K40" s="88"/>
      <c r="L40" s="1922"/>
      <c r="M40" s="1923"/>
      <c r="N40" s="89">
        <v>633.625</v>
      </c>
    </row>
    <row r="41" spans="2:14">
      <c r="B41" s="1839"/>
      <c r="C41" s="1840"/>
      <c r="D41" s="1840"/>
      <c r="E41" s="1840"/>
      <c r="F41" s="1841"/>
      <c r="G41" s="1842"/>
      <c r="H41" s="1841"/>
      <c r="I41" s="1842"/>
      <c r="J41" s="1841"/>
      <c r="K41" s="88"/>
      <c r="L41" s="1920"/>
      <c r="M41" s="1921"/>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9033.625</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ht="13.5">
      <c r="B48" s="1839" t="s">
        <v>275</v>
      </c>
      <c r="C48" s="1840"/>
      <c r="D48" s="1840"/>
      <c r="E48" s="1840"/>
      <c r="F48" s="1840"/>
      <c r="G48" s="1840"/>
      <c r="H48" s="1840"/>
      <c r="I48" s="1841"/>
      <c r="J48" s="151" t="s">
        <v>40</v>
      </c>
      <c r="K48" s="152">
        <v>1.3</v>
      </c>
      <c r="L48" s="1852">
        <v>35000</v>
      </c>
      <c r="M48" s="1853"/>
      <c r="N48" s="89">
        <v>45500</v>
      </c>
    </row>
    <row r="49" spans="2:14" ht="13.5">
      <c r="B49" s="1839"/>
      <c r="C49" s="1840"/>
      <c r="D49" s="1840"/>
      <c r="E49" s="1840"/>
      <c r="F49" s="1840"/>
      <c r="G49" s="1840"/>
      <c r="H49" s="1840"/>
      <c r="I49" s="1841"/>
      <c r="J49" s="151"/>
      <c r="K49" s="152"/>
      <c r="L49" s="1852"/>
      <c r="M49" s="1853"/>
      <c r="N49" s="89"/>
    </row>
    <row r="50" spans="2:14" ht="13.5">
      <c r="B50" s="1839"/>
      <c r="C50" s="1840"/>
      <c r="D50" s="1840"/>
      <c r="E50" s="1840"/>
      <c r="F50" s="1840"/>
      <c r="G50" s="1840"/>
      <c r="H50" s="1840"/>
      <c r="I50" s="1841"/>
      <c r="J50" s="151"/>
      <c r="K50" s="153"/>
      <c r="L50" s="1852"/>
      <c r="M50" s="1853"/>
      <c r="N50" s="89"/>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131"/>
      <c r="K52" s="144"/>
      <c r="L52" s="1852"/>
      <c r="M52" s="1853"/>
      <c r="N52" s="89"/>
    </row>
    <row r="53" spans="2:14" ht="14.25" thickBot="1">
      <c r="B53" s="1848" t="s">
        <v>188</v>
      </c>
      <c r="C53" s="1849"/>
      <c r="D53" s="1849"/>
      <c r="E53" s="1849"/>
      <c r="F53" s="1849"/>
      <c r="G53" s="1849"/>
      <c r="H53" s="1849"/>
      <c r="I53" s="1849"/>
      <c r="J53" s="1849"/>
      <c r="K53" s="1849"/>
      <c r="L53" s="1849"/>
      <c r="M53" s="1850"/>
      <c r="N53" s="99">
        <v>45500</v>
      </c>
    </row>
    <row r="54" spans="2:14">
      <c r="B54" s="1766" t="s">
        <v>51</v>
      </c>
      <c r="C54" s="1767"/>
      <c r="D54" s="1767"/>
      <c r="E54" s="1767"/>
      <c r="F54" s="1767"/>
      <c r="G54" s="1767"/>
      <c r="H54" s="1767"/>
      <c r="I54" s="1767"/>
      <c r="J54" s="1767"/>
      <c r="K54" s="1767"/>
      <c r="L54" s="1767"/>
      <c r="M54" s="1767"/>
      <c r="N54" s="1768"/>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t="s">
        <v>36</v>
      </c>
      <c r="C58" s="1840"/>
      <c r="D58" s="1840"/>
      <c r="E58" s="1840"/>
      <c r="F58" s="1840"/>
      <c r="G58" s="1840"/>
      <c r="H58" s="1840"/>
      <c r="I58" s="96">
        <v>1.3</v>
      </c>
      <c r="J58" s="133">
        <v>46</v>
      </c>
      <c r="K58" s="134">
        <v>59.800000000000004</v>
      </c>
      <c r="L58" s="1859">
        <v>852</v>
      </c>
      <c r="M58" s="1860"/>
      <c r="N58" s="135">
        <v>50949.600000000006</v>
      </c>
    </row>
    <row r="59" spans="2:14">
      <c r="B59" s="1839"/>
      <c r="C59" s="1840"/>
      <c r="D59" s="1840"/>
      <c r="E59" s="1840"/>
      <c r="F59" s="1840"/>
      <c r="G59" s="1840"/>
      <c r="H59" s="1840"/>
      <c r="I59" s="96"/>
      <c r="J59" s="133"/>
      <c r="K59" s="134"/>
      <c r="L59" s="1859"/>
      <c r="M59" s="1860"/>
      <c r="N59" s="135"/>
    </row>
    <row r="60" spans="2:14" ht="13.5" thickBot="1">
      <c r="B60" s="1834"/>
      <c r="C60" s="1835"/>
      <c r="D60" s="1835"/>
      <c r="E60" s="1835"/>
      <c r="F60" s="1835"/>
      <c r="G60" s="1835"/>
      <c r="H60" s="1835"/>
      <c r="I60" s="136"/>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50949.600000000006</v>
      </c>
    </row>
    <row r="62" spans="2:14">
      <c r="B62" s="1766" t="s">
        <v>52</v>
      </c>
      <c r="C62" s="1767"/>
      <c r="D62" s="1767"/>
      <c r="E62" s="1767"/>
      <c r="F62" s="1767"/>
      <c r="G62" s="1767"/>
      <c r="H62" s="1767"/>
      <c r="I62" s="1767"/>
      <c r="J62" s="1767"/>
      <c r="K62" s="1767"/>
      <c r="L62" s="1767"/>
      <c r="M62" s="1767"/>
      <c r="N62" s="1768"/>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181" t="s">
        <v>46</v>
      </c>
      <c r="K65" s="182" t="s">
        <v>197</v>
      </c>
      <c r="L65" s="1829" t="s">
        <v>186</v>
      </c>
      <c r="M65" s="1832"/>
      <c r="N65" s="179" t="s">
        <v>191</v>
      </c>
    </row>
    <row r="66" spans="2:14">
      <c r="B66" s="149" t="s">
        <v>61</v>
      </c>
      <c r="C66" s="150"/>
      <c r="D66" s="150"/>
      <c r="E66" s="150"/>
      <c r="F66" s="150"/>
      <c r="G66" s="150"/>
      <c r="H66" s="150"/>
      <c r="I66" s="107">
        <v>54800</v>
      </c>
      <c r="J66" s="108">
        <v>1.85</v>
      </c>
      <c r="K66" s="109">
        <v>101380</v>
      </c>
      <c r="L66" s="1861">
        <v>8</v>
      </c>
      <c r="M66" s="1862"/>
      <c r="N66" s="110">
        <v>12672.5</v>
      </c>
    </row>
    <row r="67" spans="2:14">
      <c r="B67" s="149"/>
      <c r="C67" s="150"/>
      <c r="D67" s="150"/>
      <c r="E67" s="150"/>
      <c r="F67" s="150"/>
      <c r="G67" s="150"/>
      <c r="H67" s="150"/>
      <c r="I67" s="107"/>
      <c r="J67" s="108"/>
      <c r="K67" s="109"/>
      <c r="L67" s="1861"/>
      <c r="M67" s="1862"/>
      <c r="N67" s="110"/>
    </row>
    <row r="68" spans="2:14">
      <c r="B68" s="149"/>
      <c r="C68" s="150"/>
      <c r="D68" s="150"/>
      <c r="E68" s="150"/>
      <c r="F68" s="150"/>
      <c r="G68" s="150"/>
      <c r="H68" s="150"/>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12672.5</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118155.72500000001</v>
      </c>
    </row>
    <row r="73" spans="2:14">
      <c r="B73" s="1766" t="s">
        <v>53</v>
      </c>
      <c r="C73" s="1767"/>
      <c r="D73" s="1767"/>
      <c r="E73" s="1767"/>
      <c r="F73" s="1767"/>
      <c r="G73" s="1767"/>
      <c r="H73" s="1767"/>
      <c r="I73" s="1767"/>
      <c r="J73" s="1767"/>
      <c r="K73" s="1767"/>
      <c r="L73" s="1767"/>
      <c r="M73" s="1767"/>
      <c r="N73" s="1768"/>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181"/>
      <c r="J76" s="187"/>
      <c r="K76" s="184" t="s">
        <v>54</v>
      </c>
      <c r="L76" s="1857" t="s">
        <v>55</v>
      </c>
      <c r="M76" s="1858"/>
      <c r="N76" s="185"/>
    </row>
    <row r="77" spans="2:14">
      <c r="B77" s="1839" t="s">
        <v>44</v>
      </c>
      <c r="C77" s="1840"/>
      <c r="D77" s="1840"/>
      <c r="E77" s="1840"/>
      <c r="F77" s="1840"/>
      <c r="G77" s="1840"/>
      <c r="H77" s="1840"/>
      <c r="I77" s="113"/>
      <c r="J77" s="114"/>
      <c r="K77" s="192">
        <v>0.22</v>
      </c>
      <c r="L77" s="1877">
        <v>25994.2595</v>
      </c>
      <c r="M77" s="1878"/>
      <c r="N77" s="115"/>
    </row>
    <row r="78" spans="2:14">
      <c r="B78" s="116" t="s">
        <v>56</v>
      </c>
      <c r="C78" s="117"/>
      <c r="D78" s="117"/>
      <c r="E78" s="117"/>
      <c r="F78" s="117"/>
      <c r="G78" s="117"/>
      <c r="H78" s="117"/>
      <c r="I78" s="113"/>
      <c r="J78" s="114"/>
      <c r="K78" s="192">
        <v>0.05</v>
      </c>
      <c r="L78" s="1877">
        <v>5907.786250000001</v>
      </c>
      <c r="M78" s="1878"/>
      <c r="N78" s="115"/>
    </row>
    <row r="79" spans="2:14" ht="13.5" thickBot="1">
      <c r="B79" s="118" t="s">
        <v>45</v>
      </c>
      <c r="C79" s="119"/>
      <c r="D79" s="119"/>
      <c r="E79" s="119"/>
      <c r="F79" s="119"/>
      <c r="G79" s="119"/>
      <c r="H79" s="119"/>
      <c r="I79" s="120"/>
      <c r="J79" s="121"/>
      <c r="K79" s="192">
        <v>0.05</v>
      </c>
      <c r="L79" s="1879">
        <v>5907.786250000001</v>
      </c>
      <c r="M79" s="1880"/>
      <c r="N79" s="115"/>
    </row>
    <row r="80" spans="2:14" ht="14.25" thickBot="1">
      <c r="B80" s="1848" t="s">
        <v>188</v>
      </c>
      <c r="C80" s="1849"/>
      <c r="D80" s="1849"/>
      <c r="E80" s="1849"/>
      <c r="F80" s="1849"/>
      <c r="G80" s="1849"/>
      <c r="H80" s="1849"/>
      <c r="I80" s="1849"/>
      <c r="J80" s="1849"/>
      <c r="K80" s="1849"/>
      <c r="L80" s="1849"/>
      <c r="M80" s="1850"/>
      <c r="N80" s="122">
        <v>37809.832000000002</v>
      </c>
    </row>
    <row r="81" spans="2:14" ht="13.5" thickBot="1">
      <c r="B81" s="85"/>
      <c r="C81" s="66"/>
      <c r="D81" s="66"/>
      <c r="E81" s="66"/>
      <c r="F81" s="66"/>
      <c r="G81" s="66"/>
      <c r="H81" s="66"/>
      <c r="I81" s="66"/>
      <c r="J81" s="66"/>
      <c r="K81" s="66"/>
      <c r="L81" s="66"/>
      <c r="M81" s="66"/>
      <c r="N81" s="73"/>
    </row>
    <row r="82" spans="2:14" ht="13.5" thickBot="1">
      <c r="B82" s="1854" t="s">
        <v>199</v>
      </c>
      <c r="C82" s="1855"/>
      <c r="D82" s="1855"/>
      <c r="E82" s="1855"/>
      <c r="F82" s="1855"/>
      <c r="G82" s="1855"/>
      <c r="H82" s="1855"/>
      <c r="I82" s="1855"/>
      <c r="J82" s="1855"/>
      <c r="K82" s="1855"/>
      <c r="L82" s="1855"/>
      <c r="M82" s="1856"/>
      <c r="N82" s="188">
        <v>155966</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249</v>
      </c>
      <c r="H86" s="71"/>
      <c r="I86" s="71"/>
      <c r="J86" s="71"/>
      <c r="K86" s="66"/>
      <c r="L86" s="66"/>
      <c r="M86" s="66"/>
      <c r="N86" s="73"/>
    </row>
    <row r="87" spans="2:14" ht="13.5">
      <c r="B87" s="123"/>
      <c r="C87" s="124"/>
      <c r="D87" s="124"/>
      <c r="E87" s="124"/>
      <c r="F87" s="124"/>
      <c r="G87" s="71" t="s">
        <v>250</v>
      </c>
      <c r="H87" s="124"/>
      <c r="I87" s="124"/>
      <c r="J87" s="124"/>
      <c r="K87" s="124"/>
      <c r="L87" s="124"/>
      <c r="M87" s="124"/>
      <c r="N87" s="125"/>
    </row>
    <row r="88" spans="2:14" ht="13.5">
      <c r="B88" s="123"/>
      <c r="C88" s="124"/>
      <c r="D88" s="124"/>
      <c r="E88" s="124"/>
      <c r="F88" s="124"/>
      <c r="G88" s="71" t="s">
        <v>251</v>
      </c>
      <c r="J88" s="124"/>
      <c r="K88" s="124"/>
      <c r="L88" s="124"/>
      <c r="M88" s="124"/>
      <c r="N88" s="125"/>
    </row>
    <row r="89" spans="2:14">
      <c r="B89" s="49"/>
      <c r="C89" s="81"/>
      <c r="D89" s="81"/>
      <c r="E89" s="81"/>
      <c r="F89" s="81"/>
      <c r="G89" s="71" t="s">
        <v>252</v>
      </c>
      <c r="H89" s="81"/>
      <c r="I89" s="81"/>
      <c r="J89" s="81"/>
      <c r="K89" s="81"/>
      <c r="L89" s="81"/>
      <c r="M89" s="81"/>
      <c r="N89" s="79"/>
    </row>
    <row r="90" spans="2:14">
      <c r="B90" s="85"/>
      <c r="C90" s="66"/>
      <c r="D90" s="66"/>
      <c r="E90" s="66"/>
      <c r="F90" s="66"/>
      <c r="G90" s="66" t="s">
        <v>253</v>
      </c>
      <c r="H90" s="66"/>
      <c r="I90" s="66"/>
      <c r="J90" s="66"/>
      <c r="K90" s="66"/>
      <c r="L90" s="66"/>
      <c r="M90" s="66"/>
      <c r="N90" s="73"/>
    </row>
    <row r="91" spans="2:14" ht="13.5">
      <c r="B91" s="92" t="s">
        <v>254</v>
      </c>
      <c r="C91" s="93"/>
      <c r="D91" s="93"/>
      <c r="E91" s="93"/>
      <c r="F91" s="93"/>
      <c r="G91" s="93"/>
      <c r="H91" s="93"/>
      <c r="I91" s="93"/>
      <c r="J91" s="93"/>
      <c r="K91" s="93"/>
      <c r="L91" s="93"/>
      <c r="M91" s="93"/>
      <c r="N91" s="94"/>
    </row>
    <row r="92" spans="2:14">
      <c r="B92" s="1874"/>
      <c r="C92" s="1875"/>
      <c r="D92" s="1875"/>
      <c r="E92" s="1875"/>
      <c r="F92" s="1875"/>
      <c r="G92" s="1875"/>
      <c r="H92" s="1875"/>
      <c r="I92" s="1875"/>
      <c r="J92" s="1875"/>
      <c r="K92" s="1875"/>
      <c r="L92" s="1875"/>
      <c r="M92" s="1875"/>
      <c r="N92" s="1876"/>
    </row>
    <row r="93" spans="2:14">
      <c r="B93" s="1874"/>
      <c r="C93" s="1875"/>
      <c r="D93" s="1875"/>
      <c r="E93" s="1875"/>
      <c r="F93" s="1875"/>
      <c r="G93" s="1875"/>
      <c r="H93" s="1875"/>
      <c r="I93" s="1875"/>
      <c r="J93" s="1875"/>
      <c r="K93" s="1875"/>
      <c r="L93" s="1875"/>
      <c r="M93" s="1875"/>
      <c r="N93" s="1876"/>
    </row>
    <row r="94" spans="2:14">
      <c r="B94" s="49"/>
      <c r="C94" s="81"/>
      <c r="D94" s="81"/>
      <c r="E94" s="81"/>
      <c r="F94" s="81"/>
      <c r="G94" s="81"/>
      <c r="H94" s="81"/>
      <c r="I94" s="81"/>
      <c r="J94" s="81"/>
      <c r="K94" s="81"/>
      <c r="L94" s="81"/>
      <c r="M94" s="81"/>
      <c r="N94" s="79"/>
    </row>
    <row r="95" spans="2:14">
      <c r="B95" s="406" t="s">
        <v>719</v>
      </c>
      <c r="C95" s="81"/>
      <c r="D95" s="81"/>
      <c r="E95" s="81"/>
      <c r="F95" s="81"/>
      <c r="G95" s="81"/>
      <c r="H95" s="81"/>
      <c r="I95" s="81"/>
      <c r="J95" s="81"/>
      <c r="K95" s="81"/>
      <c r="L95" s="81"/>
      <c r="M95" s="81"/>
      <c r="N95" s="79"/>
    </row>
    <row r="96" spans="2:14" ht="12.75" customHeight="1">
      <c r="B96" s="1871" t="s">
        <v>720</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1871" t="s">
        <v>721</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49"/>
      <c r="C100" s="81"/>
      <c r="D100" s="81"/>
      <c r="E100" s="81"/>
      <c r="F100" s="81"/>
      <c r="G100" s="81"/>
      <c r="H100" s="81"/>
      <c r="I100" s="81"/>
      <c r="J100" s="81"/>
      <c r="K100" s="81"/>
      <c r="L100" s="81"/>
      <c r="M100" s="81"/>
      <c r="N100" s="79"/>
    </row>
    <row r="101" spans="2:14">
      <c r="B101" s="85"/>
      <c r="C101" s="66"/>
      <c r="D101" s="66"/>
      <c r="E101" s="66"/>
      <c r="F101" s="66"/>
      <c r="G101" s="71" t="s">
        <v>249</v>
      </c>
      <c r="H101" s="66"/>
      <c r="I101" s="66"/>
      <c r="J101" s="66"/>
      <c r="K101" s="66"/>
      <c r="L101" s="66"/>
      <c r="M101" s="66"/>
      <c r="N101" s="73"/>
    </row>
    <row r="102" spans="2:14">
      <c r="B102" s="85"/>
      <c r="C102" s="66"/>
      <c r="D102" s="66"/>
      <c r="E102" s="66"/>
      <c r="F102" s="66"/>
      <c r="G102" s="66" t="s">
        <v>250</v>
      </c>
      <c r="H102" s="86"/>
      <c r="I102" s="86"/>
      <c r="J102" s="86"/>
      <c r="K102" s="66"/>
      <c r="L102" s="66"/>
      <c r="M102" s="66"/>
      <c r="N102" s="73"/>
    </row>
    <row r="103" spans="2:14">
      <c r="B103" s="85"/>
      <c r="C103" s="66"/>
      <c r="D103" s="66"/>
      <c r="E103" s="66"/>
      <c r="F103" s="66"/>
      <c r="G103" s="66" t="s">
        <v>255</v>
      </c>
      <c r="H103" s="80"/>
      <c r="I103" s="80"/>
      <c r="J103" s="80"/>
      <c r="M103" s="66"/>
      <c r="N103" s="73"/>
    </row>
    <row r="104" spans="2:14">
      <c r="B104" s="127"/>
      <c r="C104" s="81"/>
      <c r="D104" s="81"/>
      <c r="E104" s="81"/>
      <c r="F104" s="81"/>
      <c r="G104" s="66" t="s">
        <v>252</v>
      </c>
      <c r="K104" s="81"/>
      <c r="L104" s="81"/>
      <c r="M104" s="81"/>
      <c r="N104" s="79"/>
    </row>
    <row r="105" spans="2:14" ht="17.25" customHeight="1">
      <c r="B105" s="138" t="s">
        <v>722</v>
      </c>
      <c r="C105" s="128"/>
      <c r="D105" s="128"/>
      <c r="E105" s="66"/>
      <c r="F105" s="66"/>
      <c r="G105" s="66"/>
      <c r="H105" s="66"/>
      <c r="I105" s="66"/>
      <c r="J105" s="1863"/>
      <c r="K105" s="1863"/>
      <c r="L105" s="1863"/>
      <c r="M105" s="1863"/>
      <c r="N105" s="1864"/>
    </row>
    <row r="106" spans="2:14"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924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9249" r:id="rId3"/>
      </mc:Fallback>
    </mc:AlternateContent>
  </oleObjects>
  <mc:AlternateContent xmlns:mc="http://schemas.openxmlformats.org/markup-compatibility/2006">
    <mc:Choice Requires="x14">
      <controls>
        <mc:AlternateContent xmlns:mc="http://schemas.openxmlformats.org/markup-compatibility/2006">
          <mc:Choice Requires="x14">
            <control shapeId="30925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925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dimension ref="B1:N105"/>
  <sheetViews>
    <sheetView showGridLines="0" topLeftCell="A31" zoomScale="70" zoomScaleNormal="70" workbookViewId="0">
      <selection sqref="A1:XFD1048576"/>
    </sheetView>
  </sheetViews>
  <sheetFormatPr baseColWidth="10" defaultColWidth="11.42578125" defaultRowHeight="12.75"/>
  <cols>
    <col min="1" max="1" width="3.140625" style="32" customWidth="1"/>
    <col min="2" max="10" width="11.42578125" style="32"/>
    <col min="11" max="11" width="12.28515625" style="32" customWidth="1"/>
    <col min="12" max="13" width="11.42578125" style="32"/>
    <col min="14" max="14" width="12.140625" style="32" customWidth="1"/>
    <col min="15" max="16384" width="11.42578125" style="32"/>
  </cols>
  <sheetData>
    <row r="1" spans="2:14" ht="13.5" thickBot="1"/>
    <row r="2" spans="2:14" s="39" customFormat="1">
      <c r="B2" s="1772"/>
      <c r="C2" s="1774"/>
      <c r="D2" s="1775"/>
      <c r="E2" s="1775"/>
      <c r="F2" s="1775"/>
      <c r="G2" s="1775"/>
      <c r="H2" s="1775"/>
      <c r="I2" s="1775"/>
      <c r="J2" s="1776"/>
      <c r="K2" s="1777" t="s">
        <v>228</v>
      </c>
      <c r="L2" s="1779" t="s">
        <v>716</v>
      </c>
      <c r="M2" s="1780"/>
      <c r="N2" s="1781"/>
    </row>
    <row r="3" spans="2:14" s="39" customFormat="1" ht="13.5">
      <c r="B3" s="1773"/>
      <c r="C3" s="1785" t="s">
        <v>69</v>
      </c>
      <c r="D3" s="1786"/>
      <c r="E3" s="1786"/>
      <c r="F3" s="1786"/>
      <c r="G3" s="1786"/>
      <c r="H3" s="1786"/>
      <c r="I3" s="1786"/>
      <c r="J3" s="1787"/>
      <c r="K3" s="1778"/>
      <c r="L3" s="1782"/>
      <c r="M3" s="1783"/>
      <c r="N3" s="1784"/>
    </row>
    <row r="4" spans="2:14" s="39" customFormat="1" ht="13.5">
      <c r="B4" s="1773"/>
      <c r="C4" s="1788" t="s">
        <v>303</v>
      </c>
      <c r="D4" s="1789"/>
      <c r="E4" s="1789"/>
      <c r="F4" s="1789"/>
      <c r="G4" s="1789"/>
      <c r="H4" s="1789"/>
      <c r="I4" s="1789"/>
      <c r="J4" s="1790"/>
      <c r="K4" s="1791" t="s">
        <v>230</v>
      </c>
      <c r="L4" s="1793">
        <v>2</v>
      </c>
      <c r="M4" s="1794"/>
      <c r="N4" s="1795"/>
    </row>
    <row r="5" spans="2:14" s="39" customFormat="1">
      <c r="B5" s="1773"/>
      <c r="C5" s="1799" t="s">
        <v>715</v>
      </c>
      <c r="D5" s="1800"/>
      <c r="E5" s="1800"/>
      <c r="F5" s="1800"/>
      <c r="G5" s="1800"/>
      <c r="H5" s="1800"/>
      <c r="I5" s="1800"/>
      <c r="J5" s="1801"/>
      <c r="K5" s="1792"/>
      <c r="L5" s="1796"/>
      <c r="M5" s="1797"/>
      <c r="N5" s="1798"/>
    </row>
    <row r="6" spans="2:14" s="39" customFormat="1" ht="12.75" customHeight="1">
      <c r="B6" s="1773"/>
      <c r="C6" s="1805" t="s">
        <v>304</v>
      </c>
      <c r="D6" s="1806"/>
      <c r="E6" s="1806"/>
      <c r="F6" s="1806"/>
      <c r="G6" s="1806"/>
      <c r="H6" s="1806"/>
      <c r="I6" s="1806"/>
      <c r="J6" s="1807"/>
      <c r="K6" s="1791" t="s">
        <v>232</v>
      </c>
      <c r="L6" s="1791">
        <v>1</v>
      </c>
      <c r="M6" s="1791" t="s">
        <v>233</v>
      </c>
      <c r="N6" s="1803">
        <v>1</v>
      </c>
    </row>
    <row r="7" spans="2:14" s="39" customFormat="1">
      <c r="B7" s="1773"/>
      <c r="C7" s="1805"/>
      <c r="D7" s="1806"/>
      <c r="E7" s="1806"/>
      <c r="F7" s="1806"/>
      <c r="G7" s="1806"/>
      <c r="H7" s="1806"/>
      <c r="I7" s="1806"/>
      <c r="J7" s="1807"/>
      <c r="K7" s="1802"/>
      <c r="L7" s="1802"/>
      <c r="M7" s="1802"/>
      <c r="N7" s="1804"/>
    </row>
    <row r="8" spans="2:14" s="39" customFormat="1">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I12" s="39"/>
      <c r="J12" s="403"/>
      <c r="K12" s="51"/>
      <c r="L12" s="39"/>
      <c r="M12" s="39"/>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ht="12.75" customHeight="1">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371</v>
      </c>
      <c r="C34" s="1885" t="s">
        <v>372</v>
      </c>
      <c r="D34" s="1887"/>
      <c r="E34" s="1887"/>
      <c r="F34" s="1887"/>
      <c r="G34" s="1887"/>
      <c r="H34" s="1887"/>
      <c r="I34" s="1887"/>
      <c r="J34" s="1887"/>
      <c r="K34" s="1886"/>
      <c r="L34" s="1885" t="s">
        <v>81</v>
      </c>
      <c r="M34" s="1886"/>
      <c r="N34" s="177">
        <v>10563</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77</v>
      </c>
      <c r="C39" s="1840"/>
      <c r="D39" s="1840"/>
      <c r="E39" s="1840"/>
      <c r="F39" s="1841"/>
      <c r="G39" s="1842"/>
      <c r="H39" s="1841"/>
      <c r="I39" s="1842"/>
      <c r="J39" s="1841"/>
      <c r="K39" s="88"/>
      <c r="L39" s="1922"/>
      <c r="M39" s="1923"/>
      <c r="N39" s="89">
        <v>70.904718750000015</v>
      </c>
    </row>
    <row r="40" spans="2:14">
      <c r="B40" s="1839"/>
      <c r="C40" s="1840"/>
      <c r="D40" s="1840"/>
      <c r="E40" s="1840"/>
      <c r="F40" s="1841"/>
      <c r="G40" s="1842"/>
      <c r="H40" s="1841"/>
      <c r="I40" s="1842"/>
      <c r="J40" s="1841"/>
      <c r="K40" s="88"/>
      <c r="L40" s="1920"/>
      <c r="M40" s="1921"/>
      <c r="N40" s="89"/>
    </row>
    <row r="41" spans="2:14" ht="13.5" thickBot="1">
      <c r="B41" s="1839"/>
      <c r="C41" s="1840"/>
      <c r="D41" s="1840"/>
      <c r="E41" s="1840"/>
      <c r="F41" s="1841"/>
      <c r="G41" s="1842"/>
      <c r="H41" s="1841"/>
      <c r="I41" s="1842"/>
      <c r="J41" s="1841"/>
      <c r="K41" s="88"/>
      <c r="L41" s="1908"/>
      <c r="M41" s="1909"/>
      <c r="N41" s="89"/>
    </row>
    <row r="42" spans="2:14" ht="14.25" thickBot="1">
      <c r="B42" s="1848" t="s">
        <v>188</v>
      </c>
      <c r="C42" s="1849"/>
      <c r="D42" s="1849"/>
      <c r="E42" s="1849"/>
      <c r="F42" s="1849"/>
      <c r="G42" s="1849"/>
      <c r="H42" s="1849"/>
      <c r="I42" s="1849"/>
      <c r="J42" s="1849"/>
      <c r="K42" s="1849"/>
      <c r="L42" s="1849"/>
      <c r="M42" s="1850"/>
      <c r="N42" s="91">
        <v>70.904718750000015</v>
      </c>
    </row>
    <row r="43" spans="2:14">
      <c r="B43" s="1766" t="s">
        <v>189</v>
      </c>
      <c r="C43" s="1767"/>
      <c r="D43" s="1767"/>
      <c r="E43" s="1767"/>
      <c r="F43" s="1767"/>
      <c r="G43" s="1767"/>
      <c r="H43" s="1767"/>
      <c r="I43" s="1767"/>
      <c r="J43" s="1767"/>
      <c r="K43" s="1767"/>
      <c r="L43" s="1767"/>
      <c r="M43" s="1767"/>
      <c r="N43" s="1768"/>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ht="13.5">
      <c r="B47" s="1839" t="s">
        <v>276</v>
      </c>
      <c r="C47" s="1840"/>
      <c r="D47" s="1840"/>
      <c r="E47" s="1840"/>
      <c r="F47" s="1840"/>
      <c r="G47" s="1840"/>
      <c r="H47" s="1840"/>
      <c r="I47" s="1841"/>
      <c r="J47" s="151" t="s">
        <v>31</v>
      </c>
      <c r="K47" s="152">
        <v>1.03</v>
      </c>
      <c r="L47" s="1852">
        <v>105500</v>
      </c>
      <c r="M47" s="1853"/>
      <c r="N47" s="89">
        <v>108665</v>
      </c>
    </row>
    <row r="48" spans="2:14" ht="13.5">
      <c r="B48" s="1839"/>
      <c r="C48" s="1840"/>
      <c r="D48" s="1840"/>
      <c r="E48" s="1840"/>
      <c r="F48" s="1840"/>
      <c r="G48" s="1840"/>
      <c r="H48" s="1840"/>
      <c r="I48" s="1841"/>
      <c r="J48" s="151"/>
      <c r="K48" s="152"/>
      <c r="L48" s="1852"/>
      <c r="M48" s="1853"/>
      <c r="N48" s="89"/>
    </row>
    <row r="49" spans="2:14" ht="13.5">
      <c r="B49" s="1839"/>
      <c r="C49" s="1840"/>
      <c r="D49" s="1840"/>
      <c r="E49" s="1840"/>
      <c r="F49" s="1840"/>
      <c r="G49" s="1840"/>
      <c r="H49" s="1840"/>
      <c r="I49" s="1841"/>
      <c r="J49" s="151"/>
      <c r="K49" s="153"/>
      <c r="L49" s="1852"/>
      <c r="M49" s="1853"/>
      <c r="N49" s="89"/>
    </row>
    <row r="50" spans="2:14">
      <c r="B50" s="1839"/>
      <c r="C50" s="1840"/>
      <c r="D50" s="1840"/>
      <c r="E50" s="1840"/>
      <c r="F50" s="1840"/>
      <c r="G50" s="1840"/>
      <c r="H50" s="1840"/>
      <c r="I50" s="1841"/>
      <c r="J50" s="131"/>
      <c r="K50" s="132"/>
      <c r="L50" s="1852"/>
      <c r="M50" s="1853"/>
      <c r="N50" s="89"/>
    </row>
    <row r="51" spans="2:14" ht="13.5" thickBot="1">
      <c r="B51" s="1839"/>
      <c r="C51" s="1840"/>
      <c r="D51" s="1840"/>
      <c r="E51" s="1840"/>
      <c r="F51" s="1840"/>
      <c r="G51" s="1840"/>
      <c r="H51" s="1840"/>
      <c r="I51" s="1841"/>
      <c r="J51" s="131"/>
      <c r="K51" s="144"/>
      <c r="L51" s="1852"/>
      <c r="M51" s="1853"/>
      <c r="N51" s="89"/>
    </row>
    <row r="52" spans="2:14" ht="14.25" thickBot="1">
      <c r="B52" s="1848" t="s">
        <v>188</v>
      </c>
      <c r="C52" s="1849"/>
      <c r="D52" s="1849"/>
      <c r="E52" s="1849"/>
      <c r="F52" s="1849"/>
      <c r="G52" s="1849"/>
      <c r="H52" s="1849"/>
      <c r="I52" s="1849"/>
      <c r="J52" s="1849"/>
      <c r="K52" s="1849"/>
      <c r="L52" s="1849"/>
      <c r="M52" s="1850"/>
      <c r="N52" s="99">
        <v>108665</v>
      </c>
    </row>
    <row r="53" spans="2:14">
      <c r="B53" s="1766" t="s">
        <v>51</v>
      </c>
      <c r="C53" s="1767"/>
      <c r="D53" s="1767"/>
      <c r="E53" s="1767"/>
      <c r="F53" s="1767"/>
      <c r="G53" s="1767"/>
      <c r="H53" s="1767"/>
      <c r="I53" s="1767"/>
      <c r="J53" s="1767"/>
      <c r="K53" s="1767"/>
      <c r="L53" s="1767"/>
      <c r="M53" s="1767"/>
      <c r="N53" s="1768"/>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81" t="s">
        <v>194</v>
      </c>
      <c r="K56" s="182" t="s">
        <v>310</v>
      </c>
      <c r="L56" s="1829" t="s">
        <v>39</v>
      </c>
      <c r="M56" s="1832"/>
      <c r="N56" s="179" t="s">
        <v>191</v>
      </c>
    </row>
    <row r="57" spans="2:14">
      <c r="B57" s="1839"/>
      <c r="C57" s="1840"/>
      <c r="D57" s="1840"/>
      <c r="E57" s="1840"/>
      <c r="F57" s="1840"/>
      <c r="G57" s="1840"/>
      <c r="H57" s="1840"/>
      <c r="I57" s="96"/>
      <c r="J57" s="133"/>
      <c r="K57" s="134"/>
      <c r="L57" s="1859"/>
      <c r="M57" s="1860"/>
      <c r="N57" s="135"/>
    </row>
    <row r="58" spans="2:14">
      <c r="B58" s="1839"/>
      <c r="C58" s="1840"/>
      <c r="D58" s="1840"/>
      <c r="E58" s="1840"/>
      <c r="F58" s="1840"/>
      <c r="G58" s="1840"/>
      <c r="H58" s="1840"/>
      <c r="I58" s="96"/>
      <c r="J58" s="133"/>
      <c r="K58" s="134"/>
      <c r="L58" s="1859"/>
      <c r="M58" s="1860"/>
      <c r="N58" s="135"/>
    </row>
    <row r="59" spans="2:14" ht="13.5" thickBot="1">
      <c r="B59" s="1834"/>
      <c r="C59" s="1835"/>
      <c r="D59" s="1835"/>
      <c r="E59" s="1835"/>
      <c r="F59" s="1835"/>
      <c r="G59" s="1835"/>
      <c r="H59" s="1835"/>
      <c r="I59" s="136"/>
      <c r="J59" s="137"/>
      <c r="K59" s="100"/>
      <c r="L59" s="1837"/>
      <c r="M59" s="1838"/>
      <c r="N59" s="135"/>
    </row>
    <row r="60" spans="2:14" ht="14.25" thickBot="1">
      <c r="B60" s="1848" t="s">
        <v>188</v>
      </c>
      <c r="C60" s="1849"/>
      <c r="D60" s="1849"/>
      <c r="E60" s="1849"/>
      <c r="F60" s="1849"/>
      <c r="G60" s="1849"/>
      <c r="H60" s="1849"/>
      <c r="I60" s="1849"/>
      <c r="J60" s="1849"/>
      <c r="K60" s="1849"/>
      <c r="L60" s="1849"/>
      <c r="M60" s="1850"/>
      <c r="N60" s="112">
        <v>0</v>
      </c>
    </row>
    <row r="61" spans="2:14">
      <c r="B61" s="1766" t="s">
        <v>52</v>
      </c>
      <c r="C61" s="1767"/>
      <c r="D61" s="1767"/>
      <c r="E61" s="1767"/>
      <c r="F61" s="1767"/>
      <c r="G61" s="1767"/>
      <c r="H61" s="1767"/>
      <c r="I61" s="1767"/>
      <c r="J61" s="1767"/>
      <c r="K61" s="1767"/>
      <c r="L61" s="1767"/>
      <c r="M61" s="1767"/>
      <c r="N61" s="1768"/>
    </row>
    <row r="62" spans="2:14">
      <c r="B62" s="1766"/>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4">
      <c r="B65" s="149" t="s">
        <v>62</v>
      </c>
      <c r="C65" s="150"/>
      <c r="D65" s="150"/>
      <c r="E65" s="150"/>
      <c r="F65" s="150"/>
      <c r="G65" s="150"/>
      <c r="H65" s="150"/>
      <c r="I65" s="107">
        <v>82200</v>
      </c>
      <c r="J65" s="108">
        <v>1.85</v>
      </c>
      <c r="K65" s="109">
        <v>152070</v>
      </c>
      <c r="L65" s="1861">
        <v>160</v>
      </c>
      <c r="M65" s="1862"/>
      <c r="N65" s="110">
        <v>950.4375</v>
      </c>
    </row>
    <row r="66" spans="2:14">
      <c r="B66" s="149" t="s">
        <v>48</v>
      </c>
      <c r="C66" s="150"/>
      <c r="D66" s="150"/>
      <c r="E66" s="150"/>
      <c r="F66" s="150"/>
      <c r="G66" s="150"/>
      <c r="H66" s="150"/>
      <c r="I66" s="107">
        <v>40446</v>
      </c>
      <c r="J66" s="108">
        <v>1.85</v>
      </c>
      <c r="K66" s="109">
        <v>74825.100000000006</v>
      </c>
      <c r="L66" s="1861">
        <v>160</v>
      </c>
      <c r="M66" s="1862"/>
      <c r="N66" s="110">
        <v>467.65687500000001</v>
      </c>
    </row>
    <row r="67" spans="2:14">
      <c r="B67" s="149"/>
      <c r="C67" s="150"/>
      <c r="D67" s="150"/>
      <c r="E67" s="150"/>
      <c r="F67" s="150"/>
      <c r="G67" s="150"/>
      <c r="H67" s="150"/>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1418.0943750000001</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110153.99909375</v>
      </c>
    </row>
    <row r="72" spans="2:14">
      <c r="B72" s="1766" t="s">
        <v>53</v>
      </c>
      <c r="C72" s="1767"/>
      <c r="D72" s="1767"/>
      <c r="E72" s="1767"/>
      <c r="F72" s="1767"/>
      <c r="G72" s="1767"/>
      <c r="H72" s="1767"/>
      <c r="I72" s="1767"/>
      <c r="J72" s="1767"/>
      <c r="K72" s="1767"/>
      <c r="L72" s="1767"/>
      <c r="M72" s="1767"/>
      <c r="N72" s="1768"/>
    </row>
    <row r="73" spans="2:14">
      <c r="B73" s="1766"/>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81"/>
      <c r="J75" s="187"/>
      <c r="K75" s="184" t="s">
        <v>54</v>
      </c>
      <c r="L75" s="1857" t="s">
        <v>55</v>
      </c>
      <c r="M75" s="1858"/>
      <c r="N75" s="185"/>
    </row>
    <row r="76" spans="2:14">
      <c r="B76" s="1839" t="s">
        <v>44</v>
      </c>
      <c r="C76" s="1840"/>
      <c r="D76" s="1840"/>
      <c r="E76" s="1840"/>
      <c r="F76" s="1840"/>
      <c r="G76" s="1840"/>
      <c r="H76" s="1840"/>
      <c r="I76" s="113"/>
      <c r="J76" s="114"/>
      <c r="K76" s="192">
        <v>0.22</v>
      </c>
      <c r="L76" s="1877">
        <v>24233.879800625</v>
      </c>
      <c r="M76" s="1878"/>
      <c r="N76" s="115"/>
    </row>
    <row r="77" spans="2:14">
      <c r="B77" s="116" t="s">
        <v>56</v>
      </c>
      <c r="C77" s="117"/>
      <c r="D77" s="117"/>
      <c r="E77" s="117"/>
      <c r="F77" s="117"/>
      <c r="G77" s="117"/>
      <c r="H77" s="117"/>
      <c r="I77" s="113"/>
      <c r="J77" s="114"/>
      <c r="K77" s="192">
        <v>0.05</v>
      </c>
      <c r="L77" s="1877">
        <v>5507.6999546875004</v>
      </c>
      <c r="M77" s="1878"/>
      <c r="N77" s="115"/>
    </row>
    <row r="78" spans="2:14" ht="13.5" thickBot="1">
      <c r="B78" s="118" t="s">
        <v>45</v>
      </c>
      <c r="C78" s="119"/>
      <c r="D78" s="119"/>
      <c r="E78" s="119"/>
      <c r="F78" s="119"/>
      <c r="G78" s="119"/>
      <c r="H78" s="119"/>
      <c r="I78" s="120"/>
      <c r="J78" s="121"/>
      <c r="K78" s="192">
        <v>0.05</v>
      </c>
      <c r="L78" s="1879">
        <v>5507.6999546875004</v>
      </c>
      <c r="M78" s="1880"/>
      <c r="N78" s="115"/>
    </row>
    <row r="79" spans="2:14" ht="14.25" thickBot="1">
      <c r="B79" s="1848" t="s">
        <v>188</v>
      </c>
      <c r="C79" s="1849"/>
      <c r="D79" s="1849"/>
      <c r="E79" s="1849"/>
      <c r="F79" s="1849"/>
      <c r="G79" s="1849"/>
      <c r="H79" s="1849"/>
      <c r="I79" s="1849"/>
      <c r="J79" s="1849"/>
      <c r="K79" s="1849"/>
      <c r="L79" s="1849"/>
      <c r="M79" s="1850"/>
      <c r="N79" s="122">
        <v>35249.279710000003</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145403</v>
      </c>
    </row>
    <row r="82" spans="2:14" s="39" customFormat="1">
      <c r="B82" s="64"/>
      <c r="C82" s="65"/>
      <c r="D82" s="65"/>
      <c r="E82" s="65"/>
      <c r="F82" s="65"/>
      <c r="G82" s="65"/>
      <c r="H82" s="65"/>
      <c r="I82" s="65"/>
      <c r="J82" s="65"/>
      <c r="K82" s="65"/>
      <c r="L82" s="65"/>
      <c r="M82" s="65"/>
      <c r="N82" s="67"/>
    </row>
    <row r="83" spans="2:14" s="39" customFormat="1">
      <c r="B83" s="85"/>
      <c r="C83" s="66"/>
      <c r="D83" s="66"/>
      <c r="E83" s="66"/>
      <c r="F83" s="66"/>
      <c r="G83" s="66"/>
      <c r="H83" s="66"/>
      <c r="I83" s="66"/>
      <c r="J83" s="66"/>
      <c r="K83" s="66"/>
      <c r="L83" s="66"/>
      <c r="M83" s="66"/>
      <c r="N83" s="73"/>
    </row>
    <row r="84" spans="2:14" s="39" customFormat="1">
      <c r="B84" s="85"/>
      <c r="C84" s="66"/>
      <c r="D84" s="66"/>
      <c r="E84" s="66"/>
      <c r="F84" s="66"/>
      <c r="G84" s="66"/>
      <c r="H84" s="66"/>
      <c r="I84" s="66"/>
      <c r="J84" s="66"/>
      <c r="K84" s="66"/>
      <c r="L84" s="66"/>
      <c r="M84" s="66"/>
      <c r="N84" s="73"/>
    </row>
    <row r="85" spans="2:14" s="39" customFormat="1">
      <c r="B85" s="85"/>
      <c r="C85" s="66"/>
      <c r="D85" s="66"/>
      <c r="E85" s="66"/>
      <c r="F85" s="66"/>
      <c r="G85" s="71" t="s">
        <v>249</v>
      </c>
      <c r="H85" s="71"/>
      <c r="I85" s="71"/>
      <c r="J85" s="71"/>
      <c r="K85" s="66"/>
      <c r="L85" s="66"/>
      <c r="M85" s="66"/>
      <c r="N85" s="73"/>
    </row>
    <row r="86" spans="2:14" s="39" customFormat="1" ht="13.5">
      <c r="B86" s="123"/>
      <c r="C86" s="124"/>
      <c r="D86" s="124"/>
      <c r="E86" s="124"/>
      <c r="F86" s="124"/>
      <c r="G86" s="71" t="s">
        <v>250</v>
      </c>
      <c r="H86" s="124"/>
      <c r="I86" s="124"/>
      <c r="J86" s="124"/>
      <c r="K86" s="124"/>
      <c r="L86" s="124"/>
      <c r="M86" s="124"/>
      <c r="N86" s="125"/>
    </row>
    <row r="87" spans="2:14" s="39" customFormat="1" ht="13.5">
      <c r="B87" s="123"/>
      <c r="C87" s="124"/>
      <c r="D87" s="124"/>
      <c r="E87" s="124"/>
      <c r="F87" s="124"/>
      <c r="G87" s="71" t="s">
        <v>251</v>
      </c>
      <c r="J87" s="124"/>
      <c r="K87" s="124"/>
      <c r="L87" s="124"/>
      <c r="M87" s="124"/>
      <c r="N87" s="125"/>
    </row>
    <row r="88" spans="2:14" s="39" customFormat="1">
      <c r="B88" s="49"/>
      <c r="C88" s="81"/>
      <c r="D88" s="81"/>
      <c r="E88" s="81"/>
      <c r="F88" s="81"/>
      <c r="G88" s="71" t="s">
        <v>252</v>
      </c>
      <c r="H88" s="81"/>
      <c r="I88" s="81"/>
      <c r="J88" s="81"/>
      <c r="K88" s="81"/>
      <c r="L88" s="81"/>
      <c r="M88" s="81"/>
      <c r="N88" s="79"/>
    </row>
    <row r="89" spans="2:14" s="39" customFormat="1">
      <c r="B89" s="85"/>
      <c r="C89" s="66"/>
      <c r="D89" s="66"/>
      <c r="E89" s="66"/>
      <c r="F89" s="66"/>
      <c r="G89" s="66" t="s">
        <v>253</v>
      </c>
      <c r="H89" s="66"/>
      <c r="I89" s="66"/>
      <c r="J89" s="66"/>
      <c r="K89" s="66"/>
      <c r="L89" s="66"/>
      <c r="M89" s="66"/>
      <c r="N89" s="73"/>
    </row>
    <row r="90" spans="2:14" s="39" customFormat="1" ht="13.5">
      <c r="B90" s="92" t="s">
        <v>254</v>
      </c>
      <c r="C90" s="93"/>
      <c r="D90" s="93"/>
      <c r="E90" s="93"/>
      <c r="F90" s="93"/>
      <c r="G90" s="93"/>
      <c r="H90" s="93"/>
      <c r="I90" s="93"/>
      <c r="J90" s="93"/>
      <c r="K90" s="93"/>
      <c r="L90" s="93"/>
      <c r="M90" s="93"/>
      <c r="N90" s="94"/>
    </row>
    <row r="91" spans="2:14" s="39" customFormat="1">
      <c r="B91" s="1874"/>
      <c r="C91" s="1875"/>
      <c r="D91" s="1875"/>
      <c r="E91" s="1875"/>
      <c r="F91" s="1875"/>
      <c r="G91" s="1875"/>
      <c r="H91" s="1875"/>
      <c r="I91" s="1875"/>
      <c r="J91" s="1875"/>
      <c r="K91" s="1875"/>
      <c r="L91" s="1875"/>
      <c r="M91" s="1875"/>
      <c r="N91" s="1876"/>
    </row>
    <row r="92" spans="2:14" s="39" customFormat="1">
      <c r="B92" s="1874"/>
      <c r="C92" s="1875"/>
      <c r="D92" s="1875"/>
      <c r="E92" s="1875"/>
      <c r="F92" s="1875"/>
      <c r="G92" s="1875"/>
      <c r="H92" s="1875"/>
      <c r="I92" s="1875"/>
      <c r="J92" s="1875"/>
      <c r="K92" s="1875"/>
      <c r="L92" s="1875"/>
      <c r="M92" s="1875"/>
      <c r="N92" s="1876"/>
    </row>
    <row r="93" spans="2:14" s="39" customFormat="1">
      <c r="B93" s="49"/>
      <c r="C93" s="81"/>
      <c r="D93" s="81"/>
      <c r="E93" s="81"/>
      <c r="F93" s="81"/>
      <c r="G93" s="81"/>
      <c r="H93" s="81"/>
      <c r="I93" s="81"/>
      <c r="J93" s="81"/>
      <c r="K93" s="81"/>
      <c r="L93" s="81"/>
      <c r="M93" s="81"/>
      <c r="N93" s="79"/>
    </row>
    <row r="94" spans="2:14" s="39" customFormat="1">
      <c r="B94" s="406" t="s">
        <v>719</v>
      </c>
      <c r="C94" s="81"/>
      <c r="D94" s="81"/>
      <c r="E94" s="81"/>
      <c r="F94" s="81"/>
      <c r="G94" s="81"/>
      <c r="H94" s="81"/>
      <c r="I94" s="81"/>
      <c r="J94" s="81"/>
      <c r="K94" s="81"/>
      <c r="L94" s="81"/>
      <c r="M94" s="81"/>
      <c r="N94" s="79"/>
    </row>
    <row r="95" spans="2:14" s="39" customFormat="1" ht="12.75" customHeight="1">
      <c r="B95" s="1871" t="s">
        <v>720</v>
      </c>
      <c r="C95" s="1872"/>
      <c r="D95" s="1872"/>
      <c r="E95" s="1872"/>
      <c r="F95" s="1872"/>
      <c r="G95" s="1872"/>
      <c r="H95" s="1872"/>
      <c r="I95" s="1872"/>
      <c r="J95" s="1872"/>
      <c r="K95" s="1872"/>
      <c r="L95" s="1872"/>
      <c r="M95" s="1872"/>
      <c r="N95" s="1873"/>
    </row>
    <row r="96" spans="2:14" s="39" customFormat="1">
      <c r="B96" s="1871"/>
      <c r="C96" s="1872"/>
      <c r="D96" s="1872"/>
      <c r="E96" s="1872"/>
      <c r="F96" s="1872"/>
      <c r="G96" s="1872"/>
      <c r="H96" s="1872"/>
      <c r="I96" s="1872"/>
      <c r="J96" s="1872"/>
      <c r="K96" s="1872"/>
      <c r="L96" s="1872"/>
      <c r="M96" s="1872"/>
      <c r="N96" s="1873"/>
    </row>
    <row r="97" spans="2:14" s="39" customFormat="1">
      <c r="B97" s="1871" t="s">
        <v>721</v>
      </c>
      <c r="C97" s="1872"/>
      <c r="D97" s="1872"/>
      <c r="E97" s="1872"/>
      <c r="F97" s="1872"/>
      <c r="G97" s="1872"/>
      <c r="H97" s="1872"/>
      <c r="I97" s="1872"/>
      <c r="J97" s="1872"/>
      <c r="K97" s="1872"/>
      <c r="L97" s="1872"/>
      <c r="M97" s="1872"/>
      <c r="N97" s="1873"/>
    </row>
    <row r="98" spans="2:14" s="39" customFormat="1">
      <c r="B98" s="1871"/>
      <c r="C98" s="1872"/>
      <c r="D98" s="1872"/>
      <c r="E98" s="1872"/>
      <c r="F98" s="1872"/>
      <c r="G98" s="1872"/>
      <c r="H98" s="1872"/>
      <c r="I98" s="1872"/>
      <c r="J98" s="1872"/>
      <c r="K98" s="1872"/>
      <c r="L98" s="1872"/>
      <c r="M98" s="1872"/>
      <c r="N98" s="1873"/>
    </row>
    <row r="99" spans="2:14" s="39" customFormat="1">
      <c r="B99" s="49"/>
      <c r="C99" s="81"/>
      <c r="D99" s="81"/>
      <c r="E99" s="81"/>
      <c r="F99" s="81"/>
      <c r="G99" s="81"/>
      <c r="H99" s="81"/>
      <c r="I99" s="81"/>
      <c r="J99" s="81"/>
      <c r="K99" s="81"/>
      <c r="L99" s="81"/>
      <c r="M99" s="81"/>
      <c r="N99" s="79"/>
    </row>
    <row r="100" spans="2:14" s="39" customFormat="1">
      <c r="B100" s="85"/>
      <c r="C100" s="66"/>
      <c r="D100" s="66"/>
      <c r="E100" s="66"/>
      <c r="F100" s="66"/>
      <c r="G100" s="71" t="s">
        <v>249</v>
      </c>
      <c r="H100" s="66"/>
      <c r="I100" s="66"/>
      <c r="J100" s="66"/>
      <c r="K100" s="66"/>
      <c r="L100" s="66"/>
      <c r="M100" s="66"/>
      <c r="N100" s="73"/>
    </row>
    <row r="101" spans="2:14" s="39" customFormat="1">
      <c r="B101" s="85"/>
      <c r="C101" s="66"/>
      <c r="D101" s="66"/>
      <c r="E101" s="66"/>
      <c r="F101" s="66"/>
      <c r="G101" s="66" t="s">
        <v>250</v>
      </c>
      <c r="H101" s="86"/>
      <c r="I101" s="86"/>
      <c r="J101" s="86"/>
      <c r="K101" s="66"/>
      <c r="L101" s="66"/>
      <c r="M101" s="66"/>
      <c r="N101" s="73"/>
    </row>
    <row r="102" spans="2:14" s="39" customFormat="1">
      <c r="B102" s="85"/>
      <c r="C102" s="66"/>
      <c r="D102" s="66"/>
      <c r="E102" s="66"/>
      <c r="F102" s="66"/>
      <c r="G102" s="66" t="s">
        <v>255</v>
      </c>
      <c r="H102" s="80"/>
      <c r="I102" s="80"/>
      <c r="J102" s="80"/>
      <c r="M102" s="66"/>
      <c r="N102" s="73"/>
    </row>
    <row r="103" spans="2:14" s="39" customFormat="1">
      <c r="B103" s="127"/>
      <c r="C103" s="81"/>
      <c r="D103" s="81"/>
      <c r="E103" s="81"/>
      <c r="F103" s="81"/>
      <c r="G103" s="66" t="s">
        <v>252</v>
      </c>
      <c r="K103" s="81"/>
      <c r="L103" s="81"/>
      <c r="M103" s="81"/>
      <c r="N103" s="79"/>
    </row>
    <row r="104" spans="2:14" s="39" customFormat="1" ht="17.25" customHeight="1">
      <c r="B104" s="138" t="s">
        <v>722</v>
      </c>
      <c r="C104" s="128"/>
      <c r="D104" s="128"/>
      <c r="E104" s="66"/>
      <c r="F104" s="66"/>
      <c r="G104" s="66"/>
      <c r="H104" s="66"/>
      <c r="I104" s="66"/>
      <c r="J104" s="1863"/>
      <c r="K104" s="1863"/>
      <c r="L104" s="1863"/>
      <c r="M104" s="1863"/>
      <c r="N104" s="1864"/>
    </row>
    <row r="105" spans="2:14" s="39" customFormat="1" ht="18.75" customHeight="1" thickBot="1">
      <c r="B105" s="1867" t="s">
        <v>723</v>
      </c>
      <c r="C105" s="1868"/>
      <c r="D105" s="1868"/>
      <c r="E105" s="87"/>
      <c r="F105" s="87"/>
      <c r="G105" s="87"/>
      <c r="H105" s="87"/>
      <c r="I105" s="87"/>
      <c r="J105" s="1865"/>
      <c r="K105" s="1865"/>
      <c r="L105" s="1865"/>
      <c r="M105" s="1865"/>
      <c r="N105" s="1866"/>
    </row>
  </sheetData>
  <mergeCells count="9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 ref="B75:H75"/>
    <mergeCell ref="L75:M75"/>
    <mergeCell ref="B76:H76"/>
    <mergeCell ref="L76:M76"/>
    <mergeCell ref="L77:M77"/>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10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0273" r:id="rId3"/>
      </mc:Fallback>
    </mc:AlternateContent>
  </oleObjects>
  <mc:AlternateContent xmlns:mc="http://schemas.openxmlformats.org/markup-compatibility/2006">
    <mc:Choice Requires="x14">
      <controls>
        <mc:AlternateContent xmlns:mc="http://schemas.openxmlformats.org/markup-compatibility/2006">
          <mc:Choice Requires="x14">
            <control shapeId="3102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02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dimension ref="B1:O106"/>
  <sheetViews>
    <sheetView showGridLines="0" topLeftCell="A47"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42578125" style="39" customWidth="1"/>
    <col min="1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140</v>
      </c>
      <c r="C34" s="1885" t="s">
        <v>653</v>
      </c>
      <c r="D34" s="1887"/>
      <c r="E34" s="1887"/>
      <c r="F34" s="1887"/>
      <c r="G34" s="1887"/>
      <c r="H34" s="1887"/>
      <c r="I34" s="1887"/>
      <c r="J34" s="1887"/>
      <c r="K34" s="1886"/>
      <c r="L34" s="1885" t="s">
        <v>81</v>
      </c>
      <c r="M34" s="1886"/>
      <c r="N34" s="177">
        <v>1141764</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18</v>
      </c>
      <c r="C39" s="1840"/>
      <c r="D39" s="1840"/>
      <c r="E39" s="1840"/>
      <c r="F39" s="1841"/>
      <c r="G39" s="1842"/>
      <c r="H39" s="1841"/>
      <c r="I39" s="1842"/>
      <c r="J39" s="1841"/>
      <c r="K39" s="88">
        <v>98589.75</v>
      </c>
      <c r="L39" s="1922">
        <v>1650</v>
      </c>
      <c r="M39" s="1923"/>
      <c r="N39" s="89">
        <v>59.751363636363635</v>
      </c>
    </row>
    <row r="40" spans="2:14">
      <c r="B40" s="1839" t="s">
        <v>22</v>
      </c>
      <c r="C40" s="1840"/>
      <c r="D40" s="1840"/>
      <c r="E40" s="1840"/>
      <c r="F40" s="1841"/>
      <c r="G40" s="1842"/>
      <c r="H40" s="1841"/>
      <c r="I40" s="1842"/>
      <c r="J40" s="1841"/>
      <c r="K40" s="88">
        <v>29767.5</v>
      </c>
      <c r="L40" s="1922">
        <v>1650</v>
      </c>
      <c r="M40" s="1923"/>
      <c r="N40" s="89">
        <v>18.040909090909089</v>
      </c>
    </row>
    <row r="41" spans="2:14">
      <c r="B41" s="1839" t="s">
        <v>74</v>
      </c>
      <c r="C41" s="1840"/>
      <c r="D41" s="1840"/>
      <c r="E41" s="1840"/>
      <c r="F41" s="1841"/>
      <c r="G41" s="1842"/>
      <c r="H41" s="1841"/>
      <c r="I41" s="1842"/>
      <c r="J41" s="1841"/>
      <c r="K41" s="88"/>
      <c r="L41" s="1920"/>
      <c r="M41" s="1921"/>
      <c r="N41" s="89">
        <v>2.7758510000000003</v>
      </c>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80.56812372727272</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19</v>
      </c>
      <c r="C48" s="1840"/>
      <c r="D48" s="1840"/>
      <c r="E48" s="1840"/>
      <c r="F48" s="1840"/>
      <c r="G48" s="1840"/>
      <c r="H48" s="1840"/>
      <c r="I48" s="1841"/>
      <c r="J48" s="131" t="s">
        <v>33</v>
      </c>
      <c r="K48" s="132">
        <v>4.7E-2</v>
      </c>
      <c r="L48" s="1852">
        <v>5000</v>
      </c>
      <c r="M48" s="1853"/>
      <c r="N48" s="89">
        <v>235</v>
      </c>
    </row>
    <row r="49" spans="2:14">
      <c r="B49" s="1839" t="s">
        <v>20</v>
      </c>
      <c r="C49" s="1840"/>
      <c r="D49" s="1840"/>
      <c r="E49" s="1840"/>
      <c r="F49" s="1840"/>
      <c r="G49" s="1840"/>
      <c r="H49" s="1840"/>
      <c r="I49" s="1841"/>
      <c r="J49" s="131" t="s">
        <v>41</v>
      </c>
      <c r="K49" s="132">
        <v>1.47E-2</v>
      </c>
      <c r="L49" s="1852">
        <v>60000</v>
      </c>
      <c r="M49" s="1853"/>
      <c r="N49" s="89">
        <v>882</v>
      </c>
    </row>
    <row r="50" spans="2:14">
      <c r="B50" s="1839" t="s">
        <v>277</v>
      </c>
      <c r="C50" s="1840"/>
      <c r="D50" s="1840"/>
      <c r="E50" s="1840"/>
      <c r="F50" s="1840"/>
      <c r="G50" s="1840"/>
      <c r="H50" s="1840"/>
      <c r="I50" s="1841"/>
      <c r="J50" s="131" t="s">
        <v>41</v>
      </c>
      <c r="K50" s="132">
        <v>4.4000000000000002E-4</v>
      </c>
      <c r="L50" s="1852">
        <v>14000</v>
      </c>
      <c r="M50" s="1853"/>
      <c r="N50" s="89">
        <v>6.16</v>
      </c>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131"/>
      <c r="K52" s="144"/>
      <c r="L52" s="1852"/>
      <c r="M52" s="1853"/>
      <c r="N52" s="89"/>
    </row>
    <row r="53" spans="2:14" ht="14.25" thickBot="1">
      <c r="B53" s="1848" t="s">
        <v>188</v>
      </c>
      <c r="C53" s="1849"/>
      <c r="D53" s="1849"/>
      <c r="E53" s="1849"/>
      <c r="F53" s="1849"/>
      <c r="G53" s="1849"/>
      <c r="H53" s="1849"/>
      <c r="I53" s="1849"/>
      <c r="J53" s="1849"/>
      <c r="K53" s="1849"/>
      <c r="L53" s="1849"/>
      <c r="M53" s="1850"/>
      <c r="N53" s="99">
        <v>1123.1600000000001</v>
      </c>
    </row>
    <row r="54" spans="2:14">
      <c r="B54" s="1766" t="s">
        <v>51</v>
      </c>
      <c r="C54" s="1767"/>
      <c r="D54" s="1767"/>
      <c r="E54" s="1767"/>
      <c r="F54" s="1767"/>
      <c r="G54" s="1767"/>
      <c r="H54" s="1767"/>
      <c r="I54" s="1767"/>
      <c r="J54" s="1767"/>
      <c r="K54" s="1767"/>
      <c r="L54" s="1767"/>
      <c r="M54" s="1767"/>
      <c r="N54" s="1768"/>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96"/>
      <c r="J58" s="133"/>
      <c r="K58" s="134"/>
      <c r="L58" s="1859"/>
      <c r="M58" s="1860"/>
      <c r="N58" s="135"/>
    </row>
    <row r="59" spans="2:14">
      <c r="B59" s="1839"/>
      <c r="C59" s="1840"/>
      <c r="D59" s="1840"/>
      <c r="E59" s="1840"/>
      <c r="F59" s="1840"/>
      <c r="G59" s="1840"/>
      <c r="H59" s="1840"/>
      <c r="I59" s="96"/>
      <c r="J59" s="133"/>
      <c r="K59" s="134"/>
      <c r="L59" s="1859"/>
      <c r="M59" s="1860"/>
      <c r="N59" s="135"/>
    </row>
    <row r="60" spans="2:14" ht="13.5" thickBot="1">
      <c r="B60" s="1834"/>
      <c r="C60" s="1835"/>
      <c r="D60" s="1835"/>
      <c r="E60" s="1835"/>
      <c r="F60" s="1835"/>
      <c r="G60" s="1835"/>
      <c r="H60" s="1835"/>
      <c r="I60" s="136"/>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0</v>
      </c>
    </row>
    <row r="62" spans="2:14">
      <c r="B62" s="1766" t="s">
        <v>52</v>
      </c>
      <c r="C62" s="1767"/>
      <c r="D62" s="1767"/>
      <c r="E62" s="1767"/>
      <c r="F62" s="1767"/>
      <c r="G62" s="1767"/>
      <c r="H62" s="1767"/>
      <c r="I62" s="1767"/>
      <c r="J62" s="1767"/>
      <c r="K62" s="1767"/>
      <c r="L62" s="1767"/>
      <c r="M62" s="1767"/>
      <c r="N62" s="1768"/>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181" t="s">
        <v>46</v>
      </c>
      <c r="K65" s="182" t="s">
        <v>197</v>
      </c>
      <c r="L65" s="1829" t="s">
        <v>186</v>
      </c>
      <c r="M65" s="1832"/>
      <c r="N65" s="179" t="s">
        <v>191</v>
      </c>
    </row>
    <row r="66" spans="2:14">
      <c r="B66" s="149" t="s">
        <v>63</v>
      </c>
      <c r="C66" s="150"/>
      <c r="D66" s="150"/>
      <c r="E66" s="150"/>
      <c r="F66" s="150"/>
      <c r="G66" s="150"/>
      <c r="H66" s="150"/>
      <c r="I66" s="107">
        <v>109600</v>
      </c>
      <c r="J66" s="108">
        <v>1.85</v>
      </c>
      <c r="K66" s="109">
        <v>202760</v>
      </c>
      <c r="L66" s="1861">
        <v>10000</v>
      </c>
      <c r="M66" s="1862"/>
      <c r="N66" s="110">
        <v>20.276</v>
      </c>
    </row>
    <row r="67" spans="2:14">
      <c r="B67" s="149" t="s">
        <v>48</v>
      </c>
      <c r="C67" s="150"/>
      <c r="D67" s="150"/>
      <c r="E67" s="150"/>
      <c r="F67" s="150"/>
      <c r="G67" s="150"/>
      <c r="H67" s="150"/>
      <c r="I67" s="107">
        <v>40446</v>
      </c>
      <c r="J67" s="108">
        <v>1.85</v>
      </c>
      <c r="K67" s="109">
        <v>74825.100000000006</v>
      </c>
      <c r="L67" s="1861">
        <v>10000</v>
      </c>
      <c r="M67" s="1862"/>
      <c r="N67" s="110">
        <v>7.4825100000000004</v>
      </c>
    </row>
    <row r="68" spans="2:14">
      <c r="B68" s="149"/>
      <c r="C68" s="150"/>
      <c r="D68" s="150"/>
      <c r="E68" s="150"/>
      <c r="F68" s="150"/>
      <c r="G68" s="150"/>
      <c r="H68" s="150"/>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27.758510000000001</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1231.4866337272726</v>
      </c>
    </row>
    <row r="73" spans="2:14">
      <c r="B73" s="1766" t="s">
        <v>53</v>
      </c>
      <c r="C73" s="1767"/>
      <c r="D73" s="1767"/>
      <c r="E73" s="1767"/>
      <c r="F73" s="1767"/>
      <c r="G73" s="1767"/>
      <c r="H73" s="1767"/>
      <c r="I73" s="1767"/>
      <c r="J73" s="1767"/>
      <c r="K73" s="1767"/>
      <c r="L73" s="1767"/>
      <c r="M73" s="1767"/>
      <c r="N73" s="1768"/>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181"/>
      <c r="J76" s="187"/>
      <c r="K76" s="184" t="s">
        <v>54</v>
      </c>
      <c r="L76" s="1857" t="s">
        <v>55</v>
      </c>
      <c r="M76" s="1858"/>
      <c r="N76" s="185"/>
    </row>
    <row r="77" spans="2:14">
      <c r="B77" s="1839" t="s">
        <v>44</v>
      </c>
      <c r="C77" s="1840"/>
      <c r="D77" s="1840"/>
      <c r="E77" s="1840"/>
      <c r="F77" s="1840"/>
      <c r="G77" s="1840"/>
      <c r="H77" s="1840"/>
      <c r="I77" s="113"/>
      <c r="J77" s="114"/>
      <c r="K77" s="192">
        <v>0.22</v>
      </c>
      <c r="L77" s="1877">
        <v>270.92705941999998</v>
      </c>
      <c r="M77" s="1878"/>
      <c r="N77" s="115"/>
    </row>
    <row r="78" spans="2:14">
      <c r="B78" s="116" t="s">
        <v>56</v>
      </c>
      <c r="C78" s="117"/>
      <c r="D78" s="117"/>
      <c r="E78" s="117"/>
      <c r="F78" s="117"/>
      <c r="G78" s="117"/>
      <c r="H78" s="117"/>
      <c r="I78" s="113"/>
      <c r="J78" s="114"/>
      <c r="K78" s="192">
        <v>0.05</v>
      </c>
      <c r="L78" s="1877">
        <v>61.574331686363635</v>
      </c>
      <c r="M78" s="1878"/>
      <c r="N78" s="115"/>
    </row>
    <row r="79" spans="2:14" ht="13.5" thickBot="1">
      <c r="B79" s="118" t="s">
        <v>45</v>
      </c>
      <c r="C79" s="119"/>
      <c r="D79" s="119"/>
      <c r="E79" s="119"/>
      <c r="F79" s="119"/>
      <c r="G79" s="119"/>
      <c r="H79" s="119"/>
      <c r="I79" s="120"/>
      <c r="J79" s="121"/>
      <c r="K79" s="192">
        <v>0.05</v>
      </c>
      <c r="L79" s="1879">
        <v>61.574331686363635</v>
      </c>
      <c r="M79" s="1880"/>
      <c r="N79" s="115"/>
    </row>
    <row r="80" spans="2:14" ht="14.25" thickBot="1">
      <c r="B80" s="1848" t="s">
        <v>188</v>
      </c>
      <c r="C80" s="1849"/>
      <c r="D80" s="1849"/>
      <c r="E80" s="1849"/>
      <c r="F80" s="1849"/>
      <c r="G80" s="1849"/>
      <c r="H80" s="1849"/>
      <c r="I80" s="1849"/>
      <c r="J80" s="1849"/>
      <c r="K80" s="1849"/>
      <c r="L80" s="1849"/>
      <c r="M80" s="1850"/>
      <c r="N80" s="122">
        <v>394.07572279272722</v>
      </c>
    </row>
    <row r="81" spans="2:15" ht="13.5" thickBot="1">
      <c r="B81" s="85"/>
      <c r="C81" s="66"/>
      <c r="D81" s="66"/>
      <c r="E81" s="66"/>
      <c r="F81" s="66"/>
      <c r="G81" s="66"/>
      <c r="H81" s="66"/>
      <c r="I81" s="66"/>
      <c r="J81" s="66"/>
      <c r="K81" s="66"/>
      <c r="L81" s="66"/>
      <c r="M81" s="66"/>
      <c r="N81" s="73"/>
    </row>
    <row r="82" spans="2:15" ht="13.5" thickBot="1">
      <c r="B82" s="1854" t="s">
        <v>199</v>
      </c>
      <c r="C82" s="1855"/>
      <c r="D82" s="1855"/>
      <c r="E82" s="1855"/>
      <c r="F82" s="1855"/>
      <c r="G82" s="1855"/>
      <c r="H82" s="1855"/>
      <c r="I82" s="1855"/>
      <c r="J82" s="1855"/>
      <c r="K82" s="1855"/>
      <c r="L82" s="1855"/>
      <c r="M82" s="1856"/>
      <c r="N82" s="188">
        <v>1626</v>
      </c>
      <c r="O82" s="206"/>
    </row>
    <row r="83" spans="2:15">
      <c r="B83" s="64"/>
      <c r="C83" s="65"/>
      <c r="D83" s="65"/>
      <c r="E83" s="65"/>
      <c r="F83" s="65"/>
      <c r="G83" s="65"/>
      <c r="H83" s="65"/>
      <c r="I83" s="65"/>
      <c r="J83" s="65"/>
      <c r="K83" s="65"/>
      <c r="L83" s="65"/>
      <c r="M83" s="65"/>
      <c r="N83" s="67"/>
    </row>
    <row r="84" spans="2:15">
      <c r="B84" s="85"/>
      <c r="C84" s="66"/>
      <c r="D84" s="66"/>
      <c r="E84" s="66"/>
      <c r="F84" s="66"/>
      <c r="G84" s="66"/>
      <c r="H84" s="66"/>
      <c r="I84" s="66"/>
      <c r="J84" s="66"/>
      <c r="K84" s="66"/>
      <c r="L84" s="66"/>
      <c r="M84" s="66"/>
      <c r="N84" s="73"/>
    </row>
    <row r="85" spans="2:15">
      <c r="B85" s="85"/>
      <c r="C85" s="66"/>
      <c r="D85" s="66"/>
      <c r="E85" s="66"/>
      <c r="F85" s="66"/>
      <c r="G85" s="66"/>
      <c r="H85" s="66"/>
      <c r="I85" s="66"/>
      <c r="J85" s="66"/>
      <c r="K85" s="66"/>
      <c r="L85" s="66"/>
      <c r="M85" s="66"/>
      <c r="N85" s="73"/>
    </row>
    <row r="86" spans="2:15">
      <c r="B86" s="85"/>
      <c r="C86" s="66"/>
      <c r="D86" s="66"/>
      <c r="E86" s="66"/>
      <c r="F86" s="66"/>
      <c r="G86" s="71" t="s">
        <v>249</v>
      </c>
      <c r="H86" s="71"/>
      <c r="I86" s="71"/>
      <c r="J86" s="71"/>
      <c r="K86" s="66"/>
      <c r="L86" s="66"/>
      <c r="M86" s="66"/>
      <c r="N86" s="73"/>
    </row>
    <row r="87" spans="2:15" ht="13.5">
      <c r="B87" s="123"/>
      <c r="C87" s="124"/>
      <c r="D87" s="124"/>
      <c r="E87" s="124"/>
      <c r="F87" s="124"/>
      <c r="G87" s="71" t="s">
        <v>250</v>
      </c>
      <c r="H87" s="124"/>
      <c r="I87" s="124"/>
      <c r="J87" s="124"/>
      <c r="K87" s="124"/>
      <c r="L87" s="124"/>
      <c r="M87" s="124"/>
      <c r="N87" s="125"/>
    </row>
    <row r="88" spans="2:15" ht="13.5">
      <c r="B88" s="123"/>
      <c r="C88" s="124"/>
      <c r="D88" s="124"/>
      <c r="E88" s="124"/>
      <c r="F88" s="124"/>
      <c r="G88" s="71" t="s">
        <v>251</v>
      </c>
      <c r="J88" s="124"/>
      <c r="K88" s="124"/>
      <c r="L88" s="124"/>
      <c r="M88" s="124"/>
      <c r="N88" s="125"/>
    </row>
    <row r="89" spans="2:15">
      <c r="B89" s="49"/>
      <c r="C89" s="81"/>
      <c r="D89" s="81"/>
      <c r="E89" s="81"/>
      <c r="F89" s="81"/>
      <c r="G89" s="71" t="s">
        <v>252</v>
      </c>
      <c r="H89" s="81"/>
      <c r="I89" s="81"/>
      <c r="J89" s="81"/>
      <c r="K89" s="81"/>
      <c r="L89" s="81"/>
      <c r="M89" s="81"/>
      <c r="N89" s="79"/>
    </row>
    <row r="90" spans="2:15">
      <c r="B90" s="85"/>
      <c r="C90" s="66"/>
      <c r="D90" s="66"/>
      <c r="E90" s="66"/>
      <c r="F90" s="66"/>
      <c r="G90" s="66" t="s">
        <v>253</v>
      </c>
      <c r="H90" s="66"/>
      <c r="I90" s="66"/>
      <c r="J90" s="66"/>
      <c r="K90" s="66"/>
      <c r="L90" s="66"/>
      <c r="M90" s="66"/>
      <c r="N90" s="73"/>
    </row>
    <row r="91" spans="2:15" ht="13.5">
      <c r="B91" s="92" t="s">
        <v>254</v>
      </c>
      <c r="C91" s="93"/>
      <c r="D91" s="93"/>
      <c r="E91" s="93"/>
      <c r="F91" s="93"/>
      <c r="G91" s="93"/>
      <c r="H91" s="93"/>
      <c r="I91" s="93"/>
      <c r="J91" s="93"/>
      <c r="K91" s="93"/>
      <c r="L91" s="93"/>
      <c r="M91" s="93"/>
      <c r="N91" s="94"/>
    </row>
    <row r="92" spans="2:15">
      <c r="B92" s="1874"/>
      <c r="C92" s="1875"/>
      <c r="D92" s="1875"/>
      <c r="E92" s="1875"/>
      <c r="F92" s="1875"/>
      <c r="G92" s="1875"/>
      <c r="H92" s="1875"/>
      <c r="I92" s="1875"/>
      <c r="J92" s="1875"/>
      <c r="K92" s="1875"/>
      <c r="L92" s="1875"/>
      <c r="M92" s="1875"/>
      <c r="N92" s="1876"/>
    </row>
    <row r="93" spans="2:15">
      <c r="B93" s="1874"/>
      <c r="C93" s="1875"/>
      <c r="D93" s="1875"/>
      <c r="E93" s="1875"/>
      <c r="F93" s="1875"/>
      <c r="G93" s="1875"/>
      <c r="H93" s="1875"/>
      <c r="I93" s="1875"/>
      <c r="J93" s="1875"/>
      <c r="K93" s="1875"/>
      <c r="L93" s="1875"/>
      <c r="M93" s="1875"/>
      <c r="N93" s="1876"/>
    </row>
    <row r="94" spans="2:15">
      <c r="B94" s="49"/>
      <c r="C94" s="81"/>
      <c r="D94" s="81"/>
      <c r="E94" s="81"/>
      <c r="F94" s="81"/>
      <c r="G94" s="81"/>
      <c r="H94" s="81"/>
      <c r="I94" s="81"/>
      <c r="J94" s="81"/>
      <c r="K94" s="81"/>
      <c r="L94" s="81"/>
      <c r="M94" s="81"/>
      <c r="N94" s="79"/>
    </row>
    <row r="95" spans="2:15">
      <c r="B95" s="406" t="s">
        <v>719</v>
      </c>
      <c r="C95" s="81"/>
      <c r="D95" s="81"/>
      <c r="E95" s="81"/>
      <c r="F95" s="81"/>
      <c r="G95" s="81"/>
      <c r="H95" s="81"/>
      <c r="I95" s="81"/>
      <c r="J95" s="81"/>
      <c r="K95" s="81"/>
      <c r="L95" s="81"/>
      <c r="M95" s="81"/>
      <c r="N95" s="79"/>
    </row>
    <row r="96" spans="2:15" ht="12.75" customHeight="1">
      <c r="B96" s="1871" t="s">
        <v>720</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1871" t="s">
        <v>721</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49"/>
      <c r="C100" s="81"/>
      <c r="D100" s="81"/>
      <c r="E100" s="81"/>
      <c r="F100" s="81"/>
      <c r="G100" s="81"/>
      <c r="H100" s="81"/>
      <c r="I100" s="81"/>
      <c r="J100" s="81"/>
      <c r="K100" s="81"/>
      <c r="L100" s="81"/>
      <c r="M100" s="81"/>
      <c r="N100" s="79"/>
    </row>
    <row r="101" spans="2:14">
      <c r="B101" s="85"/>
      <c r="C101" s="66"/>
      <c r="D101" s="66"/>
      <c r="E101" s="66"/>
      <c r="F101" s="66"/>
      <c r="G101" s="71" t="s">
        <v>249</v>
      </c>
      <c r="H101" s="66"/>
      <c r="I101" s="66"/>
      <c r="J101" s="66"/>
      <c r="K101" s="66"/>
      <c r="L101" s="66"/>
      <c r="M101" s="66"/>
      <c r="N101" s="73"/>
    </row>
    <row r="102" spans="2:14">
      <c r="B102" s="85"/>
      <c r="C102" s="66"/>
      <c r="D102" s="66"/>
      <c r="E102" s="66"/>
      <c r="F102" s="66"/>
      <c r="G102" s="66" t="s">
        <v>250</v>
      </c>
      <c r="H102" s="86"/>
      <c r="I102" s="86"/>
      <c r="J102" s="86"/>
      <c r="K102" s="66"/>
      <c r="L102" s="66"/>
      <c r="M102" s="66"/>
      <c r="N102" s="73"/>
    </row>
    <row r="103" spans="2:14">
      <c r="B103" s="85"/>
      <c r="C103" s="66"/>
      <c r="D103" s="66"/>
      <c r="E103" s="66"/>
      <c r="F103" s="66"/>
      <c r="G103" s="66" t="s">
        <v>255</v>
      </c>
      <c r="H103" s="80"/>
      <c r="I103" s="80"/>
      <c r="J103" s="80"/>
      <c r="M103" s="66"/>
      <c r="N103" s="73"/>
    </row>
    <row r="104" spans="2:14">
      <c r="B104" s="127"/>
      <c r="C104" s="81"/>
      <c r="D104" s="81"/>
      <c r="E104" s="81"/>
      <c r="F104" s="81"/>
      <c r="G104" s="66" t="s">
        <v>252</v>
      </c>
      <c r="K104" s="81"/>
      <c r="L104" s="81"/>
      <c r="M104" s="81"/>
      <c r="N104" s="79"/>
    </row>
    <row r="105" spans="2:14" ht="17.25" customHeight="1">
      <c r="B105" s="138" t="s">
        <v>722</v>
      </c>
      <c r="C105" s="128"/>
      <c r="D105" s="128"/>
      <c r="E105" s="66"/>
      <c r="F105" s="66"/>
      <c r="G105" s="66"/>
      <c r="H105" s="66"/>
      <c r="I105" s="66"/>
      <c r="J105" s="1863"/>
      <c r="K105" s="1863"/>
      <c r="L105" s="1863"/>
      <c r="M105" s="1863"/>
      <c r="N105" s="1864"/>
    </row>
    <row r="106" spans="2:14"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5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5393" r:id="rId3"/>
      </mc:Fallback>
    </mc:AlternateContent>
  </oleObjects>
  <mc:AlternateContent xmlns:mc="http://schemas.openxmlformats.org/markup-compatibility/2006">
    <mc:Choice Requires="x14">
      <controls>
        <mc:AlternateContent xmlns:mc="http://schemas.openxmlformats.org/markup-compatibility/2006">
          <mc:Choice Requires="x14">
            <control shapeId="31539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539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2"/>
  <dimension ref="B1:N106"/>
  <sheetViews>
    <sheetView showGridLines="0" topLeftCell="A56"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140625" style="39" customWidth="1"/>
    <col min="12" max="13" width="11.42578125" style="39"/>
    <col min="14" max="14" width="12.1406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148</v>
      </c>
      <c r="C34" s="1885" t="s">
        <v>654</v>
      </c>
      <c r="D34" s="1887"/>
      <c r="E34" s="1887"/>
      <c r="F34" s="1887"/>
      <c r="G34" s="1887"/>
      <c r="H34" s="1887"/>
      <c r="I34" s="1887"/>
      <c r="J34" s="1887"/>
      <c r="K34" s="1886"/>
      <c r="L34" s="1885" t="s">
        <v>28</v>
      </c>
      <c r="M34" s="1886"/>
      <c r="N34" s="177">
        <v>10515</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22</v>
      </c>
      <c r="C39" s="1840"/>
      <c r="D39" s="1840"/>
      <c r="E39" s="1840"/>
      <c r="F39" s="1841"/>
      <c r="G39" s="1842"/>
      <c r="H39" s="1841"/>
      <c r="I39" s="1842"/>
      <c r="J39" s="1841"/>
      <c r="K39" s="88">
        <v>29767.5</v>
      </c>
      <c r="L39" s="1922">
        <v>15</v>
      </c>
      <c r="M39" s="1923"/>
      <c r="N39" s="89">
        <v>1984.5</v>
      </c>
    </row>
    <row r="40" spans="2:14">
      <c r="B40" s="1839" t="s">
        <v>75</v>
      </c>
      <c r="C40" s="1840"/>
      <c r="D40" s="1840"/>
      <c r="E40" s="1840"/>
      <c r="F40" s="1841"/>
      <c r="G40" s="1842"/>
      <c r="H40" s="1841"/>
      <c r="I40" s="1842"/>
      <c r="J40" s="1841"/>
      <c r="K40" s="88"/>
      <c r="L40" s="1922"/>
      <c r="M40" s="1923"/>
      <c r="N40" s="89">
        <v>179.02295833333335</v>
      </c>
    </row>
    <row r="41" spans="2:14">
      <c r="B41" s="1839" t="s">
        <v>673</v>
      </c>
      <c r="C41" s="1840"/>
      <c r="D41" s="1840"/>
      <c r="E41" s="1840"/>
      <c r="F41" s="1841"/>
      <c r="G41" s="1842"/>
      <c r="H41" s="1841"/>
      <c r="I41" s="1842"/>
      <c r="J41" s="1841"/>
      <c r="K41" s="88">
        <v>8700</v>
      </c>
      <c r="L41" s="1922">
        <v>15</v>
      </c>
      <c r="M41" s="1923"/>
      <c r="N41" s="89">
        <v>580</v>
      </c>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2743.5229583333335</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19</v>
      </c>
      <c r="C48" s="1840"/>
      <c r="D48" s="1840"/>
      <c r="E48" s="1840"/>
      <c r="F48" s="1840"/>
      <c r="G48" s="1840"/>
      <c r="H48" s="1840"/>
      <c r="I48" s="1841"/>
      <c r="J48" s="131" t="s">
        <v>33</v>
      </c>
      <c r="K48" s="132">
        <v>0.47</v>
      </c>
      <c r="L48" s="1852">
        <v>5000</v>
      </c>
      <c r="M48" s="1853"/>
      <c r="N48" s="89">
        <v>2350</v>
      </c>
    </row>
    <row r="49" spans="2:14">
      <c r="B49" s="1839" t="s">
        <v>20</v>
      </c>
      <c r="C49" s="1840"/>
      <c r="D49" s="1840"/>
      <c r="E49" s="1840"/>
      <c r="F49" s="1840"/>
      <c r="G49" s="1840"/>
      <c r="H49" s="1840"/>
      <c r="I49" s="1841"/>
      <c r="J49" s="131" t="s">
        <v>41</v>
      </c>
      <c r="K49" s="132">
        <v>0.125</v>
      </c>
      <c r="L49" s="1852">
        <v>60000</v>
      </c>
      <c r="M49" s="1853"/>
      <c r="N49" s="89">
        <v>7500</v>
      </c>
    </row>
    <row r="50" spans="2:14">
      <c r="B50" s="1839"/>
      <c r="C50" s="1840"/>
      <c r="D50" s="1840"/>
      <c r="E50" s="1840"/>
      <c r="F50" s="1840"/>
      <c r="G50" s="1840"/>
      <c r="H50" s="1840"/>
      <c r="I50" s="1841"/>
      <c r="J50" s="131"/>
      <c r="K50" s="132"/>
      <c r="L50" s="1852"/>
      <c r="M50" s="1853"/>
      <c r="N50" s="89"/>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131"/>
      <c r="K52" s="144"/>
      <c r="L52" s="1852"/>
      <c r="M52" s="1853"/>
      <c r="N52" s="89"/>
    </row>
    <row r="53" spans="2:14" ht="14.25" thickBot="1">
      <c r="B53" s="1848" t="s">
        <v>188</v>
      </c>
      <c r="C53" s="1849"/>
      <c r="D53" s="1849"/>
      <c r="E53" s="1849"/>
      <c r="F53" s="1849"/>
      <c r="G53" s="1849"/>
      <c r="H53" s="1849"/>
      <c r="I53" s="1849"/>
      <c r="J53" s="1849"/>
      <c r="K53" s="1849"/>
      <c r="L53" s="1849"/>
      <c r="M53" s="1850"/>
      <c r="N53" s="99">
        <v>9850</v>
      </c>
    </row>
    <row r="54" spans="2:14">
      <c r="B54" s="1766" t="s">
        <v>51</v>
      </c>
      <c r="C54" s="1767"/>
      <c r="D54" s="1767"/>
      <c r="E54" s="1767"/>
      <c r="F54" s="1767"/>
      <c r="G54" s="1767"/>
      <c r="H54" s="1767"/>
      <c r="I54" s="1767"/>
      <c r="J54" s="1767"/>
      <c r="K54" s="1767"/>
      <c r="L54" s="1767"/>
      <c r="M54" s="1767"/>
      <c r="N54" s="1768"/>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96"/>
      <c r="J58" s="133"/>
      <c r="K58" s="134"/>
      <c r="L58" s="1859"/>
      <c r="M58" s="1860"/>
      <c r="N58" s="135"/>
    </row>
    <row r="59" spans="2:14">
      <c r="B59" s="1839"/>
      <c r="C59" s="1840"/>
      <c r="D59" s="1840"/>
      <c r="E59" s="1840"/>
      <c r="F59" s="1840"/>
      <c r="G59" s="1840"/>
      <c r="H59" s="1840"/>
      <c r="I59" s="96"/>
      <c r="J59" s="133"/>
      <c r="K59" s="134"/>
      <c r="L59" s="1859"/>
      <c r="M59" s="1860"/>
      <c r="N59" s="135"/>
    </row>
    <row r="60" spans="2:14" ht="13.5" thickBot="1">
      <c r="B60" s="1834"/>
      <c r="C60" s="1835"/>
      <c r="D60" s="1835"/>
      <c r="E60" s="1835"/>
      <c r="F60" s="1835"/>
      <c r="G60" s="1835"/>
      <c r="H60" s="1835"/>
      <c r="I60" s="136"/>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0</v>
      </c>
    </row>
    <row r="62" spans="2:14">
      <c r="B62" s="1766" t="s">
        <v>52</v>
      </c>
      <c r="C62" s="1767"/>
      <c r="D62" s="1767"/>
      <c r="E62" s="1767"/>
      <c r="F62" s="1767"/>
      <c r="G62" s="1767"/>
      <c r="H62" s="1767"/>
      <c r="I62" s="1767"/>
      <c r="J62" s="1767"/>
      <c r="K62" s="1767"/>
      <c r="L62" s="1767"/>
      <c r="M62" s="1767"/>
      <c r="N62" s="1768"/>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181" t="s">
        <v>46</v>
      </c>
      <c r="K65" s="182" t="s">
        <v>197</v>
      </c>
      <c r="L65" s="1829" t="s">
        <v>186</v>
      </c>
      <c r="M65" s="1832"/>
      <c r="N65" s="179" t="s">
        <v>191</v>
      </c>
    </row>
    <row r="66" spans="2:14">
      <c r="B66" s="149" t="s">
        <v>3</v>
      </c>
      <c r="C66" s="150"/>
      <c r="D66" s="150"/>
      <c r="E66" s="150"/>
      <c r="F66" s="150"/>
      <c r="G66" s="150"/>
      <c r="H66" s="150"/>
      <c r="I66" s="107">
        <v>191800</v>
      </c>
      <c r="J66" s="108">
        <v>1.85</v>
      </c>
      <c r="K66" s="109">
        <v>354830</v>
      </c>
      <c r="L66" s="1861">
        <v>120</v>
      </c>
      <c r="M66" s="1862"/>
      <c r="N66" s="110">
        <v>2956.9166666666665</v>
      </c>
    </row>
    <row r="67" spans="2:14">
      <c r="B67" s="149" t="s">
        <v>48</v>
      </c>
      <c r="C67" s="150"/>
      <c r="D67" s="150"/>
      <c r="E67" s="150"/>
      <c r="F67" s="150"/>
      <c r="G67" s="150"/>
      <c r="H67" s="150"/>
      <c r="I67" s="107">
        <v>40446</v>
      </c>
      <c r="J67" s="108">
        <v>1.85</v>
      </c>
      <c r="K67" s="109">
        <v>74825.100000000006</v>
      </c>
      <c r="L67" s="1861">
        <v>120</v>
      </c>
      <c r="M67" s="1862"/>
      <c r="N67" s="110">
        <v>623.54250000000002</v>
      </c>
    </row>
    <row r="68" spans="2:14">
      <c r="B68" s="149"/>
      <c r="C68" s="150"/>
      <c r="D68" s="150"/>
      <c r="E68" s="150"/>
      <c r="F68" s="150"/>
      <c r="G68" s="150"/>
      <c r="H68" s="150"/>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3580.4591666666665</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16173.982125</v>
      </c>
    </row>
    <row r="73" spans="2:14">
      <c r="B73" s="1766" t="s">
        <v>53</v>
      </c>
      <c r="C73" s="1767"/>
      <c r="D73" s="1767"/>
      <c r="E73" s="1767"/>
      <c r="F73" s="1767"/>
      <c r="G73" s="1767"/>
      <c r="H73" s="1767"/>
      <c r="I73" s="1767"/>
      <c r="J73" s="1767"/>
      <c r="K73" s="1767"/>
      <c r="L73" s="1767"/>
      <c r="M73" s="1767"/>
      <c r="N73" s="1768"/>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181"/>
      <c r="J76" s="187"/>
      <c r="K76" s="184" t="s">
        <v>54</v>
      </c>
      <c r="L76" s="1857" t="s">
        <v>55</v>
      </c>
      <c r="M76" s="1858"/>
      <c r="N76" s="185"/>
    </row>
    <row r="77" spans="2:14">
      <c r="B77" s="1839" t="s">
        <v>44</v>
      </c>
      <c r="C77" s="1840"/>
      <c r="D77" s="1840"/>
      <c r="E77" s="1840"/>
      <c r="F77" s="1840"/>
      <c r="G77" s="1840"/>
      <c r="H77" s="1840"/>
      <c r="I77" s="113"/>
      <c r="J77" s="114"/>
      <c r="K77" s="192">
        <v>0.22</v>
      </c>
      <c r="L77" s="1877">
        <v>3558.2760675</v>
      </c>
      <c r="M77" s="1878"/>
      <c r="N77" s="115"/>
    </row>
    <row r="78" spans="2:14">
      <c r="B78" s="116" t="s">
        <v>56</v>
      </c>
      <c r="C78" s="117"/>
      <c r="D78" s="117"/>
      <c r="E78" s="117"/>
      <c r="F78" s="117"/>
      <c r="G78" s="117"/>
      <c r="H78" s="117"/>
      <c r="I78" s="113"/>
      <c r="J78" s="114"/>
      <c r="K78" s="192">
        <v>0.05</v>
      </c>
      <c r="L78" s="1877">
        <v>808.69910625000011</v>
      </c>
      <c r="M78" s="1878"/>
      <c r="N78" s="115"/>
    </row>
    <row r="79" spans="2:14" ht="13.5" thickBot="1">
      <c r="B79" s="118" t="s">
        <v>45</v>
      </c>
      <c r="C79" s="119"/>
      <c r="D79" s="119"/>
      <c r="E79" s="119"/>
      <c r="F79" s="119"/>
      <c r="G79" s="119"/>
      <c r="H79" s="119"/>
      <c r="I79" s="120"/>
      <c r="J79" s="121"/>
      <c r="K79" s="192">
        <v>0.05</v>
      </c>
      <c r="L79" s="1879">
        <v>808.69910625000011</v>
      </c>
      <c r="M79" s="1880"/>
      <c r="N79" s="115"/>
    </row>
    <row r="80" spans="2:14" ht="14.25" thickBot="1">
      <c r="B80" s="1848" t="s">
        <v>188</v>
      </c>
      <c r="C80" s="1849"/>
      <c r="D80" s="1849"/>
      <c r="E80" s="1849"/>
      <c r="F80" s="1849"/>
      <c r="G80" s="1849"/>
      <c r="H80" s="1849"/>
      <c r="I80" s="1849"/>
      <c r="J80" s="1849"/>
      <c r="K80" s="1849"/>
      <c r="L80" s="1849"/>
      <c r="M80" s="1850"/>
      <c r="N80" s="122">
        <v>5175.6742800000002</v>
      </c>
    </row>
    <row r="81" spans="2:14" ht="13.5" thickBot="1">
      <c r="B81" s="85"/>
      <c r="C81" s="66"/>
      <c r="D81" s="66"/>
      <c r="E81" s="66"/>
      <c r="F81" s="66"/>
      <c r="G81" s="66"/>
      <c r="H81" s="66"/>
      <c r="I81" s="66"/>
      <c r="J81" s="66"/>
      <c r="K81" s="66"/>
      <c r="L81" s="66"/>
      <c r="M81" s="66"/>
      <c r="N81" s="73"/>
    </row>
    <row r="82" spans="2:14" ht="13.5" thickBot="1">
      <c r="B82" s="1854" t="s">
        <v>199</v>
      </c>
      <c r="C82" s="1855"/>
      <c r="D82" s="1855"/>
      <c r="E82" s="1855"/>
      <c r="F82" s="1855"/>
      <c r="G82" s="1855"/>
      <c r="H82" s="1855"/>
      <c r="I82" s="1855"/>
      <c r="J82" s="1855"/>
      <c r="K82" s="1855"/>
      <c r="L82" s="1855"/>
      <c r="M82" s="1856"/>
      <c r="N82" s="188">
        <v>21350</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249</v>
      </c>
      <c r="H86" s="71"/>
      <c r="I86" s="71"/>
      <c r="J86" s="71"/>
      <c r="K86" s="66"/>
      <c r="L86" s="66"/>
      <c r="M86" s="66"/>
      <c r="N86" s="73"/>
    </row>
    <row r="87" spans="2:14" ht="13.5">
      <c r="B87" s="123"/>
      <c r="C87" s="124"/>
      <c r="D87" s="124"/>
      <c r="E87" s="124"/>
      <c r="F87" s="124"/>
      <c r="G87" s="71" t="s">
        <v>250</v>
      </c>
      <c r="H87" s="124"/>
      <c r="I87" s="124"/>
      <c r="J87" s="124"/>
      <c r="K87" s="124"/>
      <c r="L87" s="124"/>
      <c r="M87" s="124"/>
      <c r="N87" s="125"/>
    </row>
    <row r="88" spans="2:14" ht="13.5">
      <c r="B88" s="123"/>
      <c r="C88" s="124"/>
      <c r="D88" s="124"/>
      <c r="E88" s="124"/>
      <c r="F88" s="124"/>
      <c r="G88" s="71" t="s">
        <v>251</v>
      </c>
      <c r="J88" s="124"/>
      <c r="K88" s="124"/>
      <c r="L88" s="124"/>
      <c r="M88" s="124"/>
      <c r="N88" s="125"/>
    </row>
    <row r="89" spans="2:14">
      <c r="B89" s="49"/>
      <c r="C89" s="81"/>
      <c r="D89" s="81"/>
      <c r="E89" s="81"/>
      <c r="F89" s="81"/>
      <c r="G89" s="71" t="s">
        <v>252</v>
      </c>
      <c r="H89" s="81"/>
      <c r="I89" s="81"/>
      <c r="J89" s="81"/>
      <c r="K89" s="81"/>
      <c r="L89" s="81"/>
      <c r="M89" s="81"/>
      <c r="N89" s="79"/>
    </row>
    <row r="90" spans="2:14">
      <c r="B90" s="85"/>
      <c r="C90" s="66"/>
      <c r="D90" s="66"/>
      <c r="E90" s="66"/>
      <c r="F90" s="66"/>
      <c r="G90" s="66" t="s">
        <v>253</v>
      </c>
      <c r="H90" s="66"/>
      <c r="I90" s="66"/>
      <c r="J90" s="66"/>
      <c r="K90" s="66"/>
      <c r="L90" s="66"/>
      <c r="M90" s="66"/>
      <c r="N90" s="73"/>
    </row>
    <row r="91" spans="2:14" ht="13.5">
      <c r="B91" s="92" t="s">
        <v>254</v>
      </c>
      <c r="C91" s="93"/>
      <c r="D91" s="93"/>
      <c r="E91" s="93"/>
      <c r="F91" s="93"/>
      <c r="G91" s="93"/>
      <c r="H91" s="93"/>
      <c r="I91" s="93"/>
      <c r="J91" s="93"/>
      <c r="K91" s="93"/>
      <c r="L91" s="93"/>
      <c r="M91" s="93"/>
      <c r="N91" s="94"/>
    </row>
    <row r="92" spans="2:14">
      <c r="B92" s="1874"/>
      <c r="C92" s="1875"/>
      <c r="D92" s="1875"/>
      <c r="E92" s="1875"/>
      <c r="F92" s="1875"/>
      <c r="G92" s="1875"/>
      <c r="H92" s="1875"/>
      <c r="I92" s="1875"/>
      <c r="J92" s="1875"/>
      <c r="K92" s="1875"/>
      <c r="L92" s="1875"/>
      <c r="M92" s="1875"/>
      <c r="N92" s="1876"/>
    </row>
    <row r="93" spans="2:14">
      <c r="B93" s="1874"/>
      <c r="C93" s="1875"/>
      <c r="D93" s="1875"/>
      <c r="E93" s="1875"/>
      <c r="F93" s="1875"/>
      <c r="G93" s="1875"/>
      <c r="H93" s="1875"/>
      <c r="I93" s="1875"/>
      <c r="J93" s="1875"/>
      <c r="K93" s="1875"/>
      <c r="L93" s="1875"/>
      <c r="M93" s="1875"/>
      <c r="N93" s="1876"/>
    </row>
    <row r="94" spans="2:14">
      <c r="B94" s="49"/>
      <c r="C94" s="81"/>
      <c r="D94" s="81"/>
      <c r="E94" s="81"/>
      <c r="F94" s="81"/>
      <c r="G94" s="81"/>
      <c r="H94" s="81"/>
      <c r="I94" s="81"/>
      <c r="J94" s="81"/>
      <c r="K94" s="81"/>
      <c r="L94" s="81"/>
      <c r="M94" s="81"/>
      <c r="N94" s="79"/>
    </row>
    <row r="95" spans="2:14">
      <c r="B95" s="406" t="s">
        <v>719</v>
      </c>
      <c r="C95" s="81"/>
      <c r="D95" s="81"/>
      <c r="E95" s="81"/>
      <c r="F95" s="81"/>
      <c r="G95" s="81"/>
      <c r="H95" s="81"/>
      <c r="I95" s="81"/>
      <c r="J95" s="81"/>
      <c r="K95" s="81"/>
      <c r="L95" s="81"/>
      <c r="M95" s="81"/>
      <c r="N95" s="79"/>
    </row>
    <row r="96" spans="2:14" ht="12.75" customHeight="1">
      <c r="B96" s="1871" t="s">
        <v>720</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1871" t="s">
        <v>721</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49"/>
      <c r="C100" s="81"/>
      <c r="D100" s="81"/>
      <c r="E100" s="81"/>
      <c r="F100" s="81"/>
      <c r="G100" s="81"/>
      <c r="H100" s="81"/>
      <c r="I100" s="81"/>
      <c r="J100" s="81"/>
      <c r="K100" s="81"/>
      <c r="L100" s="81"/>
      <c r="M100" s="81"/>
      <c r="N100" s="79"/>
    </row>
    <row r="101" spans="2:14">
      <c r="B101" s="85"/>
      <c r="C101" s="66"/>
      <c r="D101" s="66"/>
      <c r="E101" s="66"/>
      <c r="F101" s="66"/>
      <c r="G101" s="71" t="s">
        <v>249</v>
      </c>
      <c r="H101" s="66"/>
      <c r="I101" s="66"/>
      <c r="J101" s="66"/>
      <c r="K101" s="66"/>
      <c r="L101" s="66"/>
      <c r="M101" s="66"/>
      <c r="N101" s="73"/>
    </row>
    <row r="102" spans="2:14">
      <c r="B102" s="85"/>
      <c r="C102" s="66"/>
      <c r="D102" s="66"/>
      <c r="E102" s="66"/>
      <c r="F102" s="66"/>
      <c r="G102" s="66" t="s">
        <v>250</v>
      </c>
      <c r="H102" s="86"/>
      <c r="I102" s="86"/>
      <c r="J102" s="86"/>
      <c r="K102" s="66"/>
      <c r="L102" s="66"/>
      <c r="M102" s="66"/>
      <c r="N102" s="73"/>
    </row>
    <row r="103" spans="2:14">
      <c r="B103" s="85"/>
      <c r="C103" s="66"/>
      <c r="D103" s="66"/>
      <c r="E103" s="66"/>
      <c r="F103" s="66"/>
      <c r="G103" s="66" t="s">
        <v>255</v>
      </c>
      <c r="H103" s="80"/>
      <c r="I103" s="80"/>
      <c r="J103" s="80"/>
      <c r="M103" s="66"/>
      <c r="N103" s="73"/>
    </row>
    <row r="104" spans="2:14">
      <c r="B104" s="127"/>
      <c r="C104" s="81"/>
      <c r="D104" s="81"/>
      <c r="E104" s="81"/>
      <c r="F104" s="81"/>
      <c r="G104" s="66" t="s">
        <v>252</v>
      </c>
      <c r="K104" s="81"/>
      <c r="L104" s="81"/>
      <c r="M104" s="81"/>
      <c r="N104" s="79"/>
    </row>
    <row r="105" spans="2:14" ht="17.25" customHeight="1">
      <c r="B105" s="138" t="s">
        <v>722</v>
      </c>
      <c r="C105" s="128"/>
      <c r="D105" s="128"/>
      <c r="E105" s="66"/>
      <c r="F105" s="66"/>
      <c r="G105" s="66"/>
      <c r="H105" s="66"/>
      <c r="I105" s="66"/>
      <c r="J105" s="1863"/>
      <c r="K105" s="1863"/>
      <c r="L105" s="1863"/>
      <c r="M105" s="1863"/>
      <c r="N105" s="1864"/>
    </row>
    <row r="106" spans="2:14"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31641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6417" r:id="rId3"/>
      </mc:Fallback>
    </mc:AlternateContent>
  </oleObjects>
  <mc:AlternateContent xmlns:mc="http://schemas.openxmlformats.org/markup-compatibility/2006">
    <mc:Choice Requires="x14">
      <controls>
        <mc:AlternateContent xmlns:mc="http://schemas.openxmlformats.org/markup-compatibility/2006">
          <mc:Choice Requires="x14">
            <control shapeId="31642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642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dimension ref="B1:N106"/>
  <sheetViews>
    <sheetView showGridLines="0" topLeftCell="A36"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28515625" style="39" customWidth="1"/>
    <col min="1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387</v>
      </c>
      <c r="C34" s="1885" t="s">
        <v>655</v>
      </c>
      <c r="D34" s="1887"/>
      <c r="E34" s="1887"/>
      <c r="F34" s="1887"/>
      <c r="G34" s="1887"/>
      <c r="H34" s="1887"/>
      <c r="I34" s="1887"/>
      <c r="J34" s="1887"/>
      <c r="K34" s="1886"/>
      <c r="L34" s="1885" t="s">
        <v>82</v>
      </c>
      <c r="M34" s="1886"/>
      <c r="N34" s="177">
        <v>120728</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22</v>
      </c>
      <c r="C39" s="1840"/>
      <c r="D39" s="1840"/>
      <c r="E39" s="1840"/>
      <c r="F39" s="1841"/>
      <c r="G39" s="1842"/>
      <c r="H39" s="1841"/>
      <c r="I39" s="1842"/>
      <c r="J39" s="1841"/>
      <c r="K39" s="88">
        <v>29767.5</v>
      </c>
      <c r="L39" s="1922">
        <v>250</v>
      </c>
      <c r="M39" s="1923"/>
      <c r="N39" s="89">
        <v>119.07</v>
      </c>
    </row>
    <row r="40" spans="2:14">
      <c r="B40" s="1839" t="s">
        <v>278</v>
      </c>
      <c r="C40" s="1840"/>
      <c r="D40" s="1840"/>
      <c r="E40" s="1840"/>
      <c r="F40" s="1841"/>
      <c r="G40" s="1842"/>
      <c r="H40" s="1841"/>
      <c r="I40" s="1842"/>
      <c r="J40" s="1841"/>
      <c r="K40" s="88">
        <v>11025</v>
      </c>
      <c r="L40" s="1922">
        <v>250</v>
      </c>
      <c r="M40" s="1923"/>
      <c r="N40" s="89">
        <v>44.1</v>
      </c>
    </row>
    <row r="41" spans="2:14">
      <c r="B41" s="1839" t="s">
        <v>77</v>
      </c>
      <c r="C41" s="1840"/>
      <c r="D41" s="1840"/>
      <c r="E41" s="1840"/>
      <c r="F41" s="1841"/>
      <c r="G41" s="1842"/>
      <c r="H41" s="1841"/>
      <c r="I41" s="1842"/>
      <c r="J41" s="1841"/>
      <c r="K41" s="88"/>
      <c r="L41" s="1920"/>
      <c r="M41" s="1921"/>
      <c r="N41" s="89">
        <v>9.4741274999999998</v>
      </c>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172.6441275</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21</v>
      </c>
      <c r="C48" s="1840"/>
      <c r="D48" s="1840"/>
      <c r="E48" s="1840"/>
      <c r="F48" s="1840"/>
      <c r="G48" s="1840"/>
      <c r="H48" s="1840"/>
      <c r="I48" s="1841"/>
      <c r="J48" s="131" t="s">
        <v>33</v>
      </c>
      <c r="K48" s="132">
        <v>1</v>
      </c>
      <c r="L48" s="1852">
        <v>4800</v>
      </c>
      <c r="M48" s="1853"/>
      <c r="N48" s="89">
        <v>4800</v>
      </c>
    </row>
    <row r="49" spans="2:14">
      <c r="B49" s="1839" t="s">
        <v>279</v>
      </c>
      <c r="C49" s="1840"/>
      <c r="D49" s="1840"/>
      <c r="E49" s="1840"/>
      <c r="F49" s="1840"/>
      <c r="G49" s="1840"/>
      <c r="H49" s="1840"/>
      <c r="I49" s="1841"/>
      <c r="J49" s="131" t="s">
        <v>41</v>
      </c>
      <c r="K49" s="132">
        <v>0.01</v>
      </c>
      <c r="L49" s="1852">
        <v>4270</v>
      </c>
      <c r="M49" s="1853"/>
      <c r="N49" s="89">
        <v>42.7</v>
      </c>
    </row>
    <row r="50" spans="2:14">
      <c r="B50" s="1839"/>
      <c r="C50" s="1840"/>
      <c r="D50" s="1840"/>
      <c r="E50" s="1840"/>
      <c r="F50" s="1840"/>
      <c r="G50" s="1840"/>
      <c r="H50" s="1840"/>
      <c r="I50" s="1841"/>
      <c r="J50" s="131"/>
      <c r="K50" s="132"/>
      <c r="L50" s="1852"/>
      <c r="M50" s="1853"/>
      <c r="N50" s="89"/>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131"/>
      <c r="K52" s="144"/>
      <c r="L52" s="1852"/>
      <c r="M52" s="1853"/>
      <c r="N52" s="89"/>
    </row>
    <row r="53" spans="2:14" ht="14.25" thickBot="1">
      <c r="B53" s="1848" t="s">
        <v>188</v>
      </c>
      <c r="C53" s="1849"/>
      <c r="D53" s="1849"/>
      <c r="E53" s="1849"/>
      <c r="F53" s="1849"/>
      <c r="G53" s="1849"/>
      <c r="H53" s="1849"/>
      <c r="I53" s="1849"/>
      <c r="J53" s="1849"/>
      <c r="K53" s="1849"/>
      <c r="L53" s="1849"/>
      <c r="M53" s="1850"/>
      <c r="N53" s="99">
        <v>4842.7</v>
      </c>
    </row>
    <row r="54" spans="2:14">
      <c r="B54" s="1766" t="s">
        <v>51</v>
      </c>
      <c r="C54" s="1767"/>
      <c r="D54" s="1767"/>
      <c r="E54" s="1767"/>
      <c r="F54" s="1767"/>
      <c r="G54" s="1767"/>
      <c r="H54" s="1767"/>
      <c r="I54" s="1767"/>
      <c r="J54" s="1767"/>
      <c r="K54" s="1767"/>
      <c r="L54" s="1767"/>
      <c r="M54" s="1767"/>
      <c r="N54" s="1768"/>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96"/>
      <c r="J58" s="133"/>
      <c r="K58" s="134"/>
      <c r="L58" s="1859"/>
      <c r="M58" s="1860"/>
      <c r="N58" s="135"/>
    </row>
    <row r="59" spans="2:14">
      <c r="B59" s="1839"/>
      <c r="C59" s="1840"/>
      <c r="D59" s="1840"/>
      <c r="E59" s="1840"/>
      <c r="F59" s="1840"/>
      <c r="G59" s="1840"/>
      <c r="H59" s="1840"/>
      <c r="I59" s="96"/>
      <c r="J59" s="133"/>
      <c r="K59" s="134"/>
      <c r="L59" s="1859"/>
      <c r="M59" s="1860"/>
      <c r="N59" s="135"/>
    </row>
    <row r="60" spans="2:14" ht="13.5" thickBot="1">
      <c r="B60" s="1834"/>
      <c r="C60" s="1835"/>
      <c r="D60" s="1835"/>
      <c r="E60" s="1835"/>
      <c r="F60" s="1835"/>
      <c r="G60" s="1835"/>
      <c r="H60" s="1835"/>
      <c r="I60" s="136"/>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0</v>
      </c>
    </row>
    <row r="62" spans="2:14">
      <c r="B62" s="1766" t="s">
        <v>52</v>
      </c>
      <c r="C62" s="1767"/>
      <c r="D62" s="1767"/>
      <c r="E62" s="1767"/>
      <c r="F62" s="1767"/>
      <c r="G62" s="1767"/>
      <c r="H62" s="1767"/>
      <c r="I62" s="1767"/>
      <c r="J62" s="1767"/>
      <c r="K62" s="1767"/>
      <c r="L62" s="1767"/>
      <c r="M62" s="1767"/>
      <c r="N62" s="1768"/>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181" t="s">
        <v>46</v>
      </c>
      <c r="K65" s="182" t="s">
        <v>197</v>
      </c>
      <c r="L65" s="1829" t="s">
        <v>186</v>
      </c>
      <c r="M65" s="1832"/>
      <c r="N65" s="179" t="s">
        <v>191</v>
      </c>
    </row>
    <row r="66" spans="2:14">
      <c r="B66" s="149" t="s">
        <v>1</v>
      </c>
      <c r="C66" s="150"/>
      <c r="D66" s="150"/>
      <c r="E66" s="150"/>
      <c r="F66" s="150"/>
      <c r="G66" s="150"/>
      <c r="H66" s="150"/>
      <c r="I66" s="107">
        <v>164400</v>
      </c>
      <c r="J66" s="108">
        <v>1.85</v>
      </c>
      <c r="K66" s="109">
        <v>304140</v>
      </c>
      <c r="L66" s="1861">
        <v>2000</v>
      </c>
      <c r="M66" s="1862"/>
      <c r="N66" s="110">
        <v>152.07</v>
      </c>
    </row>
    <row r="67" spans="2:14">
      <c r="B67" s="149" t="s">
        <v>48</v>
      </c>
      <c r="C67" s="150"/>
      <c r="D67" s="150"/>
      <c r="E67" s="150"/>
      <c r="F67" s="150"/>
      <c r="G67" s="150"/>
      <c r="H67" s="150"/>
      <c r="I67" s="107">
        <v>40446</v>
      </c>
      <c r="J67" s="108">
        <v>1.85</v>
      </c>
      <c r="K67" s="109">
        <v>74825.100000000006</v>
      </c>
      <c r="L67" s="1861">
        <v>2000</v>
      </c>
      <c r="M67" s="1862"/>
      <c r="N67" s="110">
        <v>37.412550000000003</v>
      </c>
    </row>
    <row r="68" spans="2:14">
      <c r="B68" s="149"/>
      <c r="C68" s="150"/>
      <c r="D68" s="150"/>
      <c r="E68" s="150"/>
      <c r="F68" s="150"/>
      <c r="G68" s="150"/>
      <c r="H68" s="150"/>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189.48255</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5204.8266774999993</v>
      </c>
    </row>
    <row r="73" spans="2:14">
      <c r="B73" s="1766" t="s">
        <v>53</v>
      </c>
      <c r="C73" s="1767"/>
      <c r="D73" s="1767"/>
      <c r="E73" s="1767"/>
      <c r="F73" s="1767"/>
      <c r="G73" s="1767"/>
      <c r="H73" s="1767"/>
      <c r="I73" s="1767"/>
      <c r="J73" s="1767"/>
      <c r="K73" s="1767"/>
      <c r="L73" s="1767"/>
      <c r="M73" s="1767"/>
      <c r="N73" s="1768"/>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181"/>
      <c r="J76" s="187"/>
      <c r="K76" s="184" t="s">
        <v>54</v>
      </c>
      <c r="L76" s="1857" t="s">
        <v>55</v>
      </c>
      <c r="M76" s="1858"/>
      <c r="N76" s="185"/>
    </row>
    <row r="77" spans="2:14">
      <c r="B77" s="1839" t="s">
        <v>44</v>
      </c>
      <c r="C77" s="1840"/>
      <c r="D77" s="1840"/>
      <c r="E77" s="1840"/>
      <c r="F77" s="1840"/>
      <c r="G77" s="1840"/>
      <c r="H77" s="1840"/>
      <c r="I77" s="113"/>
      <c r="J77" s="114"/>
      <c r="K77" s="192">
        <v>0.22</v>
      </c>
      <c r="L77" s="1877">
        <v>1145.0618690499998</v>
      </c>
      <c r="M77" s="1878"/>
      <c r="N77" s="115"/>
    </row>
    <row r="78" spans="2:14">
      <c r="B78" s="116" t="s">
        <v>56</v>
      </c>
      <c r="C78" s="117"/>
      <c r="D78" s="117"/>
      <c r="E78" s="117"/>
      <c r="F78" s="117"/>
      <c r="G78" s="117"/>
      <c r="H78" s="117"/>
      <c r="I78" s="113"/>
      <c r="J78" s="114"/>
      <c r="K78" s="192">
        <v>0.05</v>
      </c>
      <c r="L78" s="1877">
        <v>260.24133387499995</v>
      </c>
      <c r="M78" s="1878"/>
      <c r="N78" s="115"/>
    </row>
    <row r="79" spans="2:14" ht="13.5" thickBot="1">
      <c r="B79" s="118" t="s">
        <v>45</v>
      </c>
      <c r="C79" s="119"/>
      <c r="D79" s="119"/>
      <c r="E79" s="119"/>
      <c r="F79" s="119"/>
      <c r="G79" s="119"/>
      <c r="H79" s="119"/>
      <c r="I79" s="120"/>
      <c r="J79" s="121"/>
      <c r="K79" s="192">
        <v>0.05</v>
      </c>
      <c r="L79" s="1879">
        <v>260.24133387499995</v>
      </c>
      <c r="M79" s="1880"/>
      <c r="N79" s="115"/>
    </row>
    <row r="80" spans="2:14" ht="14.25" thickBot="1">
      <c r="B80" s="1848" t="s">
        <v>188</v>
      </c>
      <c r="C80" s="1849"/>
      <c r="D80" s="1849"/>
      <c r="E80" s="1849"/>
      <c r="F80" s="1849"/>
      <c r="G80" s="1849"/>
      <c r="H80" s="1849"/>
      <c r="I80" s="1849"/>
      <c r="J80" s="1849"/>
      <c r="K80" s="1849"/>
      <c r="L80" s="1849"/>
      <c r="M80" s="1850"/>
      <c r="N80" s="122">
        <v>1665.5445367999998</v>
      </c>
    </row>
    <row r="81" spans="2:14" ht="13.5" thickBot="1">
      <c r="B81" s="85"/>
      <c r="C81" s="66"/>
      <c r="D81" s="66"/>
      <c r="E81" s="66"/>
      <c r="F81" s="66"/>
      <c r="G81" s="66"/>
      <c r="H81" s="66"/>
      <c r="I81" s="66"/>
      <c r="J81" s="66"/>
      <c r="K81" s="66"/>
      <c r="L81" s="66"/>
      <c r="M81" s="66"/>
      <c r="N81" s="73"/>
    </row>
    <row r="82" spans="2:14" ht="13.5" thickBot="1">
      <c r="B82" s="1854" t="s">
        <v>199</v>
      </c>
      <c r="C82" s="1855"/>
      <c r="D82" s="1855"/>
      <c r="E82" s="1855"/>
      <c r="F82" s="1855"/>
      <c r="G82" s="1855"/>
      <c r="H82" s="1855"/>
      <c r="I82" s="1855"/>
      <c r="J82" s="1855"/>
      <c r="K82" s="1855"/>
      <c r="L82" s="1855"/>
      <c r="M82" s="1856"/>
      <c r="N82" s="188">
        <v>6870</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249</v>
      </c>
      <c r="H86" s="71"/>
      <c r="I86" s="71"/>
      <c r="J86" s="71"/>
      <c r="K86" s="66"/>
      <c r="L86" s="66"/>
      <c r="M86" s="66"/>
      <c r="N86" s="73"/>
    </row>
    <row r="87" spans="2:14" ht="13.5">
      <c r="B87" s="123"/>
      <c r="C87" s="124"/>
      <c r="D87" s="124"/>
      <c r="E87" s="124"/>
      <c r="F87" s="124"/>
      <c r="G87" s="71" t="s">
        <v>250</v>
      </c>
      <c r="H87" s="124"/>
      <c r="I87" s="124"/>
      <c r="J87" s="124"/>
      <c r="K87" s="124"/>
      <c r="L87" s="124"/>
      <c r="M87" s="124"/>
      <c r="N87" s="125"/>
    </row>
    <row r="88" spans="2:14" ht="13.5">
      <c r="B88" s="123"/>
      <c r="C88" s="124"/>
      <c r="D88" s="124"/>
      <c r="E88" s="124"/>
      <c r="F88" s="124"/>
      <c r="G88" s="71" t="s">
        <v>251</v>
      </c>
      <c r="J88" s="124"/>
      <c r="K88" s="124"/>
      <c r="L88" s="124"/>
      <c r="M88" s="124"/>
      <c r="N88" s="125"/>
    </row>
    <row r="89" spans="2:14">
      <c r="B89" s="49"/>
      <c r="C89" s="81"/>
      <c r="D89" s="81"/>
      <c r="E89" s="81"/>
      <c r="F89" s="81"/>
      <c r="G89" s="71" t="s">
        <v>252</v>
      </c>
      <c r="H89" s="81"/>
      <c r="I89" s="81"/>
      <c r="J89" s="81"/>
      <c r="K89" s="81"/>
      <c r="L89" s="81"/>
      <c r="M89" s="81"/>
      <c r="N89" s="79"/>
    </row>
    <row r="90" spans="2:14">
      <c r="B90" s="85"/>
      <c r="C90" s="66"/>
      <c r="D90" s="66"/>
      <c r="E90" s="66"/>
      <c r="F90" s="66"/>
      <c r="G90" s="66" t="s">
        <v>253</v>
      </c>
      <c r="H90" s="66"/>
      <c r="I90" s="66"/>
      <c r="J90" s="66"/>
      <c r="K90" s="66"/>
      <c r="L90" s="66"/>
      <c r="M90" s="66"/>
      <c r="N90" s="73"/>
    </row>
    <row r="91" spans="2:14" ht="13.5">
      <c r="B91" s="92" t="s">
        <v>254</v>
      </c>
      <c r="C91" s="93"/>
      <c r="D91" s="93"/>
      <c r="E91" s="93"/>
      <c r="F91" s="93"/>
      <c r="G91" s="93"/>
      <c r="H91" s="93"/>
      <c r="I91" s="93"/>
      <c r="J91" s="93"/>
      <c r="K91" s="93"/>
      <c r="L91" s="93"/>
      <c r="M91" s="93"/>
      <c r="N91" s="94"/>
    </row>
    <row r="92" spans="2:14">
      <c r="B92" s="1874"/>
      <c r="C92" s="1875"/>
      <c r="D92" s="1875"/>
      <c r="E92" s="1875"/>
      <c r="F92" s="1875"/>
      <c r="G92" s="1875"/>
      <c r="H92" s="1875"/>
      <c r="I92" s="1875"/>
      <c r="J92" s="1875"/>
      <c r="K92" s="1875"/>
      <c r="L92" s="1875"/>
      <c r="M92" s="1875"/>
      <c r="N92" s="1876"/>
    </row>
    <row r="93" spans="2:14">
      <c r="B93" s="1874"/>
      <c r="C93" s="1875"/>
      <c r="D93" s="1875"/>
      <c r="E93" s="1875"/>
      <c r="F93" s="1875"/>
      <c r="G93" s="1875"/>
      <c r="H93" s="1875"/>
      <c r="I93" s="1875"/>
      <c r="J93" s="1875"/>
      <c r="K93" s="1875"/>
      <c r="L93" s="1875"/>
      <c r="M93" s="1875"/>
      <c r="N93" s="1876"/>
    </row>
    <row r="94" spans="2:14">
      <c r="B94" s="49"/>
      <c r="C94" s="81"/>
      <c r="D94" s="81"/>
      <c r="E94" s="81"/>
      <c r="F94" s="81"/>
      <c r="G94" s="81"/>
      <c r="H94" s="81"/>
      <c r="I94" s="81"/>
      <c r="J94" s="81"/>
      <c r="K94" s="81"/>
      <c r="L94" s="81"/>
      <c r="M94" s="81"/>
      <c r="N94" s="79"/>
    </row>
    <row r="95" spans="2:14">
      <c r="B95" s="406" t="s">
        <v>719</v>
      </c>
      <c r="C95" s="81"/>
      <c r="D95" s="81"/>
      <c r="E95" s="81"/>
      <c r="F95" s="81"/>
      <c r="G95" s="81"/>
      <c r="H95" s="81"/>
      <c r="I95" s="81"/>
      <c r="J95" s="81"/>
      <c r="K95" s="81"/>
      <c r="L95" s="81"/>
      <c r="M95" s="81"/>
      <c r="N95" s="79"/>
    </row>
    <row r="96" spans="2:14" ht="12.75" customHeight="1">
      <c r="B96" s="1871" t="s">
        <v>720</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1871" t="s">
        <v>721</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49"/>
      <c r="C100" s="81"/>
      <c r="D100" s="81"/>
      <c r="E100" s="81"/>
      <c r="F100" s="81"/>
      <c r="G100" s="81"/>
      <c r="H100" s="81"/>
      <c r="I100" s="81"/>
      <c r="J100" s="81"/>
      <c r="K100" s="81"/>
      <c r="L100" s="81"/>
      <c r="M100" s="81"/>
      <c r="N100" s="79"/>
    </row>
    <row r="101" spans="2:14">
      <c r="B101" s="85"/>
      <c r="C101" s="66"/>
      <c r="D101" s="66"/>
      <c r="E101" s="66"/>
      <c r="F101" s="66"/>
      <c r="G101" s="71" t="s">
        <v>249</v>
      </c>
      <c r="H101" s="66"/>
      <c r="I101" s="66"/>
      <c r="J101" s="66"/>
      <c r="K101" s="66"/>
      <c r="L101" s="66"/>
      <c r="M101" s="66"/>
      <c r="N101" s="73"/>
    </row>
    <row r="102" spans="2:14">
      <c r="B102" s="85"/>
      <c r="C102" s="66"/>
      <c r="D102" s="66"/>
      <c r="E102" s="66"/>
      <c r="F102" s="66"/>
      <c r="G102" s="66" t="s">
        <v>250</v>
      </c>
      <c r="H102" s="86"/>
      <c r="I102" s="86"/>
      <c r="J102" s="86"/>
      <c r="K102" s="66"/>
      <c r="L102" s="66"/>
      <c r="M102" s="66"/>
      <c r="N102" s="73"/>
    </row>
    <row r="103" spans="2:14">
      <c r="B103" s="85"/>
      <c r="C103" s="66"/>
      <c r="D103" s="66"/>
      <c r="E103" s="66"/>
      <c r="F103" s="66"/>
      <c r="G103" s="66" t="s">
        <v>255</v>
      </c>
      <c r="H103" s="80"/>
      <c r="I103" s="80"/>
      <c r="J103" s="80"/>
      <c r="M103" s="66"/>
      <c r="N103" s="73"/>
    </row>
    <row r="104" spans="2:14">
      <c r="B104" s="127"/>
      <c r="C104" s="81"/>
      <c r="D104" s="81"/>
      <c r="E104" s="81"/>
      <c r="F104" s="81"/>
      <c r="G104" s="66" t="s">
        <v>252</v>
      </c>
      <c r="K104" s="81"/>
      <c r="L104" s="81"/>
      <c r="M104" s="81"/>
      <c r="N104" s="79"/>
    </row>
    <row r="105" spans="2:14" ht="17.25" customHeight="1">
      <c r="B105" s="138" t="s">
        <v>722</v>
      </c>
      <c r="C105" s="128"/>
      <c r="D105" s="128"/>
      <c r="E105" s="66"/>
      <c r="F105" s="66"/>
      <c r="G105" s="66"/>
      <c r="H105" s="66"/>
      <c r="I105" s="66"/>
      <c r="J105" s="1863"/>
      <c r="K105" s="1863"/>
      <c r="L105" s="1863"/>
      <c r="M105" s="1863"/>
      <c r="N105" s="1864"/>
    </row>
    <row r="106" spans="2:14"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84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8465" r:id="rId3"/>
      </mc:Fallback>
    </mc:AlternateContent>
  </oleObjects>
  <mc:AlternateContent xmlns:mc="http://schemas.openxmlformats.org/markup-compatibility/2006">
    <mc:Choice Requires="x14">
      <controls>
        <mc:AlternateContent xmlns:mc="http://schemas.openxmlformats.org/markup-compatibility/2006">
          <mc:Choice Requires="x14">
            <control shapeId="31846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846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dimension ref="B1:N106"/>
  <sheetViews>
    <sheetView showGridLines="0" topLeftCell="A44"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7109375" style="39" customWidth="1"/>
    <col min="12" max="13" width="11.42578125" style="39"/>
    <col min="14" max="14" width="12.8554687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ht="36" customHeight="1">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388</v>
      </c>
      <c r="C34" s="1885" t="s">
        <v>656</v>
      </c>
      <c r="D34" s="1887"/>
      <c r="E34" s="1887"/>
      <c r="F34" s="1887"/>
      <c r="G34" s="1887"/>
      <c r="H34" s="1887"/>
      <c r="I34" s="1887"/>
      <c r="J34" s="1887"/>
      <c r="K34" s="1886"/>
      <c r="L34" s="1885" t="s">
        <v>82</v>
      </c>
      <c r="M34" s="1886"/>
      <c r="N34" s="177">
        <v>215</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22</v>
      </c>
      <c r="C39" s="1840"/>
      <c r="D39" s="1840"/>
      <c r="E39" s="1840"/>
      <c r="F39" s="1841"/>
      <c r="G39" s="1842"/>
      <c r="H39" s="1841"/>
      <c r="I39" s="1842"/>
      <c r="J39" s="1841"/>
      <c r="K39" s="88">
        <v>29767.5</v>
      </c>
      <c r="L39" s="1922">
        <v>10</v>
      </c>
      <c r="M39" s="1923"/>
      <c r="N39" s="89">
        <v>2976.75</v>
      </c>
    </row>
    <row r="40" spans="2:14">
      <c r="B40" s="1839" t="s">
        <v>77</v>
      </c>
      <c r="C40" s="1840"/>
      <c r="D40" s="1840"/>
      <c r="E40" s="1840"/>
      <c r="F40" s="1841"/>
      <c r="G40" s="1842"/>
      <c r="H40" s="1841"/>
      <c r="I40" s="1842"/>
      <c r="J40" s="1841"/>
      <c r="K40" s="88"/>
      <c r="L40" s="1922"/>
      <c r="M40" s="1923"/>
      <c r="N40" s="89">
        <v>1620.6792857142857</v>
      </c>
    </row>
    <row r="41" spans="2:14">
      <c r="B41" s="1839"/>
      <c r="C41" s="1840"/>
      <c r="D41" s="1840"/>
      <c r="E41" s="1840"/>
      <c r="F41" s="1841"/>
      <c r="G41" s="1842"/>
      <c r="H41" s="1841"/>
      <c r="I41" s="1842"/>
      <c r="J41" s="1841"/>
      <c r="K41" s="88"/>
      <c r="L41" s="1920"/>
      <c r="M41" s="1921"/>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4597.4292857142855</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4</v>
      </c>
      <c r="C48" s="1840"/>
      <c r="D48" s="1840"/>
      <c r="E48" s="1840"/>
      <c r="F48" s="1840"/>
      <c r="G48" s="1840"/>
      <c r="H48" s="1840"/>
      <c r="I48" s="1841"/>
      <c r="J48" s="131" t="s">
        <v>40</v>
      </c>
      <c r="K48" s="132">
        <v>4.4999999999999998E-2</v>
      </c>
      <c r="L48" s="1852">
        <v>306200.6846875</v>
      </c>
      <c r="M48" s="1853"/>
      <c r="N48" s="89">
        <v>13779.0308109375</v>
      </c>
    </row>
    <row r="49" spans="2:14" ht="25.5" customHeight="1">
      <c r="B49" s="1839" t="s">
        <v>280</v>
      </c>
      <c r="C49" s="1840"/>
      <c r="D49" s="1840"/>
      <c r="E49" s="1840"/>
      <c r="F49" s="1840"/>
      <c r="G49" s="1840"/>
      <c r="H49" s="1840"/>
      <c r="I49" s="1841"/>
      <c r="J49" s="131" t="s">
        <v>32</v>
      </c>
      <c r="K49" s="132">
        <v>1</v>
      </c>
      <c r="L49" s="1852">
        <v>183400</v>
      </c>
      <c r="M49" s="1853"/>
      <c r="N49" s="89">
        <v>183400</v>
      </c>
    </row>
    <row r="50" spans="2:14">
      <c r="B50" s="1839"/>
      <c r="C50" s="1840"/>
      <c r="D50" s="1840"/>
      <c r="E50" s="1840"/>
      <c r="F50" s="1840"/>
      <c r="G50" s="1840"/>
      <c r="H50" s="1840"/>
      <c r="I50" s="1841"/>
      <c r="J50" s="131"/>
      <c r="K50" s="132"/>
      <c r="L50" s="1852"/>
      <c r="M50" s="1853"/>
      <c r="N50" s="89"/>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131"/>
      <c r="K52" s="144"/>
      <c r="L52" s="1852"/>
      <c r="M52" s="1853"/>
      <c r="N52" s="89"/>
    </row>
    <row r="53" spans="2:14" ht="14.25" thickBot="1">
      <c r="B53" s="1848" t="s">
        <v>188</v>
      </c>
      <c r="C53" s="1849"/>
      <c r="D53" s="1849"/>
      <c r="E53" s="1849"/>
      <c r="F53" s="1849"/>
      <c r="G53" s="1849"/>
      <c r="H53" s="1849"/>
      <c r="I53" s="1849"/>
      <c r="J53" s="1849"/>
      <c r="K53" s="1849"/>
      <c r="L53" s="1849"/>
      <c r="M53" s="1850"/>
      <c r="N53" s="99">
        <v>197179.03081093749</v>
      </c>
    </row>
    <row r="54" spans="2:14">
      <c r="B54" s="1766" t="s">
        <v>51</v>
      </c>
      <c r="C54" s="1767"/>
      <c r="D54" s="1767"/>
      <c r="E54" s="1767"/>
      <c r="F54" s="1767"/>
      <c r="G54" s="1767"/>
      <c r="H54" s="1767"/>
      <c r="I54" s="1767"/>
      <c r="J54" s="1767"/>
      <c r="K54" s="1767"/>
      <c r="L54" s="1767"/>
      <c r="M54" s="1767"/>
      <c r="N54" s="1768"/>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96"/>
      <c r="J58" s="133"/>
      <c r="K58" s="134"/>
      <c r="L58" s="1859"/>
      <c r="M58" s="1860"/>
      <c r="N58" s="135"/>
    </row>
    <row r="59" spans="2:14">
      <c r="B59" s="1839"/>
      <c r="C59" s="1840"/>
      <c r="D59" s="1840"/>
      <c r="E59" s="1840"/>
      <c r="F59" s="1840"/>
      <c r="G59" s="1840"/>
      <c r="H59" s="1840"/>
      <c r="I59" s="96"/>
      <c r="J59" s="133"/>
      <c r="K59" s="134"/>
      <c r="L59" s="1859"/>
      <c r="M59" s="1860"/>
      <c r="N59" s="135"/>
    </row>
    <row r="60" spans="2:14" ht="13.5" thickBot="1">
      <c r="B60" s="1834"/>
      <c r="C60" s="1835"/>
      <c r="D60" s="1835"/>
      <c r="E60" s="1835"/>
      <c r="F60" s="1835"/>
      <c r="G60" s="1835"/>
      <c r="H60" s="1835"/>
      <c r="I60" s="136"/>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0</v>
      </c>
    </row>
    <row r="62" spans="2:14">
      <c r="B62" s="1766" t="s">
        <v>52</v>
      </c>
      <c r="C62" s="1767"/>
      <c r="D62" s="1767"/>
      <c r="E62" s="1767"/>
      <c r="F62" s="1767"/>
      <c r="G62" s="1767"/>
      <c r="H62" s="1767"/>
      <c r="I62" s="1767"/>
      <c r="J62" s="1767"/>
      <c r="K62" s="1767"/>
      <c r="L62" s="1767"/>
      <c r="M62" s="1767"/>
      <c r="N62" s="1768"/>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181" t="s">
        <v>46</v>
      </c>
      <c r="K65" s="182" t="s">
        <v>197</v>
      </c>
      <c r="L65" s="1829" t="s">
        <v>186</v>
      </c>
      <c r="M65" s="1832"/>
      <c r="N65" s="179" t="s">
        <v>191</v>
      </c>
    </row>
    <row r="66" spans="2:14">
      <c r="B66" s="149" t="s">
        <v>62</v>
      </c>
      <c r="C66" s="150"/>
      <c r="D66" s="150"/>
      <c r="E66" s="150"/>
      <c r="F66" s="150"/>
      <c r="G66" s="150"/>
      <c r="H66" s="150"/>
      <c r="I66" s="107">
        <v>82200</v>
      </c>
      <c r="J66" s="108">
        <v>1.85</v>
      </c>
      <c r="K66" s="109">
        <v>152070</v>
      </c>
      <c r="L66" s="1861">
        <v>7</v>
      </c>
      <c r="M66" s="1862"/>
      <c r="N66" s="110">
        <v>21724.285714285714</v>
      </c>
    </row>
    <row r="67" spans="2:14">
      <c r="B67" s="149" t="s">
        <v>48</v>
      </c>
      <c r="C67" s="150"/>
      <c r="D67" s="150"/>
      <c r="E67" s="150"/>
      <c r="F67" s="150"/>
      <c r="G67" s="150"/>
      <c r="H67" s="150"/>
      <c r="I67" s="107">
        <v>40446</v>
      </c>
      <c r="J67" s="108">
        <v>1.85</v>
      </c>
      <c r="K67" s="109">
        <v>74825.100000000006</v>
      </c>
      <c r="L67" s="1861">
        <v>7</v>
      </c>
      <c r="M67" s="1862"/>
      <c r="N67" s="110">
        <v>10689.300000000001</v>
      </c>
    </row>
    <row r="68" spans="2:14">
      <c r="B68" s="149"/>
      <c r="C68" s="150"/>
      <c r="D68" s="150"/>
      <c r="E68" s="150"/>
      <c r="F68" s="150"/>
      <c r="G68" s="150"/>
      <c r="H68" s="150"/>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32413.585714285713</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234190.04581093747</v>
      </c>
    </row>
    <row r="73" spans="2:14">
      <c r="B73" s="1766" t="s">
        <v>53</v>
      </c>
      <c r="C73" s="1767"/>
      <c r="D73" s="1767"/>
      <c r="E73" s="1767"/>
      <c r="F73" s="1767"/>
      <c r="G73" s="1767"/>
      <c r="H73" s="1767"/>
      <c r="I73" s="1767"/>
      <c r="J73" s="1767"/>
      <c r="K73" s="1767"/>
      <c r="L73" s="1767"/>
      <c r="M73" s="1767"/>
      <c r="N73" s="1768"/>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181"/>
      <c r="J76" s="187"/>
      <c r="K76" s="184" t="s">
        <v>54</v>
      </c>
      <c r="L76" s="1857" t="s">
        <v>55</v>
      </c>
      <c r="M76" s="1858"/>
      <c r="N76" s="185"/>
    </row>
    <row r="77" spans="2:14">
      <c r="B77" s="1839" t="s">
        <v>44</v>
      </c>
      <c r="C77" s="1840"/>
      <c r="D77" s="1840"/>
      <c r="E77" s="1840"/>
      <c r="F77" s="1840"/>
      <c r="G77" s="1840"/>
      <c r="H77" s="1840"/>
      <c r="I77" s="113"/>
      <c r="J77" s="114"/>
      <c r="K77" s="192">
        <v>0.22</v>
      </c>
      <c r="L77" s="1877">
        <v>51521.810078406248</v>
      </c>
      <c r="M77" s="1878"/>
      <c r="N77" s="115"/>
    </row>
    <row r="78" spans="2:14">
      <c r="B78" s="116" t="s">
        <v>56</v>
      </c>
      <c r="C78" s="117"/>
      <c r="D78" s="117"/>
      <c r="E78" s="117"/>
      <c r="F78" s="117"/>
      <c r="G78" s="117"/>
      <c r="H78" s="117"/>
      <c r="I78" s="113"/>
      <c r="J78" s="114"/>
      <c r="K78" s="192">
        <v>0.05</v>
      </c>
      <c r="L78" s="1877">
        <v>11709.502290546874</v>
      </c>
      <c r="M78" s="1878"/>
      <c r="N78" s="115"/>
    </row>
    <row r="79" spans="2:14" ht="13.5" thickBot="1">
      <c r="B79" s="118" t="s">
        <v>45</v>
      </c>
      <c r="C79" s="119"/>
      <c r="D79" s="119"/>
      <c r="E79" s="119"/>
      <c r="F79" s="119"/>
      <c r="G79" s="119"/>
      <c r="H79" s="119"/>
      <c r="I79" s="120"/>
      <c r="J79" s="121"/>
      <c r="K79" s="192">
        <v>0.05</v>
      </c>
      <c r="L79" s="1879">
        <v>11709.502290546874</v>
      </c>
      <c r="M79" s="1880"/>
      <c r="N79" s="115"/>
    </row>
    <row r="80" spans="2:14" ht="14.25" thickBot="1">
      <c r="B80" s="1848" t="s">
        <v>188</v>
      </c>
      <c r="C80" s="1849"/>
      <c r="D80" s="1849"/>
      <c r="E80" s="1849"/>
      <c r="F80" s="1849"/>
      <c r="G80" s="1849"/>
      <c r="H80" s="1849"/>
      <c r="I80" s="1849"/>
      <c r="J80" s="1849"/>
      <c r="K80" s="1849"/>
      <c r="L80" s="1849"/>
      <c r="M80" s="1850"/>
      <c r="N80" s="122">
        <v>74940.8146595</v>
      </c>
    </row>
    <row r="81" spans="2:14" ht="13.5" thickBot="1">
      <c r="B81" s="85"/>
      <c r="C81" s="66"/>
      <c r="D81" s="66"/>
      <c r="E81" s="66"/>
      <c r="F81" s="66"/>
      <c r="G81" s="66"/>
      <c r="H81" s="66"/>
      <c r="I81" s="66"/>
      <c r="J81" s="66"/>
      <c r="K81" s="66"/>
      <c r="L81" s="66"/>
      <c r="M81" s="66"/>
      <c r="N81" s="73"/>
    </row>
    <row r="82" spans="2:14" ht="13.5" thickBot="1">
      <c r="B82" s="1854" t="s">
        <v>199</v>
      </c>
      <c r="C82" s="1855"/>
      <c r="D82" s="1855"/>
      <c r="E82" s="1855"/>
      <c r="F82" s="1855"/>
      <c r="G82" s="1855"/>
      <c r="H82" s="1855"/>
      <c r="I82" s="1855"/>
      <c r="J82" s="1855"/>
      <c r="K82" s="1855"/>
      <c r="L82" s="1855"/>
      <c r="M82" s="1856"/>
      <c r="N82" s="188">
        <v>309131</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249</v>
      </c>
      <c r="H86" s="71"/>
      <c r="I86" s="71"/>
      <c r="J86" s="71"/>
      <c r="K86" s="66"/>
      <c r="L86" s="66"/>
      <c r="M86" s="66"/>
      <c r="N86" s="73"/>
    </row>
    <row r="87" spans="2:14" ht="13.5">
      <c r="B87" s="123"/>
      <c r="C87" s="124"/>
      <c r="D87" s="124"/>
      <c r="E87" s="124"/>
      <c r="F87" s="124"/>
      <c r="G87" s="71" t="s">
        <v>250</v>
      </c>
      <c r="H87" s="124"/>
      <c r="I87" s="124"/>
      <c r="J87" s="124"/>
      <c r="K87" s="124"/>
      <c r="L87" s="124"/>
      <c r="M87" s="124"/>
      <c r="N87" s="125"/>
    </row>
    <row r="88" spans="2:14" ht="13.5">
      <c r="B88" s="123"/>
      <c r="C88" s="124"/>
      <c r="D88" s="124"/>
      <c r="E88" s="124"/>
      <c r="F88" s="124"/>
      <c r="G88" s="71" t="s">
        <v>251</v>
      </c>
      <c r="J88" s="124"/>
      <c r="K88" s="124"/>
      <c r="L88" s="124"/>
      <c r="M88" s="124"/>
      <c r="N88" s="125"/>
    </row>
    <row r="89" spans="2:14">
      <c r="B89" s="49"/>
      <c r="C89" s="81"/>
      <c r="D89" s="81"/>
      <c r="E89" s="81"/>
      <c r="F89" s="81"/>
      <c r="G89" s="71" t="s">
        <v>252</v>
      </c>
      <c r="H89" s="81"/>
      <c r="I89" s="81"/>
      <c r="J89" s="81"/>
      <c r="K89" s="81"/>
      <c r="L89" s="81"/>
      <c r="M89" s="81"/>
      <c r="N89" s="79"/>
    </row>
    <row r="90" spans="2:14">
      <c r="B90" s="85"/>
      <c r="C90" s="66"/>
      <c r="D90" s="66"/>
      <c r="E90" s="66"/>
      <c r="F90" s="66"/>
      <c r="G90" s="66" t="s">
        <v>253</v>
      </c>
      <c r="H90" s="66"/>
      <c r="I90" s="66"/>
      <c r="J90" s="66"/>
      <c r="K90" s="66"/>
      <c r="L90" s="66"/>
      <c r="M90" s="66"/>
      <c r="N90" s="73"/>
    </row>
    <row r="91" spans="2:14" ht="13.5">
      <c r="B91" s="92" t="s">
        <v>254</v>
      </c>
      <c r="C91" s="93"/>
      <c r="D91" s="93"/>
      <c r="E91" s="93"/>
      <c r="F91" s="93"/>
      <c r="G91" s="93"/>
      <c r="H91" s="93"/>
      <c r="I91" s="93"/>
      <c r="J91" s="93"/>
      <c r="K91" s="93"/>
      <c r="L91" s="93"/>
      <c r="M91" s="93"/>
      <c r="N91" s="94"/>
    </row>
    <row r="92" spans="2:14">
      <c r="B92" s="1874"/>
      <c r="C92" s="1875"/>
      <c r="D92" s="1875"/>
      <c r="E92" s="1875"/>
      <c r="F92" s="1875"/>
      <c r="G92" s="1875"/>
      <c r="H92" s="1875"/>
      <c r="I92" s="1875"/>
      <c r="J92" s="1875"/>
      <c r="K92" s="1875"/>
      <c r="L92" s="1875"/>
      <c r="M92" s="1875"/>
      <c r="N92" s="1876"/>
    </row>
    <row r="93" spans="2:14">
      <c r="B93" s="1874"/>
      <c r="C93" s="1875"/>
      <c r="D93" s="1875"/>
      <c r="E93" s="1875"/>
      <c r="F93" s="1875"/>
      <c r="G93" s="1875"/>
      <c r="H93" s="1875"/>
      <c r="I93" s="1875"/>
      <c r="J93" s="1875"/>
      <c r="K93" s="1875"/>
      <c r="L93" s="1875"/>
      <c r="M93" s="1875"/>
      <c r="N93" s="1876"/>
    </row>
    <row r="94" spans="2:14">
      <c r="B94" s="49"/>
      <c r="C94" s="81"/>
      <c r="D94" s="81"/>
      <c r="E94" s="81"/>
      <c r="F94" s="81"/>
      <c r="G94" s="81"/>
      <c r="H94" s="81"/>
      <c r="I94" s="81"/>
      <c r="J94" s="81"/>
      <c r="K94" s="81"/>
      <c r="L94" s="81"/>
      <c r="M94" s="81"/>
      <c r="N94" s="79"/>
    </row>
    <row r="95" spans="2:14">
      <c r="B95" s="406" t="s">
        <v>719</v>
      </c>
      <c r="C95" s="81"/>
      <c r="D95" s="81"/>
      <c r="E95" s="81"/>
      <c r="F95" s="81"/>
      <c r="G95" s="81"/>
      <c r="H95" s="81"/>
      <c r="I95" s="81"/>
      <c r="J95" s="81"/>
      <c r="K95" s="81"/>
      <c r="L95" s="81"/>
      <c r="M95" s="81"/>
      <c r="N95" s="79"/>
    </row>
    <row r="96" spans="2:14" ht="12.75" customHeight="1">
      <c r="B96" s="1871" t="s">
        <v>720</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1871" t="s">
        <v>721</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49"/>
      <c r="C100" s="81"/>
      <c r="D100" s="81"/>
      <c r="E100" s="81"/>
      <c r="F100" s="81"/>
      <c r="G100" s="81"/>
      <c r="H100" s="81"/>
      <c r="I100" s="81"/>
      <c r="J100" s="81"/>
      <c r="K100" s="81"/>
      <c r="L100" s="81"/>
      <c r="M100" s="81"/>
      <c r="N100" s="79"/>
    </row>
    <row r="101" spans="2:14">
      <c r="B101" s="85"/>
      <c r="C101" s="66"/>
      <c r="D101" s="66"/>
      <c r="E101" s="66"/>
      <c r="F101" s="66"/>
      <c r="G101" s="71" t="s">
        <v>249</v>
      </c>
      <c r="H101" s="66"/>
      <c r="I101" s="66"/>
      <c r="J101" s="66"/>
      <c r="K101" s="66"/>
      <c r="L101" s="66"/>
      <c r="M101" s="66"/>
      <c r="N101" s="73"/>
    </row>
    <row r="102" spans="2:14">
      <c r="B102" s="85"/>
      <c r="C102" s="66"/>
      <c r="D102" s="66"/>
      <c r="E102" s="66"/>
      <c r="F102" s="66"/>
      <c r="G102" s="66" t="s">
        <v>250</v>
      </c>
      <c r="H102" s="86"/>
      <c r="I102" s="86"/>
      <c r="J102" s="86"/>
      <c r="K102" s="66"/>
      <c r="L102" s="66"/>
      <c r="M102" s="66"/>
      <c r="N102" s="73"/>
    </row>
    <row r="103" spans="2:14">
      <c r="B103" s="85"/>
      <c r="C103" s="66"/>
      <c r="D103" s="66"/>
      <c r="E103" s="66"/>
      <c r="F103" s="66"/>
      <c r="G103" s="66" t="s">
        <v>255</v>
      </c>
      <c r="H103" s="80"/>
      <c r="I103" s="80"/>
      <c r="J103" s="80"/>
      <c r="M103" s="66"/>
      <c r="N103" s="73"/>
    </row>
    <row r="104" spans="2:14">
      <c r="B104" s="127"/>
      <c r="C104" s="81"/>
      <c r="D104" s="81"/>
      <c r="E104" s="81"/>
      <c r="F104" s="81"/>
      <c r="G104" s="66" t="s">
        <v>252</v>
      </c>
      <c r="K104" s="81"/>
      <c r="L104" s="81"/>
      <c r="M104" s="81"/>
      <c r="N104" s="79"/>
    </row>
    <row r="105" spans="2:14" ht="17.25" customHeight="1">
      <c r="B105" s="138" t="s">
        <v>722</v>
      </c>
      <c r="C105" s="128"/>
      <c r="D105" s="128"/>
      <c r="E105" s="66"/>
      <c r="F105" s="66"/>
      <c r="G105" s="66"/>
      <c r="H105" s="66"/>
      <c r="I105" s="66"/>
      <c r="J105" s="1863"/>
      <c r="K105" s="1863"/>
      <c r="L105" s="1863"/>
      <c r="M105" s="1863"/>
      <c r="N105" s="1864"/>
    </row>
    <row r="106" spans="2:14"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319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9489" r:id="rId3"/>
      </mc:Fallback>
    </mc:AlternateContent>
  </oleObjects>
  <mc:AlternateContent xmlns:mc="http://schemas.openxmlformats.org/markup-compatibility/2006">
    <mc:Choice Requires="x14">
      <controls>
        <mc:AlternateContent xmlns:mc="http://schemas.openxmlformats.org/markup-compatibility/2006">
          <mc:Choice Requires="x14">
            <control shapeId="3194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94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6"/>
  <dimension ref="B1:N106"/>
  <sheetViews>
    <sheetView showGridLines="0" topLeftCell="A25" zoomScale="70" zoomScaleNormal="70" workbookViewId="0">
      <selection sqref="A1:XFD1048576"/>
    </sheetView>
  </sheetViews>
  <sheetFormatPr baseColWidth="10" defaultColWidth="11.42578125" defaultRowHeight="12.75"/>
  <cols>
    <col min="1" max="1" width="3.140625" style="39" customWidth="1"/>
    <col min="2" max="2" width="11.42578125" style="39"/>
    <col min="3" max="3" width="12.42578125" style="39" bestFit="1" customWidth="1"/>
    <col min="4" max="10" width="11.42578125" style="39"/>
    <col min="11" max="11" width="12.140625" style="39" customWidth="1"/>
    <col min="12" max="13" width="11.42578125" style="39"/>
    <col min="14" max="14" width="13.5703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ht="35.25" customHeight="1">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205" t="s">
        <v>671</v>
      </c>
      <c r="C34" s="1885" t="s">
        <v>545</v>
      </c>
      <c r="D34" s="1887"/>
      <c r="E34" s="1887"/>
      <c r="F34" s="1887"/>
      <c r="G34" s="1887"/>
      <c r="H34" s="1887"/>
      <c r="I34" s="1887"/>
      <c r="J34" s="1887"/>
      <c r="K34" s="1886"/>
      <c r="L34" s="1885" t="s">
        <v>28</v>
      </c>
      <c r="M34" s="1886"/>
      <c r="N34" s="177">
        <v>18</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22</v>
      </c>
      <c r="C39" s="1840"/>
      <c r="D39" s="1840"/>
      <c r="E39" s="1840"/>
      <c r="F39" s="1841"/>
      <c r="G39" s="1842"/>
      <c r="H39" s="1841"/>
      <c r="I39" s="1842"/>
      <c r="J39" s="1841"/>
      <c r="K39" s="88">
        <v>29767.5</v>
      </c>
      <c r="L39" s="1922">
        <v>10</v>
      </c>
      <c r="M39" s="1923"/>
      <c r="N39" s="89">
        <v>2976.75</v>
      </c>
    </row>
    <row r="40" spans="2:14">
      <c r="B40" s="1839" t="s">
        <v>77</v>
      </c>
      <c r="C40" s="1840"/>
      <c r="D40" s="1840"/>
      <c r="E40" s="1840"/>
      <c r="F40" s="1841"/>
      <c r="G40" s="1842"/>
      <c r="H40" s="1841"/>
      <c r="I40" s="1842"/>
      <c r="J40" s="1841"/>
      <c r="K40" s="88"/>
      <c r="L40" s="1922"/>
      <c r="M40" s="1923"/>
      <c r="N40" s="89">
        <v>1620.6792857142857</v>
      </c>
    </row>
    <row r="41" spans="2:14">
      <c r="B41" s="1839"/>
      <c r="C41" s="1840"/>
      <c r="D41" s="1840"/>
      <c r="E41" s="1840"/>
      <c r="F41" s="1841"/>
      <c r="G41" s="1842"/>
      <c r="H41" s="1841"/>
      <c r="I41" s="1842"/>
      <c r="J41" s="1841"/>
      <c r="K41" s="88"/>
      <c r="L41" s="1920"/>
      <c r="M41" s="1921"/>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4597.4292857142855</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4</v>
      </c>
      <c r="C48" s="1840"/>
      <c r="D48" s="1840"/>
      <c r="E48" s="1840"/>
      <c r="F48" s="1840"/>
      <c r="G48" s="1840"/>
      <c r="H48" s="1840"/>
      <c r="I48" s="1841"/>
      <c r="J48" s="131" t="s">
        <v>40</v>
      </c>
      <c r="K48" s="132">
        <v>4.4999999999999998E-2</v>
      </c>
      <c r="L48" s="1852">
        <v>306200.6846875</v>
      </c>
      <c r="M48" s="1853"/>
      <c r="N48" s="89">
        <v>13779.0308109375</v>
      </c>
    </row>
    <row r="49" spans="2:14" ht="12.75" customHeight="1">
      <c r="B49" s="1839" t="s">
        <v>488</v>
      </c>
      <c r="C49" s="1840"/>
      <c r="D49" s="1840"/>
      <c r="E49" s="1840"/>
      <c r="F49" s="1840"/>
      <c r="G49" s="1840"/>
      <c r="H49" s="1840"/>
      <c r="I49" s="1841"/>
      <c r="J49" s="131" t="s">
        <v>32</v>
      </c>
      <c r="K49" s="132">
        <v>1</v>
      </c>
      <c r="L49" s="1852">
        <v>278200</v>
      </c>
      <c r="M49" s="1853"/>
      <c r="N49" s="89">
        <v>278200</v>
      </c>
    </row>
    <row r="50" spans="2:14">
      <c r="B50" s="1839"/>
      <c r="C50" s="1840"/>
      <c r="D50" s="1840"/>
      <c r="E50" s="1840"/>
      <c r="F50" s="1840"/>
      <c r="G50" s="1840"/>
      <c r="H50" s="1840"/>
      <c r="I50" s="1841"/>
      <c r="J50" s="131"/>
      <c r="K50" s="132"/>
      <c r="L50" s="1852"/>
      <c r="M50" s="1853"/>
      <c r="N50" s="89"/>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131"/>
      <c r="K52" s="144"/>
      <c r="L52" s="1852"/>
      <c r="M52" s="1853"/>
      <c r="N52" s="89"/>
    </row>
    <row r="53" spans="2:14" ht="14.25" thickBot="1">
      <c r="B53" s="1848" t="s">
        <v>188</v>
      </c>
      <c r="C53" s="1849"/>
      <c r="D53" s="1849"/>
      <c r="E53" s="1849"/>
      <c r="F53" s="1849"/>
      <c r="G53" s="1849"/>
      <c r="H53" s="1849"/>
      <c r="I53" s="1849"/>
      <c r="J53" s="1849"/>
      <c r="K53" s="1849"/>
      <c r="L53" s="1849"/>
      <c r="M53" s="1850"/>
      <c r="N53" s="99">
        <v>291979.03081093752</v>
      </c>
    </row>
    <row r="54" spans="2:14">
      <c r="B54" s="1766" t="s">
        <v>51</v>
      </c>
      <c r="C54" s="1767"/>
      <c r="D54" s="1767"/>
      <c r="E54" s="1767"/>
      <c r="F54" s="1767"/>
      <c r="G54" s="1767"/>
      <c r="H54" s="1767"/>
      <c r="I54" s="1767"/>
      <c r="J54" s="1767"/>
      <c r="K54" s="1767"/>
      <c r="L54" s="1767"/>
      <c r="M54" s="1767"/>
      <c r="N54" s="1768"/>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96"/>
      <c r="J58" s="133"/>
      <c r="K58" s="134"/>
      <c r="L58" s="1859"/>
      <c r="M58" s="1860"/>
      <c r="N58" s="135"/>
    </row>
    <row r="59" spans="2:14">
      <c r="B59" s="1839"/>
      <c r="C59" s="1840"/>
      <c r="D59" s="1840"/>
      <c r="E59" s="1840"/>
      <c r="F59" s="1840"/>
      <c r="G59" s="1840"/>
      <c r="H59" s="1840"/>
      <c r="I59" s="96"/>
      <c r="J59" s="133"/>
      <c r="K59" s="134"/>
      <c r="L59" s="1859"/>
      <c r="M59" s="1860"/>
      <c r="N59" s="135"/>
    </row>
    <row r="60" spans="2:14" ht="13.5" thickBot="1">
      <c r="B60" s="1834"/>
      <c r="C60" s="1835"/>
      <c r="D60" s="1835"/>
      <c r="E60" s="1835"/>
      <c r="F60" s="1835"/>
      <c r="G60" s="1835"/>
      <c r="H60" s="1835"/>
      <c r="I60" s="136"/>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0</v>
      </c>
    </row>
    <row r="62" spans="2:14">
      <c r="B62" s="1766" t="s">
        <v>52</v>
      </c>
      <c r="C62" s="1767"/>
      <c r="D62" s="1767"/>
      <c r="E62" s="1767"/>
      <c r="F62" s="1767"/>
      <c r="G62" s="1767"/>
      <c r="H62" s="1767"/>
      <c r="I62" s="1767"/>
      <c r="J62" s="1767"/>
      <c r="K62" s="1767"/>
      <c r="L62" s="1767"/>
      <c r="M62" s="1767"/>
      <c r="N62" s="1768"/>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181" t="s">
        <v>46</v>
      </c>
      <c r="K65" s="182" t="s">
        <v>197</v>
      </c>
      <c r="L65" s="1829" t="s">
        <v>186</v>
      </c>
      <c r="M65" s="1832"/>
      <c r="N65" s="179" t="s">
        <v>191</v>
      </c>
    </row>
    <row r="66" spans="2:14">
      <c r="B66" s="149" t="s">
        <v>62</v>
      </c>
      <c r="C66" s="150"/>
      <c r="D66" s="150"/>
      <c r="E66" s="150"/>
      <c r="F66" s="150"/>
      <c r="G66" s="150"/>
      <c r="H66" s="150"/>
      <c r="I66" s="107">
        <v>82200</v>
      </c>
      <c r="J66" s="108">
        <v>1.85</v>
      </c>
      <c r="K66" s="109">
        <v>152070</v>
      </c>
      <c r="L66" s="1861">
        <v>7</v>
      </c>
      <c r="M66" s="1862"/>
      <c r="N66" s="110">
        <v>21724.285714285714</v>
      </c>
    </row>
    <row r="67" spans="2:14">
      <c r="B67" s="149" t="s">
        <v>48</v>
      </c>
      <c r="C67" s="150"/>
      <c r="D67" s="150"/>
      <c r="E67" s="150"/>
      <c r="F67" s="150"/>
      <c r="G67" s="150"/>
      <c r="H67" s="150"/>
      <c r="I67" s="107">
        <v>40446</v>
      </c>
      <c r="J67" s="108">
        <v>1.85</v>
      </c>
      <c r="K67" s="109">
        <v>74825.100000000006</v>
      </c>
      <c r="L67" s="1861">
        <v>7</v>
      </c>
      <c r="M67" s="1862"/>
      <c r="N67" s="110">
        <v>10689.300000000001</v>
      </c>
    </row>
    <row r="68" spans="2:14">
      <c r="B68" s="149"/>
      <c r="C68" s="150"/>
      <c r="D68" s="150"/>
      <c r="E68" s="150"/>
      <c r="F68" s="150"/>
      <c r="G68" s="150"/>
      <c r="H68" s="150"/>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32413.585714285713</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328990.04581093753</v>
      </c>
    </row>
    <row r="73" spans="2:14">
      <c r="B73" s="1766" t="s">
        <v>53</v>
      </c>
      <c r="C73" s="1767"/>
      <c r="D73" s="1767"/>
      <c r="E73" s="1767"/>
      <c r="F73" s="1767"/>
      <c r="G73" s="1767"/>
      <c r="H73" s="1767"/>
      <c r="I73" s="1767"/>
      <c r="J73" s="1767"/>
      <c r="K73" s="1767"/>
      <c r="L73" s="1767"/>
      <c r="M73" s="1767"/>
      <c r="N73" s="1768"/>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181"/>
      <c r="J76" s="187"/>
      <c r="K76" s="184" t="s">
        <v>54</v>
      </c>
      <c r="L76" s="1857" t="s">
        <v>55</v>
      </c>
      <c r="M76" s="1858"/>
      <c r="N76" s="185"/>
    </row>
    <row r="77" spans="2:14">
      <c r="B77" s="1839" t="s">
        <v>44</v>
      </c>
      <c r="C77" s="1840"/>
      <c r="D77" s="1840"/>
      <c r="E77" s="1840"/>
      <c r="F77" s="1840"/>
      <c r="G77" s="1840"/>
      <c r="H77" s="1840"/>
      <c r="I77" s="113"/>
      <c r="J77" s="114"/>
      <c r="K77" s="192">
        <v>0.22</v>
      </c>
      <c r="L77" s="1877">
        <v>72377.810078406255</v>
      </c>
      <c r="M77" s="1878"/>
      <c r="N77" s="115"/>
    </row>
    <row r="78" spans="2:14">
      <c r="B78" s="116" t="s">
        <v>56</v>
      </c>
      <c r="C78" s="117"/>
      <c r="D78" s="117"/>
      <c r="E78" s="117"/>
      <c r="F78" s="117"/>
      <c r="G78" s="117"/>
      <c r="H78" s="117"/>
      <c r="I78" s="113"/>
      <c r="J78" s="114"/>
      <c r="K78" s="192">
        <v>0.05</v>
      </c>
      <c r="L78" s="1877">
        <v>16449.502290546876</v>
      </c>
      <c r="M78" s="1878"/>
      <c r="N78" s="115"/>
    </row>
    <row r="79" spans="2:14" ht="13.5" thickBot="1">
      <c r="B79" s="118" t="s">
        <v>45</v>
      </c>
      <c r="C79" s="119"/>
      <c r="D79" s="119"/>
      <c r="E79" s="119"/>
      <c r="F79" s="119"/>
      <c r="G79" s="119"/>
      <c r="H79" s="119"/>
      <c r="I79" s="120"/>
      <c r="J79" s="121"/>
      <c r="K79" s="192">
        <v>0.05</v>
      </c>
      <c r="L79" s="1879">
        <v>16449.502290546876</v>
      </c>
      <c r="M79" s="1880"/>
      <c r="N79" s="115"/>
    </row>
    <row r="80" spans="2:14" ht="14.25" thickBot="1">
      <c r="B80" s="1848" t="s">
        <v>188</v>
      </c>
      <c r="C80" s="1849"/>
      <c r="D80" s="1849"/>
      <c r="E80" s="1849"/>
      <c r="F80" s="1849"/>
      <c r="G80" s="1849"/>
      <c r="H80" s="1849"/>
      <c r="I80" s="1849"/>
      <c r="J80" s="1849"/>
      <c r="K80" s="1849"/>
      <c r="L80" s="1849"/>
      <c r="M80" s="1850"/>
      <c r="N80" s="122">
        <v>105276.81465950001</v>
      </c>
    </row>
    <row r="81" spans="2:14" ht="13.5" thickBot="1">
      <c r="B81" s="85"/>
      <c r="C81" s="66"/>
      <c r="D81" s="66"/>
      <c r="E81" s="66"/>
      <c r="F81" s="66"/>
      <c r="G81" s="66"/>
      <c r="H81" s="66"/>
      <c r="I81" s="66"/>
      <c r="J81" s="66"/>
      <c r="K81" s="66"/>
      <c r="L81" s="66"/>
      <c r="M81" s="66"/>
      <c r="N81" s="73"/>
    </row>
    <row r="82" spans="2:14" ht="13.5" thickBot="1">
      <c r="B82" s="1854" t="s">
        <v>199</v>
      </c>
      <c r="C82" s="1855"/>
      <c r="D82" s="1855"/>
      <c r="E82" s="1855"/>
      <c r="F82" s="1855"/>
      <c r="G82" s="1855"/>
      <c r="H82" s="1855"/>
      <c r="I82" s="1855"/>
      <c r="J82" s="1855"/>
      <c r="K82" s="1855"/>
      <c r="L82" s="1855"/>
      <c r="M82" s="1856"/>
      <c r="N82" s="188">
        <v>434267</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249</v>
      </c>
      <c r="H86" s="71"/>
      <c r="I86" s="71"/>
      <c r="J86" s="71"/>
      <c r="K86" s="66"/>
      <c r="L86" s="66"/>
      <c r="M86" s="66"/>
      <c r="N86" s="73"/>
    </row>
    <row r="87" spans="2:14" ht="13.5">
      <c r="B87" s="123"/>
      <c r="C87" s="124"/>
      <c r="D87" s="124"/>
      <c r="E87" s="124"/>
      <c r="F87" s="124"/>
      <c r="G87" s="71" t="s">
        <v>250</v>
      </c>
      <c r="H87" s="124"/>
      <c r="I87" s="124"/>
      <c r="J87" s="124"/>
      <c r="K87" s="124"/>
      <c r="L87" s="124"/>
      <c r="M87" s="124"/>
      <c r="N87" s="125"/>
    </row>
    <row r="88" spans="2:14" ht="13.5">
      <c r="B88" s="123"/>
      <c r="C88" s="124"/>
      <c r="D88" s="124"/>
      <c r="E88" s="124"/>
      <c r="F88" s="124"/>
      <c r="G88" s="71" t="s">
        <v>251</v>
      </c>
      <c r="J88" s="124"/>
      <c r="K88" s="124"/>
      <c r="L88" s="124"/>
      <c r="M88" s="124"/>
      <c r="N88" s="125"/>
    </row>
    <row r="89" spans="2:14">
      <c r="B89" s="49"/>
      <c r="C89" s="81"/>
      <c r="D89" s="81"/>
      <c r="E89" s="81"/>
      <c r="F89" s="81"/>
      <c r="G89" s="71" t="s">
        <v>252</v>
      </c>
      <c r="H89" s="81"/>
      <c r="I89" s="81"/>
      <c r="J89" s="81"/>
      <c r="K89" s="81"/>
      <c r="L89" s="81"/>
      <c r="M89" s="81"/>
      <c r="N89" s="79"/>
    </row>
    <row r="90" spans="2:14">
      <c r="B90" s="85"/>
      <c r="C90" s="66"/>
      <c r="D90" s="66"/>
      <c r="E90" s="66"/>
      <c r="F90" s="66"/>
      <c r="G90" s="66" t="s">
        <v>253</v>
      </c>
      <c r="H90" s="66"/>
      <c r="I90" s="66"/>
      <c r="J90" s="66"/>
      <c r="K90" s="66"/>
      <c r="L90" s="66"/>
      <c r="M90" s="66"/>
      <c r="N90" s="73"/>
    </row>
    <row r="91" spans="2:14" ht="13.5">
      <c r="B91" s="92" t="s">
        <v>254</v>
      </c>
      <c r="C91" s="93"/>
      <c r="D91" s="93"/>
      <c r="E91" s="93"/>
      <c r="F91" s="93"/>
      <c r="G91" s="93"/>
      <c r="H91" s="93"/>
      <c r="I91" s="93"/>
      <c r="J91" s="93"/>
      <c r="K91" s="93"/>
      <c r="L91" s="93"/>
      <c r="M91" s="93"/>
      <c r="N91" s="94"/>
    </row>
    <row r="92" spans="2:14">
      <c r="B92" s="1874"/>
      <c r="C92" s="1875"/>
      <c r="D92" s="1875"/>
      <c r="E92" s="1875"/>
      <c r="F92" s="1875"/>
      <c r="G92" s="1875"/>
      <c r="H92" s="1875"/>
      <c r="I92" s="1875"/>
      <c r="J92" s="1875"/>
      <c r="K92" s="1875"/>
      <c r="L92" s="1875"/>
      <c r="M92" s="1875"/>
      <c r="N92" s="1876"/>
    </row>
    <row r="93" spans="2:14">
      <c r="B93" s="1874"/>
      <c r="C93" s="1875"/>
      <c r="D93" s="1875"/>
      <c r="E93" s="1875"/>
      <c r="F93" s="1875"/>
      <c r="G93" s="1875"/>
      <c r="H93" s="1875"/>
      <c r="I93" s="1875"/>
      <c r="J93" s="1875"/>
      <c r="K93" s="1875"/>
      <c r="L93" s="1875"/>
      <c r="M93" s="1875"/>
      <c r="N93" s="1876"/>
    </row>
    <row r="94" spans="2:14">
      <c r="B94" s="49"/>
      <c r="C94" s="81"/>
      <c r="D94" s="81"/>
      <c r="E94" s="81"/>
      <c r="F94" s="81"/>
      <c r="G94" s="81"/>
      <c r="H94" s="81"/>
      <c r="I94" s="81"/>
      <c r="J94" s="81"/>
      <c r="K94" s="81"/>
      <c r="L94" s="81"/>
      <c r="M94" s="81"/>
      <c r="N94" s="79"/>
    </row>
    <row r="95" spans="2:14">
      <c r="B95" s="406" t="s">
        <v>719</v>
      </c>
      <c r="C95" s="81"/>
      <c r="D95" s="81"/>
      <c r="E95" s="81"/>
      <c r="F95" s="81"/>
      <c r="G95" s="81"/>
      <c r="H95" s="81"/>
      <c r="I95" s="81"/>
      <c r="J95" s="81"/>
      <c r="K95" s="81"/>
      <c r="L95" s="81"/>
      <c r="M95" s="81"/>
      <c r="N95" s="79"/>
    </row>
    <row r="96" spans="2:14" ht="12.75" customHeight="1">
      <c r="B96" s="1871" t="s">
        <v>720</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1871" t="s">
        <v>721</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49"/>
      <c r="C100" s="81"/>
      <c r="D100" s="81"/>
      <c r="E100" s="81"/>
      <c r="F100" s="81"/>
      <c r="G100" s="81"/>
      <c r="H100" s="81"/>
      <c r="I100" s="81"/>
      <c r="J100" s="81"/>
      <c r="K100" s="81"/>
      <c r="L100" s="81"/>
      <c r="M100" s="81"/>
      <c r="N100" s="79"/>
    </row>
    <row r="101" spans="2:14">
      <c r="B101" s="85"/>
      <c r="C101" s="66"/>
      <c r="D101" s="66"/>
      <c r="E101" s="66"/>
      <c r="F101" s="66"/>
      <c r="G101" s="71" t="s">
        <v>249</v>
      </c>
      <c r="H101" s="66"/>
      <c r="I101" s="66"/>
      <c r="J101" s="66"/>
      <c r="K101" s="66"/>
      <c r="L101" s="66"/>
      <c r="M101" s="66"/>
      <c r="N101" s="73"/>
    </row>
    <row r="102" spans="2:14">
      <c r="B102" s="85"/>
      <c r="C102" s="66"/>
      <c r="D102" s="66"/>
      <c r="E102" s="66"/>
      <c r="F102" s="66"/>
      <c r="G102" s="66" t="s">
        <v>250</v>
      </c>
      <c r="H102" s="86"/>
      <c r="I102" s="86"/>
      <c r="J102" s="86"/>
      <c r="K102" s="66"/>
      <c r="L102" s="66"/>
      <c r="M102" s="66"/>
      <c r="N102" s="73"/>
    </row>
    <row r="103" spans="2:14">
      <c r="B103" s="85"/>
      <c r="C103" s="66"/>
      <c r="D103" s="66"/>
      <c r="E103" s="66"/>
      <c r="F103" s="66"/>
      <c r="G103" s="66" t="s">
        <v>255</v>
      </c>
      <c r="H103" s="80"/>
      <c r="I103" s="80"/>
      <c r="J103" s="80"/>
      <c r="M103" s="66"/>
      <c r="N103" s="73"/>
    </row>
    <row r="104" spans="2:14">
      <c r="B104" s="127"/>
      <c r="C104" s="81"/>
      <c r="D104" s="81"/>
      <c r="E104" s="81"/>
      <c r="F104" s="81"/>
      <c r="G104" s="66" t="s">
        <v>252</v>
      </c>
      <c r="K104" s="81"/>
      <c r="L104" s="81"/>
      <c r="M104" s="81"/>
      <c r="N104" s="79"/>
    </row>
    <row r="105" spans="2:14" ht="17.25" customHeight="1">
      <c r="B105" s="138" t="s">
        <v>722</v>
      </c>
      <c r="C105" s="128"/>
      <c r="D105" s="128"/>
      <c r="E105" s="66"/>
      <c r="F105" s="66"/>
      <c r="G105" s="66"/>
      <c r="H105" s="66"/>
      <c r="I105" s="66"/>
      <c r="J105" s="1863"/>
      <c r="K105" s="1863"/>
      <c r="L105" s="1863"/>
      <c r="M105" s="1863"/>
      <c r="N105" s="1864"/>
    </row>
    <row r="106" spans="2:14"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2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2561" r:id="rId3"/>
      </mc:Fallback>
    </mc:AlternateContent>
  </oleObjects>
  <mc:AlternateContent xmlns:mc="http://schemas.openxmlformats.org/markup-compatibility/2006">
    <mc:Choice Requires="x14">
      <controls>
        <mc:AlternateContent xmlns:mc="http://schemas.openxmlformats.org/markup-compatibility/2006">
          <mc:Choice Requires="x14">
            <control shapeId="32256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256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7"/>
  <dimension ref="B1:N106"/>
  <sheetViews>
    <sheetView showGridLines="0" topLeftCell="A47"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28515625" style="39" customWidth="1"/>
    <col min="12" max="13" width="11.42578125" style="39"/>
    <col min="14" max="14" width="13.285156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ht="12.75" customHeight="1">
      <c r="B23" s="74" t="s">
        <v>292</v>
      </c>
      <c r="C23" s="75"/>
      <c r="D23" s="1816" t="s">
        <v>293</v>
      </c>
      <c r="E23" s="1816"/>
      <c r="F23" s="1816"/>
      <c r="G23" s="1816"/>
      <c r="H23" s="1816"/>
      <c r="I23" s="1816"/>
      <c r="J23" s="1816"/>
      <c r="K23" s="1816"/>
      <c r="L23" s="1816"/>
      <c r="M23" s="1816"/>
      <c r="N23" s="79"/>
    </row>
    <row r="24" spans="2:14" ht="12.75" customHeight="1">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99</v>
      </c>
      <c r="C34" s="1885" t="s">
        <v>167</v>
      </c>
      <c r="D34" s="1887"/>
      <c r="E34" s="1887"/>
      <c r="F34" s="1887"/>
      <c r="G34" s="1887"/>
      <c r="H34" s="1887"/>
      <c r="I34" s="1887"/>
      <c r="J34" s="1887"/>
      <c r="K34" s="1886"/>
      <c r="L34" s="1885" t="s">
        <v>82</v>
      </c>
      <c r="M34" s="1886"/>
      <c r="N34" s="177">
        <v>39</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22</v>
      </c>
      <c r="C39" s="1840"/>
      <c r="D39" s="1840"/>
      <c r="E39" s="1840"/>
      <c r="F39" s="1841"/>
      <c r="G39" s="1842"/>
      <c r="H39" s="1841"/>
      <c r="I39" s="1842"/>
      <c r="J39" s="1841"/>
      <c r="K39" s="88">
        <v>29767.5</v>
      </c>
      <c r="L39" s="1922">
        <v>5</v>
      </c>
      <c r="M39" s="1923"/>
      <c r="N39" s="89">
        <v>5953.5</v>
      </c>
    </row>
    <row r="40" spans="2:14">
      <c r="B40" s="1839" t="s">
        <v>80</v>
      </c>
      <c r="C40" s="1840"/>
      <c r="D40" s="1840"/>
      <c r="E40" s="1840"/>
      <c r="F40" s="1841"/>
      <c r="G40" s="1842"/>
      <c r="H40" s="1841"/>
      <c r="I40" s="1842"/>
      <c r="J40" s="1841"/>
      <c r="K40" s="88"/>
      <c r="L40" s="1922"/>
      <c r="M40" s="1923"/>
      <c r="N40" s="89">
        <v>152.07</v>
      </c>
    </row>
    <row r="41" spans="2:14">
      <c r="B41" s="1839"/>
      <c r="C41" s="1840"/>
      <c r="D41" s="1840"/>
      <c r="E41" s="1840"/>
      <c r="F41" s="1841"/>
      <c r="G41" s="1842"/>
      <c r="H41" s="1841"/>
      <c r="I41" s="1842"/>
      <c r="J41" s="1841"/>
      <c r="K41" s="88"/>
      <c r="L41" s="1920"/>
      <c r="M41" s="1921"/>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6105.57</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4</v>
      </c>
      <c r="C48" s="1840"/>
      <c r="D48" s="1840"/>
      <c r="E48" s="1840"/>
      <c r="F48" s="1840"/>
      <c r="G48" s="1840"/>
      <c r="H48" s="1840"/>
      <c r="I48" s="1841"/>
      <c r="J48" s="131" t="s">
        <v>40</v>
      </c>
      <c r="K48" s="132">
        <v>0.06</v>
      </c>
      <c r="L48" s="1852">
        <v>306200.6846875</v>
      </c>
      <c r="M48" s="1853"/>
      <c r="N48" s="89">
        <v>18372.041081250001</v>
      </c>
    </row>
    <row r="49" spans="2:14" ht="12.75" customHeight="1">
      <c r="B49" s="1839" t="s">
        <v>37</v>
      </c>
      <c r="C49" s="1840"/>
      <c r="D49" s="1840"/>
      <c r="E49" s="1840"/>
      <c r="F49" s="1840"/>
      <c r="G49" s="1840"/>
      <c r="H49" s="1840"/>
      <c r="I49" s="1841"/>
      <c r="J49" s="131" t="s">
        <v>32</v>
      </c>
      <c r="K49" s="132">
        <v>1</v>
      </c>
      <c r="L49" s="1852">
        <v>120000</v>
      </c>
      <c r="M49" s="1853"/>
      <c r="N49" s="89">
        <v>120000</v>
      </c>
    </row>
    <row r="50" spans="2:14">
      <c r="B50" s="1839"/>
      <c r="C50" s="1840"/>
      <c r="D50" s="1840"/>
      <c r="E50" s="1840"/>
      <c r="F50" s="1840"/>
      <c r="G50" s="1840"/>
      <c r="H50" s="1840"/>
      <c r="I50" s="1841"/>
      <c r="J50" s="131"/>
      <c r="K50" s="132"/>
      <c r="L50" s="1852"/>
      <c r="M50" s="1853"/>
      <c r="N50" s="89"/>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131"/>
      <c r="K52" s="144"/>
      <c r="L52" s="1852"/>
      <c r="M52" s="1853"/>
      <c r="N52" s="89"/>
    </row>
    <row r="53" spans="2:14" ht="14.25" thickBot="1">
      <c r="B53" s="1848" t="s">
        <v>188</v>
      </c>
      <c r="C53" s="1849"/>
      <c r="D53" s="1849"/>
      <c r="E53" s="1849"/>
      <c r="F53" s="1849"/>
      <c r="G53" s="1849"/>
      <c r="H53" s="1849"/>
      <c r="I53" s="1849"/>
      <c r="J53" s="1849"/>
      <c r="K53" s="1849"/>
      <c r="L53" s="1849"/>
      <c r="M53" s="1850"/>
      <c r="N53" s="99">
        <v>138372.04108125</v>
      </c>
    </row>
    <row r="54" spans="2:14">
      <c r="B54" s="1766" t="s">
        <v>51</v>
      </c>
      <c r="C54" s="1767"/>
      <c r="D54" s="1767"/>
      <c r="E54" s="1767"/>
      <c r="F54" s="1767"/>
      <c r="G54" s="1767"/>
      <c r="H54" s="1767"/>
      <c r="I54" s="1767"/>
      <c r="J54" s="1767"/>
      <c r="K54" s="1767"/>
      <c r="L54" s="1767"/>
      <c r="M54" s="1767"/>
      <c r="N54" s="1768"/>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96"/>
      <c r="J58" s="133"/>
      <c r="K58" s="134"/>
      <c r="L58" s="1859"/>
      <c r="M58" s="1860"/>
      <c r="N58" s="135"/>
    </row>
    <row r="59" spans="2:14">
      <c r="B59" s="1839"/>
      <c r="C59" s="1840"/>
      <c r="D59" s="1840"/>
      <c r="E59" s="1840"/>
      <c r="F59" s="1840"/>
      <c r="G59" s="1840"/>
      <c r="H59" s="1840"/>
      <c r="I59" s="96"/>
      <c r="J59" s="133"/>
      <c r="K59" s="134"/>
      <c r="L59" s="1859"/>
      <c r="M59" s="1860"/>
      <c r="N59" s="135"/>
    </row>
    <row r="60" spans="2:14" ht="13.5" thickBot="1">
      <c r="B60" s="1834"/>
      <c r="C60" s="1835"/>
      <c r="D60" s="1835"/>
      <c r="E60" s="1835"/>
      <c r="F60" s="1835"/>
      <c r="G60" s="1835"/>
      <c r="H60" s="1835"/>
      <c r="I60" s="136"/>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0</v>
      </c>
    </row>
    <row r="62" spans="2:14">
      <c r="B62" s="1766" t="s">
        <v>52</v>
      </c>
      <c r="C62" s="1767"/>
      <c r="D62" s="1767"/>
      <c r="E62" s="1767"/>
      <c r="F62" s="1767"/>
      <c r="G62" s="1767"/>
      <c r="H62" s="1767"/>
      <c r="I62" s="1767"/>
      <c r="J62" s="1767"/>
      <c r="K62" s="1767"/>
      <c r="L62" s="1767"/>
      <c r="M62" s="1767"/>
      <c r="N62" s="1768"/>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181" t="s">
        <v>46</v>
      </c>
      <c r="K65" s="182" t="s">
        <v>197</v>
      </c>
      <c r="L65" s="1829" t="s">
        <v>186</v>
      </c>
      <c r="M65" s="1832"/>
      <c r="N65" s="179" t="s">
        <v>191</v>
      </c>
    </row>
    <row r="66" spans="2:14">
      <c r="B66" s="149" t="s">
        <v>62</v>
      </c>
      <c r="C66" s="150"/>
      <c r="D66" s="150"/>
      <c r="E66" s="150"/>
      <c r="F66" s="150"/>
      <c r="G66" s="150"/>
      <c r="H66" s="150"/>
      <c r="I66" s="107">
        <v>82200</v>
      </c>
      <c r="J66" s="108">
        <v>1.85</v>
      </c>
      <c r="K66" s="109">
        <v>152070</v>
      </c>
      <c r="L66" s="1861">
        <v>10</v>
      </c>
      <c r="M66" s="1862"/>
      <c r="N66" s="110">
        <v>15207</v>
      </c>
    </row>
    <row r="67" spans="2:14">
      <c r="B67" s="149"/>
      <c r="C67" s="150"/>
      <c r="D67" s="150"/>
      <c r="E67" s="150"/>
      <c r="F67" s="150"/>
      <c r="G67" s="150"/>
      <c r="H67" s="150"/>
      <c r="I67" s="107"/>
      <c r="J67" s="108"/>
      <c r="K67" s="109"/>
      <c r="L67" s="1861"/>
      <c r="M67" s="1862"/>
      <c r="N67" s="110"/>
    </row>
    <row r="68" spans="2:14">
      <c r="B68" s="149"/>
      <c r="C68" s="150"/>
      <c r="D68" s="150"/>
      <c r="E68" s="150"/>
      <c r="F68" s="150"/>
      <c r="G68" s="150"/>
      <c r="H68" s="150"/>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15207</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159684.61108125001</v>
      </c>
    </row>
    <row r="73" spans="2:14">
      <c r="B73" s="1766" t="s">
        <v>53</v>
      </c>
      <c r="C73" s="1767"/>
      <c r="D73" s="1767"/>
      <c r="E73" s="1767"/>
      <c r="F73" s="1767"/>
      <c r="G73" s="1767"/>
      <c r="H73" s="1767"/>
      <c r="I73" s="1767"/>
      <c r="J73" s="1767"/>
      <c r="K73" s="1767"/>
      <c r="L73" s="1767"/>
      <c r="M73" s="1767"/>
      <c r="N73" s="1768"/>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181"/>
      <c r="J76" s="187"/>
      <c r="K76" s="184" t="s">
        <v>54</v>
      </c>
      <c r="L76" s="1857" t="s">
        <v>55</v>
      </c>
      <c r="M76" s="1858"/>
      <c r="N76" s="185"/>
    </row>
    <row r="77" spans="2:14">
      <c r="B77" s="1839" t="s">
        <v>44</v>
      </c>
      <c r="C77" s="1840"/>
      <c r="D77" s="1840"/>
      <c r="E77" s="1840"/>
      <c r="F77" s="1840"/>
      <c r="G77" s="1840"/>
      <c r="H77" s="1840"/>
      <c r="I77" s="113"/>
      <c r="J77" s="114"/>
      <c r="K77" s="192">
        <v>0.22</v>
      </c>
      <c r="L77" s="1877">
        <v>35130.614437875003</v>
      </c>
      <c r="M77" s="1878"/>
      <c r="N77" s="115"/>
    </row>
    <row r="78" spans="2:14">
      <c r="B78" s="116" t="s">
        <v>56</v>
      </c>
      <c r="C78" s="117"/>
      <c r="D78" s="117"/>
      <c r="E78" s="117"/>
      <c r="F78" s="117"/>
      <c r="G78" s="117"/>
      <c r="H78" s="117"/>
      <c r="I78" s="113"/>
      <c r="J78" s="114"/>
      <c r="K78" s="192">
        <v>0.05</v>
      </c>
      <c r="L78" s="1877">
        <v>7984.2305540625011</v>
      </c>
      <c r="M78" s="1878"/>
      <c r="N78" s="115"/>
    </row>
    <row r="79" spans="2:14" ht="13.5" thickBot="1">
      <c r="B79" s="118" t="s">
        <v>45</v>
      </c>
      <c r="C79" s="119"/>
      <c r="D79" s="119"/>
      <c r="E79" s="119"/>
      <c r="F79" s="119"/>
      <c r="G79" s="119"/>
      <c r="H79" s="119"/>
      <c r="I79" s="120"/>
      <c r="J79" s="121"/>
      <c r="K79" s="192">
        <v>0.05</v>
      </c>
      <c r="L79" s="1879">
        <v>7984.2305540625011</v>
      </c>
      <c r="M79" s="1880"/>
      <c r="N79" s="115"/>
    </row>
    <row r="80" spans="2:14" ht="14.25" thickBot="1">
      <c r="B80" s="1848" t="s">
        <v>188</v>
      </c>
      <c r="C80" s="1849"/>
      <c r="D80" s="1849"/>
      <c r="E80" s="1849"/>
      <c r="F80" s="1849"/>
      <c r="G80" s="1849"/>
      <c r="H80" s="1849"/>
      <c r="I80" s="1849"/>
      <c r="J80" s="1849"/>
      <c r="K80" s="1849"/>
      <c r="L80" s="1849"/>
      <c r="M80" s="1850"/>
      <c r="N80" s="122">
        <v>51099.075546000007</v>
      </c>
    </row>
    <row r="81" spans="2:14" ht="13.5" thickBot="1">
      <c r="B81" s="85"/>
      <c r="C81" s="66"/>
      <c r="D81" s="66"/>
      <c r="E81" s="66"/>
      <c r="F81" s="66"/>
      <c r="G81" s="66"/>
      <c r="H81" s="66"/>
      <c r="I81" s="66"/>
      <c r="J81" s="66"/>
      <c r="K81" s="66"/>
      <c r="L81" s="66"/>
      <c r="M81" s="66"/>
      <c r="N81" s="73"/>
    </row>
    <row r="82" spans="2:14" ht="13.5" thickBot="1">
      <c r="B82" s="1854" t="s">
        <v>199</v>
      </c>
      <c r="C82" s="1855"/>
      <c r="D82" s="1855"/>
      <c r="E82" s="1855"/>
      <c r="F82" s="1855"/>
      <c r="G82" s="1855"/>
      <c r="H82" s="1855"/>
      <c r="I82" s="1855"/>
      <c r="J82" s="1855"/>
      <c r="K82" s="1855"/>
      <c r="L82" s="1855"/>
      <c r="M82" s="1856"/>
      <c r="N82" s="188">
        <v>210784</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249</v>
      </c>
      <c r="H86" s="71"/>
      <c r="I86" s="71"/>
      <c r="J86" s="71"/>
      <c r="K86" s="66"/>
      <c r="L86" s="66"/>
      <c r="M86" s="66"/>
      <c r="N86" s="73"/>
    </row>
    <row r="87" spans="2:14" ht="13.5">
      <c r="B87" s="123"/>
      <c r="C87" s="124"/>
      <c r="D87" s="124"/>
      <c r="E87" s="124"/>
      <c r="F87" s="124"/>
      <c r="G87" s="71" t="s">
        <v>250</v>
      </c>
      <c r="H87" s="124"/>
      <c r="I87" s="124"/>
      <c r="J87" s="124"/>
      <c r="K87" s="124"/>
      <c r="L87" s="124"/>
      <c r="M87" s="124"/>
      <c r="N87" s="125"/>
    </row>
    <row r="88" spans="2:14" ht="13.5">
      <c r="B88" s="123"/>
      <c r="C88" s="124"/>
      <c r="D88" s="124"/>
      <c r="E88" s="124"/>
      <c r="F88" s="124"/>
      <c r="G88" s="71" t="s">
        <v>251</v>
      </c>
      <c r="J88" s="124"/>
      <c r="K88" s="124"/>
      <c r="L88" s="124"/>
      <c r="M88" s="124"/>
      <c r="N88" s="125"/>
    </row>
    <row r="89" spans="2:14">
      <c r="B89" s="49"/>
      <c r="C89" s="81"/>
      <c r="D89" s="81"/>
      <c r="E89" s="81"/>
      <c r="F89" s="81"/>
      <c r="G89" s="71" t="s">
        <v>252</v>
      </c>
      <c r="H89" s="81"/>
      <c r="I89" s="81"/>
      <c r="J89" s="81"/>
      <c r="K89" s="81"/>
      <c r="L89" s="81"/>
      <c r="M89" s="81"/>
      <c r="N89" s="79"/>
    </row>
    <row r="90" spans="2:14">
      <c r="B90" s="85"/>
      <c r="C90" s="66"/>
      <c r="D90" s="66"/>
      <c r="E90" s="66"/>
      <c r="F90" s="66"/>
      <c r="G90" s="66" t="s">
        <v>253</v>
      </c>
      <c r="H90" s="66"/>
      <c r="I90" s="66"/>
      <c r="J90" s="66"/>
      <c r="K90" s="66"/>
      <c r="L90" s="66"/>
      <c r="M90" s="66"/>
      <c r="N90" s="73"/>
    </row>
    <row r="91" spans="2:14" ht="13.5">
      <c r="B91" s="92" t="s">
        <v>254</v>
      </c>
      <c r="C91" s="93"/>
      <c r="D91" s="93"/>
      <c r="E91" s="93"/>
      <c r="F91" s="93"/>
      <c r="G91" s="93"/>
      <c r="H91" s="93"/>
      <c r="I91" s="93"/>
      <c r="J91" s="93"/>
      <c r="K91" s="93"/>
      <c r="L91" s="93"/>
      <c r="M91" s="93"/>
      <c r="N91" s="94"/>
    </row>
    <row r="92" spans="2:14">
      <c r="B92" s="1874"/>
      <c r="C92" s="1875"/>
      <c r="D92" s="1875"/>
      <c r="E92" s="1875"/>
      <c r="F92" s="1875"/>
      <c r="G92" s="1875"/>
      <c r="H92" s="1875"/>
      <c r="I92" s="1875"/>
      <c r="J92" s="1875"/>
      <c r="K92" s="1875"/>
      <c r="L92" s="1875"/>
      <c r="M92" s="1875"/>
      <c r="N92" s="1876"/>
    </row>
    <row r="93" spans="2:14">
      <c r="B93" s="1874"/>
      <c r="C93" s="1875"/>
      <c r="D93" s="1875"/>
      <c r="E93" s="1875"/>
      <c r="F93" s="1875"/>
      <c r="G93" s="1875"/>
      <c r="H93" s="1875"/>
      <c r="I93" s="1875"/>
      <c r="J93" s="1875"/>
      <c r="K93" s="1875"/>
      <c r="L93" s="1875"/>
      <c r="M93" s="1875"/>
      <c r="N93" s="1876"/>
    </row>
    <row r="94" spans="2:14">
      <c r="B94" s="49"/>
      <c r="C94" s="81"/>
      <c r="D94" s="81"/>
      <c r="E94" s="81"/>
      <c r="F94" s="81"/>
      <c r="G94" s="81"/>
      <c r="H94" s="81"/>
      <c r="I94" s="81"/>
      <c r="J94" s="81"/>
      <c r="K94" s="81"/>
      <c r="L94" s="81"/>
      <c r="M94" s="81"/>
      <c r="N94" s="79"/>
    </row>
    <row r="95" spans="2:14">
      <c r="B95" s="406" t="s">
        <v>719</v>
      </c>
      <c r="C95" s="81"/>
      <c r="D95" s="81"/>
      <c r="E95" s="81"/>
      <c r="F95" s="81"/>
      <c r="G95" s="81"/>
      <c r="H95" s="81"/>
      <c r="I95" s="81"/>
      <c r="J95" s="81"/>
      <c r="K95" s="81"/>
      <c r="L95" s="81"/>
      <c r="M95" s="81"/>
      <c r="N95" s="79"/>
    </row>
    <row r="96" spans="2:14" ht="12.75" customHeight="1">
      <c r="B96" s="1871" t="s">
        <v>720</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1871" t="s">
        <v>721</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49"/>
      <c r="C100" s="81"/>
      <c r="D100" s="81"/>
      <c r="E100" s="81"/>
      <c r="F100" s="81"/>
      <c r="G100" s="81"/>
      <c r="H100" s="81"/>
      <c r="I100" s="81"/>
      <c r="J100" s="81"/>
      <c r="K100" s="81"/>
      <c r="L100" s="81"/>
      <c r="M100" s="81"/>
      <c r="N100" s="79"/>
    </row>
    <row r="101" spans="2:14">
      <c r="B101" s="85"/>
      <c r="C101" s="66"/>
      <c r="D101" s="66"/>
      <c r="E101" s="66"/>
      <c r="F101" s="66"/>
      <c r="G101" s="71" t="s">
        <v>249</v>
      </c>
      <c r="H101" s="66"/>
      <c r="I101" s="66"/>
      <c r="J101" s="66"/>
      <c r="K101" s="66"/>
      <c r="L101" s="66"/>
      <c r="M101" s="66"/>
      <c r="N101" s="73"/>
    </row>
    <row r="102" spans="2:14">
      <c r="B102" s="85"/>
      <c r="C102" s="66"/>
      <c r="D102" s="66"/>
      <c r="E102" s="66"/>
      <c r="F102" s="66"/>
      <c r="G102" s="66" t="s">
        <v>250</v>
      </c>
      <c r="H102" s="86"/>
      <c r="I102" s="86"/>
      <c r="J102" s="86"/>
      <c r="K102" s="66"/>
      <c r="L102" s="66"/>
      <c r="M102" s="66"/>
      <c r="N102" s="73"/>
    </row>
    <row r="103" spans="2:14">
      <c r="B103" s="85"/>
      <c r="C103" s="66"/>
      <c r="D103" s="66"/>
      <c r="E103" s="66"/>
      <c r="F103" s="66"/>
      <c r="G103" s="66" t="s">
        <v>255</v>
      </c>
      <c r="H103" s="80"/>
      <c r="I103" s="80"/>
      <c r="J103" s="80"/>
      <c r="M103" s="66"/>
      <c r="N103" s="73"/>
    </row>
    <row r="104" spans="2:14">
      <c r="B104" s="127"/>
      <c r="C104" s="81"/>
      <c r="D104" s="81"/>
      <c r="E104" s="81"/>
      <c r="F104" s="81"/>
      <c r="G104" s="66" t="s">
        <v>252</v>
      </c>
      <c r="K104" s="81"/>
      <c r="L104" s="81"/>
      <c r="M104" s="81"/>
      <c r="N104" s="79"/>
    </row>
    <row r="105" spans="2:14" ht="17.25" customHeight="1">
      <c r="B105" s="138" t="s">
        <v>722</v>
      </c>
      <c r="C105" s="128"/>
      <c r="D105" s="128"/>
      <c r="E105" s="66"/>
      <c r="F105" s="66"/>
      <c r="G105" s="66"/>
      <c r="H105" s="66"/>
      <c r="I105" s="66"/>
      <c r="J105" s="1863"/>
      <c r="K105" s="1863"/>
      <c r="L105" s="1863"/>
      <c r="M105" s="1863"/>
      <c r="N105" s="1864"/>
    </row>
    <row r="106" spans="2:14"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460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4609" r:id="rId3"/>
      </mc:Fallback>
    </mc:AlternateContent>
  </oleObjects>
  <mc:AlternateContent xmlns:mc="http://schemas.openxmlformats.org/markup-compatibility/2006">
    <mc:Choice Requires="x14">
      <controls>
        <mc:AlternateContent xmlns:mc="http://schemas.openxmlformats.org/markup-compatibility/2006">
          <mc:Choice Requires="x14">
            <control shapeId="32461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461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dimension ref="B1:N106"/>
  <sheetViews>
    <sheetView showGridLines="0" topLeftCell="A47"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28515625" style="39" customWidth="1"/>
    <col min="12" max="13" width="11.42578125" style="39"/>
    <col min="14" max="14" width="12.5703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ht="12.75" customHeight="1">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100</v>
      </c>
      <c r="C34" s="1885" t="s">
        <v>151</v>
      </c>
      <c r="D34" s="1887"/>
      <c r="E34" s="1887"/>
      <c r="F34" s="1887"/>
      <c r="G34" s="1887"/>
      <c r="H34" s="1887"/>
      <c r="I34" s="1887"/>
      <c r="J34" s="1887"/>
      <c r="K34" s="1886"/>
      <c r="L34" s="1885" t="s">
        <v>81</v>
      </c>
      <c r="M34" s="1886"/>
      <c r="N34" s="177">
        <v>11365</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281</v>
      </c>
      <c r="C39" s="1840"/>
      <c r="D39" s="1840"/>
      <c r="E39" s="1840"/>
      <c r="F39" s="1841"/>
      <c r="G39" s="1842"/>
      <c r="H39" s="1841"/>
      <c r="I39" s="1842"/>
      <c r="J39" s="1841"/>
      <c r="K39" s="88">
        <v>47250</v>
      </c>
      <c r="L39" s="1922">
        <v>7.62</v>
      </c>
      <c r="M39" s="1923"/>
      <c r="N39" s="89">
        <v>6200.787401574803</v>
      </c>
    </row>
    <row r="40" spans="2:14">
      <c r="B40" s="1839" t="s">
        <v>77</v>
      </c>
      <c r="C40" s="1840"/>
      <c r="D40" s="1840"/>
      <c r="E40" s="1840"/>
      <c r="F40" s="1841"/>
      <c r="G40" s="1842"/>
      <c r="H40" s="1841"/>
      <c r="I40" s="1842"/>
      <c r="J40" s="1841"/>
      <c r="K40" s="88"/>
      <c r="L40" s="1922"/>
      <c r="M40" s="1923"/>
      <c r="N40" s="89">
        <v>945.39625000000001</v>
      </c>
    </row>
    <row r="41" spans="2:14">
      <c r="B41" s="1839"/>
      <c r="C41" s="1840"/>
      <c r="D41" s="1840"/>
      <c r="E41" s="1840"/>
      <c r="F41" s="1841"/>
      <c r="G41" s="1842"/>
      <c r="H41" s="1841"/>
      <c r="I41" s="1842"/>
      <c r="J41" s="1841"/>
      <c r="K41" s="88"/>
      <c r="L41" s="1920"/>
      <c r="M41" s="1921"/>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7146.1836515748028</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80" t="s">
        <v>38</v>
      </c>
      <c r="K47" s="178" t="s">
        <v>115</v>
      </c>
      <c r="L47" s="1829" t="s">
        <v>190</v>
      </c>
      <c r="M47" s="1832"/>
      <c r="N47" s="179" t="s">
        <v>191</v>
      </c>
    </row>
    <row r="48" spans="2:14">
      <c r="B48" s="1839" t="s">
        <v>282</v>
      </c>
      <c r="C48" s="1840"/>
      <c r="D48" s="1840"/>
      <c r="E48" s="1840"/>
      <c r="F48" s="1840"/>
      <c r="G48" s="1840"/>
      <c r="H48" s="1840"/>
      <c r="I48" s="1841"/>
      <c r="J48" s="131" t="s">
        <v>31</v>
      </c>
      <c r="K48" s="132">
        <v>1</v>
      </c>
      <c r="L48" s="1852">
        <v>73527</v>
      </c>
      <c r="M48" s="1853"/>
      <c r="N48" s="89">
        <v>73527</v>
      </c>
    </row>
    <row r="49" spans="2:14">
      <c r="B49" s="1839" t="s">
        <v>23</v>
      </c>
      <c r="C49" s="1840"/>
      <c r="D49" s="1840"/>
      <c r="E49" s="1840"/>
      <c r="F49" s="1840"/>
      <c r="G49" s="1840"/>
      <c r="H49" s="1840"/>
      <c r="I49" s="1841"/>
      <c r="J49" s="131" t="s">
        <v>32</v>
      </c>
      <c r="K49" s="132">
        <v>0.3</v>
      </c>
      <c r="L49" s="1852">
        <v>120750</v>
      </c>
      <c r="M49" s="1853"/>
      <c r="N49" s="89">
        <v>36225</v>
      </c>
    </row>
    <row r="50" spans="2:14">
      <c r="B50" s="1839" t="s">
        <v>493</v>
      </c>
      <c r="C50" s="1840"/>
      <c r="D50" s="1840"/>
      <c r="E50" s="1840"/>
      <c r="F50" s="1840"/>
      <c r="G50" s="1840"/>
      <c r="H50" s="1840"/>
      <c r="I50" s="1841"/>
      <c r="J50" s="131" t="s">
        <v>32</v>
      </c>
      <c r="K50" s="132">
        <v>0.3</v>
      </c>
      <c r="L50" s="1852">
        <v>26250</v>
      </c>
      <c r="M50" s="1853"/>
      <c r="N50" s="89">
        <v>7875</v>
      </c>
    </row>
    <row r="51" spans="2:14">
      <c r="B51" s="1839"/>
      <c r="C51" s="1840"/>
      <c r="D51" s="1840"/>
      <c r="E51" s="1840"/>
      <c r="F51" s="1840"/>
      <c r="G51" s="1840"/>
      <c r="H51" s="1840"/>
      <c r="I51" s="1841"/>
      <c r="J51" s="131"/>
      <c r="K51" s="132"/>
      <c r="L51" s="1852"/>
      <c r="M51" s="1853"/>
      <c r="N51" s="89"/>
    </row>
    <row r="52" spans="2:14" ht="13.5" thickBot="1">
      <c r="B52" s="1839"/>
      <c r="C52" s="1840"/>
      <c r="D52" s="1840"/>
      <c r="E52" s="1840"/>
      <c r="F52" s="1840"/>
      <c r="G52" s="1840"/>
      <c r="H52" s="1840"/>
      <c r="I52" s="1841"/>
      <c r="J52" s="131"/>
      <c r="K52" s="144"/>
      <c r="L52" s="1852"/>
      <c r="M52" s="1853"/>
      <c r="N52" s="89"/>
    </row>
    <row r="53" spans="2:14" ht="14.25" thickBot="1">
      <c r="B53" s="1848" t="s">
        <v>188</v>
      </c>
      <c r="C53" s="1849"/>
      <c r="D53" s="1849"/>
      <c r="E53" s="1849"/>
      <c r="F53" s="1849"/>
      <c r="G53" s="1849"/>
      <c r="H53" s="1849"/>
      <c r="I53" s="1849"/>
      <c r="J53" s="1849"/>
      <c r="K53" s="1849"/>
      <c r="L53" s="1849"/>
      <c r="M53" s="1850"/>
      <c r="N53" s="99">
        <v>117627</v>
      </c>
    </row>
    <row r="54" spans="2:14">
      <c r="B54" s="1766" t="s">
        <v>51</v>
      </c>
      <c r="C54" s="1767"/>
      <c r="D54" s="1767"/>
      <c r="E54" s="1767"/>
      <c r="F54" s="1767"/>
      <c r="G54" s="1767"/>
      <c r="H54" s="1767"/>
      <c r="I54" s="1767"/>
      <c r="J54" s="1767"/>
      <c r="K54" s="1767"/>
      <c r="L54" s="1767"/>
      <c r="M54" s="1767"/>
      <c r="N54" s="1768"/>
    </row>
    <row r="55" spans="2:14">
      <c r="B55" s="1766"/>
      <c r="C55" s="1767"/>
      <c r="D55" s="1767"/>
      <c r="E55" s="1767"/>
      <c r="F55" s="1767"/>
      <c r="G55" s="1767"/>
      <c r="H55" s="1767"/>
      <c r="I55" s="1767"/>
      <c r="J55" s="1767"/>
      <c r="K55" s="1767"/>
      <c r="L55" s="1767"/>
      <c r="M55" s="1767"/>
      <c r="N55" s="1768"/>
    </row>
    <row r="56" spans="2:14" ht="13.5" thickBot="1">
      <c r="B56" s="1769"/>
      <c r="C56" s="1770"/>
      <c r="D56" s="1770"/>
      <c r="E56" s="1770"/>
      <c r="F56" s="1770"/>
      <c r="G56" s="1770"/>
      <c r="H56" s="1770"/>
      <c r="I56" s="1770"/>
      <c r="J56" s="1770"/>
      <c r="K56" s="1770"/>
      <c r="L56" s="1770"/>
      <c r="M56" s="1770"/>
      <c r="N56" s="1771"/>
    </row>
    <row r="57" spans="2:14" ht="13.5">
      <c r="B57" s="1826" t="s">
        <v>192</v>
      </c>
      <c r="C57" s="1851"/>
      <c r="D57" s="1851"/>
      <c r="E57" s="1851"/>
      <c r="F57" s="1851"/>
      <c r="G57" s="1851"/>
      <c r="H57" s="1851"/>
      <c r="I57" s="178" t="s">
        <v>193</v>
      </c>
      <c r="J57" s="181" t="s">
        <v>194</v>
      </c>
      <c r="K57" s="182" t="s">
        <v>310</v>
      </c>
      <c r="L57" s="1829" t="s">
        <v>39</v>
      </c>
      <c r="M57" s="1832"/>
      <c r="N57" s="179" t="s">
        <v>191</v>
      </c>
    </row>
    <row r="58" spans="2:14">
      <c r="B58" s="1839"/>
      <c r="C58" s="1840"/>
      <c r="D58" s="1840"/>
      <c r="E58" s="1840"/>
      <c r="F58" s="1840"/>
      <c r="G58" s="1840"/>
      <c r="H58" s="1840"/>
      <c r="I58" s="96"/>
      <c r="J58" s="133"/>
      <c r="K58" s="134"/>
      <c r="L58" s="1859"/>
      <c r="M58" s="1860"/>
      <c r="N58" s="135"/>
    </row>
    <row r="59" spans="2:14">
      <c r="B59" s="1839"/>
      <c r="C59" s="1840"/>
      <c r="D59" s="1840"/>
      <c r="E59" s="1840"/>
      <c r="F59" s="1840"/>
      <c r="G59" s="1840"/>
      <c r="H59" s="1840"/>
      <c r="I59" s="96"/>
      <c r="J59" s="133"/>
      <c r="K59" s="134"/>
      <c r="L59" s="1859"/>
      <c r="M59" s="1860"/>
      <c r="N59" s="135"/>
    </row>
    <row r="60" spans="2:14" ht="13.5" thickBot="1">
      <c r="B60" s="1834"/>
      <c r="C60" s="1835"/>
      <c r="D60" s="1835"/>
      <c r="E60" s="1835"/>
      <c r="F60" s="1835"/>
      <c r="G60" s="1835"/>
      <c r="H60" s="1835"/>
      <c r="I60" s="136"/>
      <c r="J60" s="137"/>
      <c r="K60" s="100"/>
      <c r="L60" s="1837"/>
      <c r="M60" s="1838"/>
      <c r="N60" s="135"/>
    </row>
    <row r="61" spans="2:14" ht="14.25" thickBot="1">
      <c r="B61" s="1848" t="s">
        <v>188</v>
      </c>
      <c r="C61" s="1849"/>
      <c r="D61" s="1849"/>
      <c r="E61" s="1849"/>
      <c r="F61" s="1849"/>
      <c r="G61" s="1849"/>
      <c r="H61" s="1849"/>
      <c r="I61" s="1849"/>
      <c r="J61" s="1849"/>
      <c r="K61" s="1849"/>
      <c r="L61" s="1849"/>
      <c r="M61" s="1850"/>
      <c r="N61" s="112">
        <v>0</v>
      </c>
    </row>
    <row r="62" spans="2:14">
      <c r="B62" s="1766" t="s">
        <v>52</v>
      </c>
      <c r="C62" s="1767"/>
      <c r="D62" s="1767"/>
      <c r="E62" s="1767"/>
      <c r="F62" s="1767"/>
      <c r="G62" s="1767"/>
      <c r="H62" s="1767"/>
      <c r="I62" s="1767"/>
      <c r="J62" s="1767"/>
      <c r="K62" s="1767"/>
      <c r="L62" s="1767"/>
      <c r="M62" s="1767"/>
      <c r="N62" s="1768"/>
    </row>
    <row r="63" spans="2:14">
      <c r="B63" s="1766"/>
      <c r="C63" s="1767"/>
      <c r="D63" s="1767"/>
      <c r="E63" s="1767"/>
      <c r="F63" s="1767"/>
      <c r="G63" s="1767"/>
      <c r="H63" s="1767"/>
      <c r="I63" s="1767"/>
      <c r="J63" s="1767"/>
      <c r="K63" s="1767"/>
      <c r="L63" s="1767"/>
      <c r="M63" s="1767"/>
      <c r="N63" s="1768"/>
    </row>
    <row r="64" spans="2:14" ht="13.5" thickBot="1">
      <c r="B64" s="1769"/>
      <c r="C64" s="1770"/>
      <c r="D64" s="1770"/>
      <c r="E64" s="1770"/>
      <c r="F64" s="1770"/>
      <c r="G64" s="1770"/>
      <c r="H64" s="1770"/>
      <c r="I64" s="1770"/>
      <c r="J64" s="1770"/>
      <c r="K64" s="1770"/>
      <c r="L64" s="1770"/>
      <c r="M64" s="1770"/>
      <c r="N64" s="1771"/>
    </row>
    <row r="65" spans="2:14" ht="13.5">
      <c r="B65" s="1826" t="s">
        <v>195</v>
      </c>
      <c r="C65" s="1851"/>
      <c r="D65" s="1851"/>
      <c r="E65" s="1851"/>
      <c r="F65" s="1851"/>
      <c r="G65" s="1851"/>
      <c r="H65" s="1851"/>
      <c r="I65" s="178" t="s">
        <v>196</v>
      </c>
      <c r="J65" s="181" t="s">
        <v>46</v>
      </c>
      <c r="K65" s="182" t="s">
        <v>197</v>
      </c>
      <c r="L65" s="1829" t="s">
        <v>186</v>
      </c>
      <c r="M65" s="1832"/>
      <c r="N65" s="179" t="s">
        <v>191</v>
      </c>
    </row>
    <row r="66" spans="2:14">
      <c r="B66" s="149" t="s">
        <v>62</v>
      </c>
      <c r="C66" s="150"/>
      <c r="D66" s="150"/>
      <c r="E66" s="150"/>
      <c r="F66" s="150"/>
      <c r="G66" s="150"/>
      <c r="H66" s="150"/>
      <c r="I66" s="107">
        <v>82200</v>
      </c>
      <c r="J66" s="108">
        <v>1.85</v>
      </c>
      <c r="K66" s="109">
        <v>152070</v>
      </c>
      <c r="L66" s="1861">
        <v>12</v>
      </c>
      <c r="M66" s="1862"/>
      <c r="N66" s="110">
        <v>12672.5</v>
      </c>
    </row>
    <row r="67" spans="2:14">
      <c r="B67" s="149" t="s">
        <v>48</v>
      </c>
      <c r="C67" s="150"/>
      <c r="D67" s="150"/>
      <c r="E67" s="150"/>
      <c r="F67" s="150"/>
      <c r="G67" s="150"/>
      <c r="H67" s="150"/>
      <c r="I67" s="107">
        <v>40446</v>
      </c>
      <c r="J67" s="108">
        <v>1.85</v>
      </c>
      <c r="K67" s="109">
        <v>74825.100000000006</v>
      </c>
      <c r="L67" s="1861">
        <v>12</v>
      </c>
      <c r="M67" s="1862"/>
      <c r="N67" s="110">
        <v>6235.4250000000002</v>
      </c>
    </row>
    <row r="68" spans="2:14">
      <c r="B68" s="149"/>
      <c r="C68" s="150"/>
      <c r="D68" s="150"/>
      <c r="E68" s="150"/>
      <c r="F68" s="150"/>
      <c r="G68" s="150"/>
      <c r="H68" s="150"/>
      <c r="I68" s="107"/>
      <c r="J68" s="108"/>
      <c r="K68" s="109"/>
      <c r="L68" s="1859"/>
      <c r="M68" s="1860"/>
      <c r="N68" s="110"/>
    </row>
    <row r="69" spans="2:14" ht="13.5" thickBot="1">
      <c r="B69" s="1834"/>
      <c r="C69" s="1835"/>
      <c r="D69" s="1835"/>
      <c r="E69" s="1835"/>
      <c r="F69" s="1835"/>
      <c r="G69" s="1835"/>
      <c r="H69" s="1835"/>
      <c r="I69" s="102"/>
      <c r="J69" s="87"/>
      <c r="K69" s="102"/>
      <c r="L69" s="1837"/>
      <c r="M69" s="1838"/>
      <c r="N69" s="111"/>
    </row>
    <row r="70" spans="2:14" ht="14.25" thickBot="1">
      <c r="B70" s="1848" t="s">
        <v>188</v>
      </c>
      <c r="C70" s="1849"/>
      <c r="D70" s="1849"/>
      <c r="E70" s="1849"/>
      <c r="F70" s="1849"/>
      <c r="G70" s="1849"/>
      <c r="H70" s="1849"/>
      <c r="I70" s="1849"/>
      <c r="J70" s="1849"/>
      <c r="K70" s="1849"/>
      <c r="L70" s="1849"/>
      <c r="M70" s="1850"/>
      <c r="N70" s="112">
        <v>18907.924999999999</v>
      </c>
    </row>
    <row r="71" spans="2:14" ht="13.5" thickBot="1">
      <c r="B71" s="85"/>
      <c r="C71" s="66"/>
      <c r="D71" s="66"/>
      <c r="E71" s="66"/>
      <c r="F71" s="66"/>
      <c r="G71" s="66"/>
      <c r="H71" s="66"/>
      <c r="I71" s="66"/>
      <c r="J71" s="66"/>
      <c r="K71" s="66"/>
      <c r="L71" s="66"/>
      <c r="M71" s="66"/>
      <c r="N71" s="73"/>
    </row>
    <row r="72" spans="2:14" ht="13.5" thickBot="1">
      <c r="B72" s="1854" t="s">
        <v>198</v>
      </c>
      <c r="C72" s="1855"/>
      <c r="D72" s="1855"/>
      <c r="E72" s="1855"/>
      <c r="F72" s="1855"/>
      <c r="G72" s="1855"/>
      <c r="H72" s="1855"/>
      <c r="I72" s="1855"/>
      <c r="J72" s="1855"/>
      <c r="K72" s="1855"/>
      <c r="L72" s="1855"/>
      <c r="M72" s="1856"/>
      <c r="N72" s="186">
        <v>143681.10865157479</v>
      </c>
    </row>
    <row r="73" spans="2:14">
      <c r="B73" s="1766" t="s">
        <v>53</v>
      </c>
      <c r="C73" s="1767"/>
      <c r="D73" s="1767"/>
      <c r="E73" s="1767"/>
      <c r="F73" s="1767"/>
      <c r="G73" s="1767"/>
      <c r="H73" s="1767"/>
      <c r="I73" s="1767"/>
      <c r="J73" s="1767"/>
      <c r="K73" s="1767"/>
      <c r="L73" s="1767"/>
      <c r="M73" s="1767"/>
      <c r="N73" s="1768"/>
    </row>
    <row r="74" spans="2:14">
      <c r="B74" s="1766"/>
      <c r="C74" s="1767"/>
      <c r="D74" s="1767"/>
      <c r="E74" s="1767"/>
      <c r="F74" s="1767"/>
      <c r="G74" s="1767"/>
      <c r="H74" s="1767"/>
      <c r="I74" s="1767"/>
      <c r="J74" s="1767"/>
      <c r="K74" s="1767"/>
      <c r="L74" s="1767"/>
      <c r="M74" s="1767"/>
      <c r="N74" s="1768"/>
    </row>
    <row r="75" spans="2:14" ht="13.5" thickBot="1">
      <c r="B75" s="1769"/>
      <c r="C75" s="1770"/>
      <c r="D75" s="1770"/>
      <c r="E75" s="1770"/>
      <c r="F75" s="1770"/>
      <c r="G75" s="1770"/>
      <c r="H75" s="1770"/>
      <c r="I75" s="1770"/>
      <c r="J75" s="1770"/>
      <c r="K75" s="1770"/>
      <c r="L75" s="1770"/>
      <c r="M75" s="1770"/>
      <c r="N75" s="1771"/>
    </row>
    <row r="76" spans="2:14" ht="13.5">
      <c r="B76" s="1826" t="s">
        <v>50</v>
      </c>
      <c r="C76" s="1851"/>
      <c r="D76" s="1851"/>
      <c r="E76" s="1851"/>
      <c r="F76" s="1851"/>
      <c r="G76" s="1851"/>
      <c r="H76" s="1851"/>
      <c r="I76" s="181"/>
      <c r="J76" s="187"/>
      <c r="K76" s="184" t="s">
        <v>54</v>
      </c>
      <c r="L76" s="1857" t="s">
        <v>55</v>
      </c>
      <c r="M76" s="1858"/>
      <c r="N76" s="185"/>
    </row>
    <row r="77" spans="2:14">
      <c r="B77" s="1839" t="s">
        <v>44</v>
      </c>
      <c r="C77" s="1840"/>
      <c r="D77" s="1840"/>
      <c r="E77" s="1840"/>
      <c r="F77" s="1840"/>
      <c r="G77" s="1840"/>
      <c r="H77" s="1840"/>
      <c r="I77" s="113"/>
      <c r="J77" s="114"/>
      <c r="K77" s="192">
        <v>0.22</v>
      </c>
      <c r="L77" s="1877">
        <v>31609.843903346453</v>
      </c>
      <c r="M77" s="1878"/>
      <c r="N77" s="115"/>
    </row>
    <row r="78" spans="2:14">
      <c r="B78" s="116" t="s">
        <v>56</v>
      </c>
      <c r="C78" s="117"/>
      <c r="D78" s="117"/>
      <c r="E78" s="117"/>
      <c r="F78" s="117"/>
      <c r="G78" s="117"/>
      <c r="H78" s="117"/>
      <c r="I78" s="113"/>
      <c r="J78" s="114"/>
      <c r="K78" s="192">
        <v>0.05</v>
      </c>
      <c r="L78" s="1877">
        <v>7184.0554325787398</v>
      </c>
      <c r="M78" s="1878"/>
      <c r="N78" s="115"/>
    </row>
    <row r="79" spans="2:14" ht="13.5" thickBot="1">
      <c r="B79" s="118" t="s">
        <v>45</v>
      </c>
      <c r="C79" s="119"/>
      <c r="D79" s="119"/>
      <c r="E79" s="119"/>
      <c r="F79" s="119"/>
      <c r="G79" s="119"/>
      <c r="H79" s="119"/>
      <c r="I79" s="120"/>
      <c r="J79" s="121"/>
      <c r="K79" s="192">
        <v>0.05</v>
      </c>
      <c r="L79" s="1879">
        <v>7184.0554325787398</v>
      </c>
      <c r="M79" s="1880"/>
      <c r="N79" s="115"/>
    </row>
    <row r="80" spans="2:14" ht="14.25" thickBot="1">
      <c r="B80" s="1848" t="s">
        <v>188</v>
      </c>
      <c r="C80" s="1849"/>
      <c r="D80" s="1849"/>
      <c r="E80" s="1849"/>
      <c r="F80" s="1849"/>
      <c r="G80" s="1849"/>
      <c r="H80" s="1849"/>
      <c r="I80" s="1849"/>
      <c r="J80" s="1849"/>
      <c r="K80" s="1849"/>
      <c r="L80" s="1849"/>
      <c r="M80" s="1850"/>
      <c r="N80" s="122">
        <v>45977.954768503929</v>
      </c>
    </row>
    <row r="81" spans="2:14" ht="13.5" thickBot="1">
      <c r="B81" s="85"/>
      <c r="C81" s="66"/>
      <c r="D81" s="66"/>
      <c r="E81" s="66"/>
      <c r="F81" s="66"/>
      <c r="G81" s="66"/>
      <c r="H81" s="66"/>
      <c r="I81" s="66"/>
      <c r="J81" s="66"/>
      <c r="K81" s="66"/>
      <c r="L81" s="66"/>
      <c r="M81" s="66"/>
      <c r="N81" s="73"/>
    </row>
    <row r="82" spans="2:14" ht="13.5" thickBot="1">
      <c r="B82" s="1854" t="s">
        <v>199</v>
      </c>
      <c r="C82" s="1855"/>
      <c r="D82" s="1855"/>
      <c r="E82" s="1855"/>
      <c r="F82" s="1855"/>
      <c r="G82" s="1855"/>
      <c r="H82" s="1855"/>
      <c r="I82" s="1855"/>
      <c r="J82" s="1855"/>
      <c r="K82" s="1855"/>
      <c r="L82" s="1855"/>
      <c r="M82" s="1856"/>
      <c r="N82" s="188">
        <v>189659</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249</v>
      </c>
      <c r="H86" s="71"/>
      <c r="I86" s="71"/>
      <c r="J86" s="71"/>
      <c r="K86" s="66"/>
      <c r="L86" s="66"/>
      <c r="M86" s="66"/>
      <c r="N86" s="73"/>
    </row>
    <row r="87" spans="2:14" ht="13.5">
      <c r="B87" s="123"/>
      <c r="C87" s="124"/>
      <c r="D87" s="124"/>
      <c r="E87" s="124"/>
      <c r="F87" s="124"/>
      <c r="G87" s="71" t="s">
        <v>250</v>
      </c>
      <c r="H87" s="124"/>
      <c r="I87" s="124"/>
      <c r="J87" s="124"/>
      <c r="K87" s="124"/>
      <c r="L87" s="124"/>
      <c r="M87" s="124"/>
      <c r="N87" s="125"/>
    </row>
    <row r="88" spans="2:14" ht="13.5">
      <c r="B88" s="123"/>
      <c r="C88" s="124"/>
      <c r="D88" s="124"/>
      <c r="E88" s="124"/>
      <c r="F88" s="124"/>
      <c r="G88" s="71" t="s">
        <v>251</v>
      </c>
      <c r="J88" s="124"/>
      <c r="K88" s="124"/>
      <c r="L88" s="124"/>
      <c r="M88" s="124"/>
      <c r="N88" s="125"/>
    </row>
    <row r="89" spans="2:14">
      <c r="B89" s="49"/>
      <c r="C89" s="81"/>
      <c r="D89" s="81"/>
      <c r="E89" s="81"/>
      <c r="F89" s="81"/>
      <c r="G89" s="71" t="s">
        <v>252</v>
      </c>
      <c r="H89" s="81"/>
      <c r="I89" s="81"/>
      <c r="J89" s="81"/>
      <c r="K89" s="81"/>
      <c r="L89" s="81"/>
      <c r="M89" s="81"/>
      <c r="N89" s="79"/>
    </row>
    <row r="90" spans="2:14">
      <c r="B90" s="85"/>
      <c r="C90" s="66"/>
      <c r="D90" s="66"/>
      <c r="E90" s="66"/>
      <c r="F90" s="66"/>
      <c r="G90" s="66" t="s">
        <v>253</v>
      </c>
      <c r="H90" s="66"/>
      <c r="I90" s="66"/>
      <c r="J90" s="66"/>
      <c r="K90" s="66"/>
      <c r="L90" s="66"/>
      <c r="M90" s="66"/>
      <c r="N90" s="73"/>
    </row>
    <row r="91" spans="2:14" ht="13.5">
      <c r="B91" s="92" t="s">
        <v>254</v>
      </c>
      <c r="C91" s="93"/>
      <c r="D91" s="93"/>
      <c r="E91" s="93"/>
      <c r="F91" s="93"/>
      <c r="G91" s="93"/>
      <c r="H91" s="93"/>
      <c r="I91" s="93"/>
      <c r="J91" s="93"/>
      <c r="K91" s="93"/>
      <c r="L91" s="93"/>
      <c r="M91" s="93"/>
      <c r="N91" s="94"/>
    </row>
    <row r="92" spans="2:14">
      <c r="B92" s="1874"/>
      <c r="C92" s="1875"/>
      <c r="D92" s="1875"/>
      <c r="E92" s="1875"/>
      <c r="F92" s="1875"/>
      <c r="G92" s="1875"/>
      <c r="H92" s="1875"/>
      <c r="I92" s="1875"/>
      <c r="J92" s="1875"/>
      <c r="K92" s="1875"/>
      <c r="L92" s="1875"/>
      <c r="M92" s="1875"/>
      <c r="N92" s="1876"/>
    </row>
    <row r="93" spans="2:14">
      <c r="B93" s="1874"/>
      <c r="C93" s="1875"/>
      <c r="D93" s="1875"/>
      <c r="E93" s="1875"/>
      <c r="F93" s="1875"/>
      <c r="G93" s="1875"/>
      <c r="H93" s="1875"/>
      <c r="I93" s="1875"/>
      <c r="J93" s="1875"/>
      <c r="K93" s="1875"/>
      <c r="L93" s="1875"/>
      <c r="M93" s="1875"/>
      <c r="N93" s="1876"/>
    </row>
    <row r="94" spans="2:14">
      <c r="B94" s="49"/>
      <c r="C94" s="81"/>
      <c r="D94" s="81"/>
      <c r="E94" s="81"/>
      <c r="F94" s="81"/>
      <c r="G94" s="81"/>
      <c r="H94" s="81"/>
      <c r="I94" s="81"/>
      <c r="J94" s="81"/>
      <c r="K94" s="81"/>
      <c r="L94" s="81"/>
      <c r="M94" s="81"/>
      <c r="N94" s="79"/>
    </row>
    <row r="95" spans="2:14">
      <c r="B95" s="406" t="s">
        <v>719</v>
      </c>
      <c r="C95" s="81"/>
      <c r="D95" s="81"/>
      <c r="E95" s="81"/>
      <c r="F95" s="81"/>
      <c r="G95" s="81"/>
      <c r="H95" s="81"/>
      <c r="I95" s="81"/>
      <c r="J95" s="81"/>
      <c r="K95" s="81"/>
      <c r="L95" s="81"/>
      <c r="M95" s="81"/>
      <c r="N95" s="79"/>
    </row>
    <row r="96" spans="2:14" ht="12.75" customHeight="1">
      <c r="B96" s="1871" t="s">
        <v>720</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1871" t="s">
        <v>721</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49"/>
      <c r="C100" s="81"/>
      <c r="D100" s="81"/>
      <c r="E100" s="81"/>
      <c r="F100" s="81"/>
      <c r="G100" s="81"/>
      <c r="H100" s="81"/>
      <c r="I100" s="81"/>
      <c r="J100" s="81"/>
      <c r="K100" s="81"/>
      <c r="L100" s="81"/>
      <c r="M100" s="81"/>
      <c r="N100" s="79"/>
    </row>
    <row r="101" spans="2:14">
      <c r="B101" s="85"/>
      <c r="C101" s="66"/>
      <c r="D101" s="66"/>
      <c r="E101" s="66"/>
      <c r="F101" s="66"/>
      <c r="G101" s="71" t="s">
        <v>249</v>
      </c>
      <c r="H101" s="66"/>
      <c r="I101" s="66"/>
      <c r="J101" s="66"/>
      <c r="K101" s="66"/>
      <c r="L101" s="66"/>
      <c r="M101" s="66"/>
      <c r="N101" s="73"/>
    </row>
    <row r="102" spans="2:14">
      <c r="B102" s="85"/>
      <c r="C102" s="66"/>
      <c r="D102" s="66"/>
      <c r="E102" s="66"/>
      <c r="F102" s="66"/>
      <c r="G102" s="66" t="s">
        <v>250</v>
      </c>
      <c r="H102" s="86"/>
      <c r="I102" s="86"/>
      <c r="J102" s="86"/>
      <c r="K102" s="66"/>
      <c r="L102" s="66"/>
      <c r="M102" s="66"/>
      <c r="N102" s="73"/>
    </row>
    <row r="103" spans="2:14">
      <c r="B103" s="85"/>
      <c r="C103" s="66"/>
      <c r="D103" s="66"/>
      <c r="E103" s="66"/>
      <c r="F103" s="66"/>
      <c r="G103" s="66" t="s">
        <v>255</v>
      </c>
      <c r="H103" s="80"/>
      <c r="I103" s="80"/>
      <c r="J103" s="80"/>
      <c r="M103" s="66"/>
      <c r="N103" s="73"/>
    </row>
    <row r="104" spans="2:14">
      <c r="B104" s="127"/>
      <c r="C104" s="81"/>
      <c r="D104" s="81"/>
      <c r="E104" s="81"/>
      <c r="F104" s="81"/>
      <c r="G104" s="66" t="s">
        <v>252</v>
      </c>
      <c r="K104" s="81"/>
      <c r="L104" s="81"/>
      <c r="M104" s="81"/>
      <c r="N104" s="79"/>
    </row>
    <row r="105" spans="2:14" ht="17.25" customHeight="1">
      <c r="B105" s="138" t="s">
        <v>722</v>
      </c>
      <c r="C105" s="128"/>
      <c r="D105" s="128"/>
      <c r="E105" s="66"/>
      <c r="F105" s="66"/>
      <c r="G105" s="66"/>
      <c r="H105" s="66"/>
      <c r="I105" s="66"/>
      <c r="J105" s="1863"/>
      <c r="K105" s="1863"/>
      <c r="L105" s="1863"/>
      <c r="M105" s="1863"/>
      <c r="N105" s="1864"/>
    </row>
    <row r="106" spans="2:14" ht="18.75" customHeight="1" thickBot="1">
      <c r="B106" s="1867" t="s">
        <v>723</v>
      </c>
      <c r="C106" s="1868"/>
      <c r="D106" s="1868"/>
      <c r="E106" s="87"/>
      <c r="F106" s="87"/>
      <c r="G106" s="87"/>
      <c r="H106" s="87"/>
      <c r="I106" s="87"/>
      <c r="J106" s="1865"/>
      <c r="K106" s="1865"/>
      <c r="L106" s="1865"/>
      <c r="M106" s="1865"/>
      <c r="N106" s="1866"/>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56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5633" r:id="rId3"/>
      </mc:Fallback>
    </mc:AlternateContent>
  </oleObjects>
  <mc:AlternateContent xmlns:mc="http://schemas.openxmlformats.org/markup-compatibility/2006">
    <mc:Choice Requires="x14">
      <controls>
        <mc:AlternateContent xmlns:mc="http://schemas.openxmlformats.org/markup-compatibility/2006">
          <mc:Choice Requires="x14">
            <control shapeId="32563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563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dimension ref="B1:N105"/>
  <sheetViews>
    <sheetView showGridLines="0" topLeftCell="A44" zoomScale="70" zoomScaleNormal="70" workbookViewId="0">
      <selection sqref="A1:XFD1048576"/>
    </sheetView>
  </sheetViews>
  <sheetFormatPr baseColWidth="10" defaultColWidth="11.42578125" defaultRowHeight="12.75"/>
  <cols>
    <col min="1" max="1" width="3.140625" style="39" customWidth="1"/>
    <col min="2" max="13" width="11.42578125" style="39"/>
    <col min="14" max="14" width="12"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ht="12.75" customHeight="1">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301</v>
      </c>
      <c r="C34" s="1885" t="s">
        <v>302</v>
      </c>
      <c r="D34" s="1887"/>
      <c r="E34" s="1887"/>
      <c r="F34" s="1887"/>
      <c r="G34" s="1887"/>
      <c r="H34" s="1887"/>
      <c r="I34" s="1887"/>
      <c r="J34" s="1887"/>
      <c r="K34" s="1886"/>
      <c r="L34" s="1885" t="s">
        <v>82</v>
      </c>
      <c r="M34" s="1886"/>
      <c r="N34" s="177">
        <v>210</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77</v>
      </c>
      <c r="C39" s="1840"/>
      <c r="D39" s="1840"/>
      <c r="E39" s="1840"/>
      <c r="F39" s="1841"/>
      <c r="G39" s="1842"/>
      <c r="H39" s="1841"/>
      <c r="I39" s="1842"/>
      <c r="J39" s="1841"/>
      <c r="K39" s="88"/>
      <c r="L39" s="1922"/>
      <c r="M39" s="1923"/>
      <c r="N39" s="89">
        <v>174.79310344827587</v>
      </c>
    </row>
    <row r="40" spans="2:14">
      <c r="B40" s="1839"/>
      <c r="C40" s="1840"/>
      <c r="D40" s="1840"/>
      <c r="E40" s="1840"/>
      <c r="F40" s="1841"/>
      <c r="G40" s="1842"/>
      <c r="H40" s="1841"/>
      <c r="I40" s="1842"/>
      <c r="J40" s="1841"/>
      <c r="K40" s="88"/>
      <c r="L40" s="1920"/>
      <c r="M40" s="1921"/>
      <c r="N40" s="89"/>
    </row>
    <row r="41" spans="2:14" ht="13.5" thickBot="1">
      <c r="B41" s="1839"/>
      <c r="C41" s="1840"/>
      <c r="D41" s="1840"/>
      <c r="E41" s="1840"/>
      <c r="F41" s="1841"/>
      <c r="G41" s="1842"/>
      <c r="H41" s="1841"/>
      <c r="I41" s="1842"/>
      <c r="J41" s="1841"/>
      <c r="K41" s="88"/>
      <c r="L41" s="1908"/>
      <c r="M41" s="1909"/>
      <c r="N41" s="89"/>
    </row>
    <row r="42" spans="2:14" ht="14.25" thickBot="1">
      <c r="B42" s="1848" t="s">
        <v>188</v>
      </c>
      <c r="C42" s="1849"/>
      <c r="D42" s="1849"/>
      <c r="E42" s="1849"/>
      <c r="F42" s="1849"/>
      <c r="G42" s="1849"/>
      <c r="H42" s="1849"/>
      <c r="I42" s="1849"/>
      <c r="J42" s="1849"/>
      <c r="K42" s="1849"/>
      <c r="L42" s="1849"/>
      <c r="M42" s="1850"/>
      <c r="N42" s="91">
        <v>174.79310344827587</v>
      </c>
    </row>
    <row r="43" spans="2:14">
      <c r="B43" s="1766" t="s">
        <v>189</v>
      </c>
      <c r="C43" s="1767"/>
      <c r="D43" s="1767"/>
      <c r="E43" s="1767"/>
      <c r="F43" s="1767"/>
      <c r="G43" s="1767"/>
      <c r="H43" s="1767"/>
      <c r="I43" s="1767"/>
      <c r="J43" s="1767"/>
      <c r="K43" s="1767"/>
      <c r="L43" s="1767"/>
      <c r="M43" s="1767"/>
      <c r="N43" s="1768"/>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c r="B47" s="1839" t="s">
        <v>283</v>
      </c>
      <c r="C47" s="1840"/>
      <c r="D47" s="1840"/>
      <c r="E47" s="1840"/>
      <c r="F47" s="1840"/>
      <c r="G47" s="1840"/>
      <c r="H47" s="1840"/>
      <c r="I47" s="1841"/>
      <c r="J47" s="131" t="s">
        <v>32</v>
      </c>
      <c r="K47" s="132">
        <v>1</v>
      </c>
      <c r="L47" s="1852">
        <v>62370</v>
      </c>
      <c r="M47" s="1853"/>
      <c r="N47" s="89">
        <v>62370</v>
      </c>
    </row>
    <row r="48" spans="2:14">
      <c r="B48" s="1933"/>
      <c r="C48" s="1934"/>
      <c r="D48" s="1934"/>
      <c r="E48" s="1934"/>
      <c r="F48" s="1934"/>
      <c r="G48" s="1934"/>
      <c r="H48" s="1934"/>
      <c r="I48" s="1935"/>
      <c r="J48" s="145"/>
      <c r="K48" s="146"/>
      <c r="L48" s="1852"/>
      <c r="M48" s="1853"/>
      <c r="N48" s="89"/>
    </row>
    <row r="49" spans="2:14">
      <c r="B49" s="1839"/>
      <c r="C49" s="1840"/>
      <c r="D49" s="1840"/>
      <c r="E49" s="1840"/>
      <c r="F49" s="1840"/>
      <c r="G49" s="1840"/>
      <c r="H49" s="1840"/>
      <c r="I49" s="1841"/>
      <c r="J49" s="147"/>
      <c r="K49" s="148"/>
      <c r="L49" s="1852"/>
      <c r="M49" s="1853"/>
      <c r="N49" s="89"/>
    </row>
    <row r="50" spans="2:14">
      <c r="B50" s="1839"/>
      <c r="C50" s="1840"/>
      <c r="D50" s="1840"/>
      <c r="E50" s="1840"/>
      <c r="F50" s="1840"/>
      <c r="G50" s="1840"/>
      <c r="H50" s="1840"/>
      <c r="I50" s="1841"/>
      <c r="J50" s="131"/>
      <c r="K50" s="132"/>
      <c r="L50" s="1852"/>
      <c r="M50" s="1853"/>
      <c r="N50" s="89"/>
    </row>
    <row r="51" spans="2:14" ht="13.5" thickBot="1">
      <c r="B51" s="1839"/>
      <c r="C51" s="1840"/>
      <c r="D51" s="1840"/>
      <c r="E51" s="1840"/>
      <c r="F51" s="1840"/>
      <c r="G51" s="1840"/>
      <c r="H51" s="1840"/>
      <c r="I51" s="1841"/>
      <c r="J51" s="131"/>
      <c r="K51" s="144"/>
      <c r="L51" s="1852"/>
      <c r="M51" s="1853"/>
      <c r="N51" s="89"/>
    </row>
    <row r="52" spans="2:14" ht="14.25" thickBot="1">
      <c r="B52" s="1848" t="s">
        <v>188</v>
      </c>
      <c r="C52" s="1849"/>
      <c r="D52" s="1849"/>
      <c r="E52" s="1849"/>
      <c r="F52" s="1849"/>
      <c r="G52" s="1849"/>
      <c r="H52" s="1849"/>
      <c r="I52" s="1849"/>
      <c r="J52" s="1849"/>
      <c r="K52" s="1849"/>
      <c r="L52" s="1849"/>
      <c r="M52" s="1850"/>
      <c r="N52" s="99">
        <v>62370</v>
      </c>
    </row>
    <row r="53" spans="2:14">
      <c r="B53" s="1766" t="s">
        <v>51</v>
      </c>
      <c r="C53" s="1767"/>
      <c r="D53" s="1767"/>
      <c r="E53" s="1767"/>
      <c r="F53" s="1767"/>
      <c r="G53" s="1767"/>
      <c r="H53" s="1767"/>
      <c r="I53" s="1767"/>
      <c r="J53" s="1767"/>
      <c r="K53" s="1767"/>
      <c r="L53" s="1767"/>
      <c r="M53" s="1767"/>
      <c r="N53" s="1768"/>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81" t="s">
        <v>194</v>
      </c>
      <c r="K56" s="182" t="s">
        <v>310</v>
      </c>
      <c r="L56" s="1829" t="s">
        <v>39</v>
      </c>
      <c r="M56" s="1832"/>
      <c r="N56" s="179" t="s">
        <v>191</v>
      </c>
    </row>
    <row r="57" spans="2:14">
      <c r="B57" s="1839"/>
      <c r="C57" s="1840"/>
      <c r="D57" s="1840"/>
      <c r="E57" s="1840"/>
      <c r="F57" s="1840"/>
      <c r="G57" s="1840"/>
      <c r="H57" s="1840"/>
      <c r="I57" s="96"/>
      <c r="J57" s="133"/>
      <c r="K57" s="134"/>
      <c r="L57" s="1859"/>
      <c r="M57" s="1860"/>
      <c r="N57" s="135"/>
    </row>
    <row r="58" spans="2:14">
      <c r="B58" s="1839"/>
      <c r="C58" s="1840"/>
      <c r="D58" s="1840"/>
      <c r="E58" s="1840"/>
      <c r="F58" s="1840"/>
      <c r="G58" s="1840"/>
      <c r="H58" s="1840"/>
      <c r="I58" s="96"/>
      <c r="J58" s="133"/>
      <c r="K58" s="134"/>
      <c r="L58" s="1859"/>
      <c r="M58" s="1860"/>
      <c r="N58" s="135"/>
    </row>
    <row r="59" spans="2:14" ht="13.5" thickBot="1">
      <c r="B59" s="1834"/>
      <c r="C59" s="1835"/>
      <c r="D59" s="1835"/>
      <c r="E59" s="1835"/>
      <c r="F59" s="1835"/>
      <c r="G59" s="1835"/>
      <c r="H59" s="1835"/>
      <c r="I59" s="136"/>
      <c r="J59" s="137"/>
      <c r="K59" s="100"/>
      <c r="L59" s="1837"/>
      <c r="M59" s="1838"/>
      <c r="N59" s="135"/>
    </row>
    <row r="60" spans="2:14" ht="14.25" thickBot="1">
      <c r="B60" s="1848" t="s">
        <v>188</v>
      </c>
      <c r="C60" s="1849"/>
      <c r="D60" s="1849"/>
      <c r="E60" s="1849"/>
      <c r="F60" s="1849"/>
      <c r="G60" s="1849"/>
      <c r="H60" s="1849"/>
      <c r="I60" s="1849"/>
      <c r="J60" s="1849"/>
      <c r="K60" s="1849"/>
      <c r="L60" s="1849"/>
      <c r="M60" s="1850"/>
      <c r="N60" s="112">
        <v>0</v>
      </c>
    </row>
    <row r="61" spans="2:14">
      <c r="B61" s="1766" t="s">
        <v>52</v>
      </c>
      <c r="C61" s="1767"/>
      <c r="D61" s="1767"/>
      <c r="E61" s="1767"/>
      <c r="F61" s="1767"/>
      <c r="G61" s="1767"/>
      <c r="H61" s="1767"/>
      <c r="I61" s="1767"/>
      <c r="J61" s="1767"/>
      <c r="K61" s="1767"/>
      <c r="L61" s="1767"/>
      <c r="M61" s="1767"/>
      <c r="N61" s="1768"/>
    </row>
    <row r="62" spans="2:14">
      <c r="B62" s="1766"/>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4">
      <c r="B65" s="149" t="s">
        <v>61</v>
      </c>
      <c r="C65" s="150"/>
      <c r="D65" s="150"/>
      <c r="E65" s="150"/>
      <c r="F65" s="150"/>
      <c r="G65" s="150"/>
      <c r="H65" s="150"/>
      <c r="I65" s="107">
        <v>54800</v>
      </c>
      <c r="J65" s="108">
        <v>1.85</v>
      </c>
      <c r="K65" s="109">
        <v>101380</v>
      </c>
      <c r="L65" s="1861">
        <v>29</v>
      </c>
      <c r="M65" s="1862"/>
      <c r="N65" s="110">
        <v>3495.8620689655172</v>
      </c>
    </row>
    <row r="66" spans="2:14">
      <c r="B66" s="149"/>
      <c r="C66" s="150"/>
      <c r="D66" s="150"/>
      <c r="E66" s="150"/>
      <c r="F66" s="150"/>
      <c r="G66" s="150"/>
      <c r="H66" s="150"/>
      <c r="I66" s="107"/>
      <c r="J66" s="108"/>
      <c r="K66" s="109"/>
      <c r="L66" s="1861"/>
      <c r="M66" s="1862"/>
      <c r="N66" s="110"/>
    </row>
    <row r="67" spans="2:14">
      <c r="B67" s="149"/>
      <c r="C67" s="150"/>
      <c r="D67" s="150"/>
      <c r="E67" s="150"/>
      <c r="F67" s="150"/>
      <c r="G67" s="150"/>
      <c r="H67" s="150"/>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3495.8620689655172</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66040.655172413797</v>
      </c>
    </row>
    <row r="72" spans="2:14">
      <c r="B72" s="1766" t="s">
        <v>53</v>
      </c>
      <c r="C72" s="1767"/>
      <c r="D72" s="1767"/>
      <c r="E72" s="1767"/>
      <c r="F72" s="1767"/>
      <c r="G72" s="1767"/>
      <c r="H72" s="1767"/>
      <c r="I72" s="1767"/>
      <c r="J72" s="1767"/>
      <c r="K72" s="1767"/>
      <c r="L72" s="1767"/>
      <c r="M72" s="1767"/>
      <c r="N72" s="1768"/>
    </row>
    <row r="73" spans="2:14">
      <c r="B73" s="1766"/>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81"/>
      <c r="J75" s="187"/>
      <c r="K75" s="184" t="s">
        <v>54</v>
      </c>
      <c r="L75" s="1857" t="s">
        <v>55</v>
      </c>
      <c r="M75" s="1858"/>
      <c r="N75" s="185"/>
    </row>
    <row r="76" spans="2:14">
      <c r="B76" s="1839" t="s">
        <v>44</v>
      </c>
      <c r="C76" s="1840"/>
      <c r="D76" s="1840"/>
      <c r="E76" s="1840"/>
      <c r="F76" s="1840"/>
      <c r="G76" s="1840"/>
      <c r="H76" s="1840"/>
      <c r="I76" s="113"/>
      <c r="J76" s="114"/>
      <c r="K76" s="192">
        <v>0.22</v>
      </c>
      <c r="L76" s="1877">
        <v>14528.944137931036</v>
      </c>
      <c r="M76" s="1878"/>
      <c r="N76" s="115"/>
    </row>
    <row r="77" spans="2:14">
      <c r="B77" s="116" t="s">
        <v>56</v>
      </c>
      <c r="C77" s="117"/>
      <c r="D77" s="117"/>
      <c r="E77" s="117"/>
      <c r="F77" s="117"/>
      <c r="G77" s="117"/>
      <c r="H77" s="117"/>
      <c r="I77" s="113"/>
      <c r="J77" s="114"/>
      <c r="K77" s="192">
        <v>0.05</v>
      </c>
      <c r="L77" s="1877">
        <v>3302.0327586206899</v>
      </c>
      <c r="M77" s="1878"/>
      <c r="N77" s="115"/>
    </row>
    <row r="78" spans="2:14" ht="13.5" thickBot="1">
      <c r="B78" s="118" t="s">
        <v>45</v>
      </c>
      <c r="C78" s="119"/>
      <c r="D78" s="119"/>
      <c r="E78" s="119"/>
      <c r="F78" s="119"/>
      <c r="G78" s="119"/>
      <c r="H78" s="119"/>
      <c r="I78" s="120"/>
      <c r="J78" s="121"/>
      <c r="K78" s="192">
        <v>0.05</v>
      </c>
      <c r="L78" s="1879">
        <v>3302.0327586206899</v>
      </c>
      <c r="M78" s="1880"/>
      <c r="N78" s="115"/>
    </row>
    <row r="79" spans="2:14" ht="14.25" thickBot="1">
      <c r="B79" s="1848" t="s">
        <v>188</v>
      </c>
      <c r="C79" s="1849"/>
      <c r="D79" s="1849"/>
      <c r="E79" s="1849"/>
      <c r="F79" s="1849"/>
      <c r="G79" s="1849"/>
      <c r="H79" s="1849"/>
      <c r="I79" s="1849"/>
      <c r="J79" s="1849"/>
      <c r="K79" s="1849"/>
      <c r="L79" s="1849"/>
      <c r="M79" s="1850"/>
      <c r="N79" s="122">
        <v>21133.009655172416</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87174</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7">
    <mergeCell ref="J104:N105"/>
    <mergeCell ref="B105:D105"/>
    <mergeCell ref="B12:E12"/>
    <mergeCell ref="B95:N96"/>
    <mergeCell ref="B97:N98"/>
    <mergeCell ref="B72:N74"/>
    <mergeCell ref="B79:M79"/>
    <mergeCell ref="L78:M78"/>
    <mergeCell ref="L66:M66"/>
    <mergeCell ref="L67:M67"/>
    <mergeCell ref="B68:H68"/>
    <mergeCell ref="L68:M68"/>
    <mergeCell ref="B69:M69"/>
    <mergeCell ref="B71:M71"/>
    <mergeCell ref="B75:H75"/>
    <mergeCell ref="L75:M75"/>
    <mergeCell ref="B76:H76"/>
    <mergeCell ref="L76:M76"/>
    <mergeCell ref="L77:M77"/>
    <mergeCell ref="B81:M81"/>
    <mergeCell ref="B91:N91"/>
    <mergeCell ref="B92:N92"/>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665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6657" r:id="rId3"/>
      </mc:Fallback>
    </mc:AlternateContent>
  </oleObjects>
  <mc:AlternateContent xmlns:mc="http://schemas.openxmlformats.org/markup-compatibility/2006">
    <mc:Choice Requires="x14">
      <controls>
        <mc:AlternateContent xmlns:mc="http://schemas.openxmlformats.org/markup-compatibility/2006">
          <mc:Choice Requires="x14">
            <control shapeId="32666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666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dimension ref="B1:N105"/>
  <sheetViews>
    <sheetView showGridLines="0" topLeftCell="A47" zoomScale="70" zoomScaleNormal="70" workbookViewId="0">
      <selection sqref="A1:XFD1048576"/>
    </sheetView>
  </sheetViews>
  <sheetFormatPr baseColWidth="10" defaultColWidth="11.42578125" defaultRowHeight="12.75"/>
  <cols>
    <col min="1" max="1" width="3.140625" style="39" customWidth="1"/>
    <col min="2" max="13" width="11.42578125" style="39"/>
    <col min="14" max="14" width="12.710937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101</v>
      </c>
      <c r="C34" s="1885" t="s">
        <v>131</v>
      </c>
      <c r="D34" s="1887"/>
      <c r="E34" s="1887"/>
      <c r="F34" s="1887"/>
      <c r="G34" s="1887"/>
      <c r="H34" s="1887"/>
      <c r="I34" s="1887"/>
      <c r="J34" s="1887"/>
      <c r="K34" s="1886"/>
      <c r="L34" s="1885" t="s">
        <v>82</v>
      </c>
      <c r="M34" s="1886"/>
      <c r="N34" s="177">
        <v>10554</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77</v>
      </c>
      <c r="C39" s="1840"/>
      <c r="D39" s="1840"/>
      <c r="E39" s="1840"/>
      <c r="F39" s="1841"/>
      <c r="G39" s="1842"/>
      <c r="H39" s="1841"/>
      <c r="I39" s="1842"/>
      <c r="J39" s="1841"/>
      <c r="K39" s="88"/>
      <c r="L39" s="1922"/>
      <c r="M39" s="1923"/>
      <c r="N39" s="89">
        <v>36.207142857142856</v>
      </c>
    </row>
    <row r="40" spans="2:14">
      <c r="B40" s="1839"/>
      <c r="C40" s="1840"/>
      <c r="D40" s="1840"/>
      <c r="E40" s="1840"/>
      <c r="F40" s="1841"/>
      <c r="G40" s="1842"/>
      <c r="H40" s="1841"/>
      <c r="I40" s="1842"/>
      <c r="J40" s="1841"/>
      <c r="K40" s="88"/>
      <c r="L40" s="1920"/>
      <c r="M40" s="1921"/>
      <c r="N40" s="89"/>
    </row>
    <row r="41" spans="2:14" ht="13.5" thickBot="1">
      <c r="B41" s="1839"/>
      <c r="C41" s="1840"/>
      <c r="D41" s="1840"/>
      <c r="E41" s="1840"/>
      <c r="F41" s="1841"/>
      <c r="G41" s="1842"/>
      <c r="H41" s="1841"/>
      <c r="I41" s="1842"/>
      <c r="J41" s="1841"/>
      <c r="K41" s="88"/>
      <c r="L41" s="1908"/>
      <c r="M41" s="1909"/>
      <c r="N41" s="89"/>
    </row>
    <row r="42" spans="2:14" ht="14.25" thickBot="1">
      <c r="B42" s="1848" t="s">
        <v>188</v>
      </c>
      <c r="C42" s="1849"/>
      <c r="D42" s="1849"/>
      <c r="E42" s="1849"/>
      <c r="F42" s="1849"/>
      <c r="G42" s="1849"/>
      <c r="H42" s="1849"/>
      <c r="I42" s="1849"/>
      <c r="J42" s="1849"/>
      <c r="K42" s="1849"/>
      <c r="L42" s="1849"/>
      <c r="M42" s="1850"/>
      <c r="N42" s="91">
        <v>36.207142857142856</v>
      </c>
    </row>
    <row r="43" spans="2:14">
      <c r="B43" s="1766" t="s">
        <v>189</v>
      </c>
      <c r="C43" s="1767"/>
      <c r="D43" s="1767"/>
      <c r="E43" s="1767"/>
      <c r="F43" s="1767"/>
      <c r="G43" s="1767"/>
      <c r="H43" s="1767"/>
      <c r="I43" s="1767"/>
      <c r="J43" s="1767"/>
      <c r="K43" s="1767"/>
      <c r="L43" s="1767"/>
      <c r="M43" s="1767"/>
      <c r="N43" s="1768"/>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c r="B47" s="1839" t="s">
        <v>284</v>
      </c>
      <c r="C47" s="1840"/>
      <c r="D47" s="1840"/>
      <c r="E47" s="1840"/>
      <c r="F47" s="1840"/>
      <c r="G47" s="1840"/>
      <c r="H47" s="1840"/>
      <c r="I47" s="1841"/>
      <c r="J47" s="131" t="s">
        <v>32</v>
      </c>
      <c r="K47" s="132">
        <v>1</v>
      </c>
      <c r="L47" s="1852">
        <v>11340</v>
      </c>
      <c r="M47" s="1853"/>
      <c r="N47" s="89">
        <v>11340</v>
      </c>
    </row>
    <row r="48" spans="2:14">
      <c r="B48" s="1933"/>
      <c r="C48" s="1934"/>
      <c r="D48" s="1934"/>
      <c r="E48" s="1934"/>
      <c r="F48" s="1934"/>
      <c r="G48" s="1934"/>
      <c r="H48" s="1934"/>
      <c r="I48" s="1935"/>
      <c r="J48" s="145"/>
      <c r="K48" s="146"/>
      <c r="L48" s="1852"/>
      <c r="M48" s="1853"/>
      <c r="N48" s="89"/>
    </row>
    <row r="49" spans="2:14">
      <c r="B49" s="1839"/>
      <c r="C49" s="1840"/>
      <c r="D49" s="1840"/>
      <c r="E49" s="1840"/>
      <c r="F49" s="1840"/>
      <c r="G49" s="1840"/>
      <c r="H49" s="1840"/>
      <c r="I49" s="1841"/>
      <c r="J49" s="147"/>
      <c r="K49" s="148"/>
      <c r="L49" s="1852"/>
      <c r="M49" s="1853"/>
      <c r="N49" s="89"/>
    </row>
    <row r="50" spans="2:14">
      <c r="B50" s="1839"/>
      <c r="C50" s="1840"/>
      <c r="D50" s="1840"/>
      <c r="E50" s="1840"/>
      <c r="F50" s="1840"/>
      <c r="G50" s="1840"/>
      <c r="H50" s="1840"/>
      <c r="I50" s="1841"/>
      <c r="J50" s="131"/>
      <c r="K50" s="132"/>
      <c r="L50" s="1852"/>
      <c r="M50" s="1853"/>
      <c r="N50" s="89"/>
    </row>
    <row r="51" spans="2:14" ht="13.5" thickBot="1">
      <c r="B51" s="1839"/>
      <c r="C51" s="1840"/>
      <c r="D51" s="1840"/>
      <c r="E51" s="1840"/>
      <c r="F51" s="1840"/>
      <c r="G51" s="1840"/>
      <c r="H51" s="1840"/>
      <c r="I51" s="1841"/>
      <c r="J51" s="131"/>
      <c r="K51" s="144"/>
      <c r="L51" s="1852"/>
      <c r="M51" s="1853"/>
      <c r="N51" s="89"/>
    </row>
    <row r="52" spans="2:14" ht="14.25" thickBot="1">
      <c r="B52" s="1848" t="s">
        <v>188</v>
      </c>
      <c r="C52" s="1849"/>
      <c r="D52" s="1849"/>
      <c r="E52" s="1849"/>
      <c r="F52" s="1849"/>
      <c r="G52" s="1849"/>
      <c r="H52" s="1849"/>
      <c r="I52" s="1849"/>
      <c r="J52" s="1849"/>
      <c r="K52" s="1849"/>
      <c r="L52" s="1849"/>
      <c r="M52" s="1850"/>
      <c r="N52" s="99">
        <v>11340</v>
      </c>
    </row>
    <row r="53" spans="2:14">
      <c r="B53" s="1766" t="s">
        <v>51</v>
      </c>
      <c r="C53" s="1767"/>
      <c r="D53" s="1767"/>
      <c r="E53" s="1767"/>
      <c r="F53" s="1767"/>
      <c r="G53" s="1767"/>
      <c r="H53" s="1767"/>
      <c r="I53" s="1767"/>
      <c r="J53" s="1767"/>
      <c r="K53" s="1767"/>
      <c r="L53" s="1767"/>
      <c r="M53" s="1767"/>
      <c r="N53" s="1768"/>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81" t="s">
        <v>194</v>
      </c>
      <c r="K56" s="182" t="s">
        <v>310</v>
      </c>
      <c r="L56" s="1829" t="s">
        <v>39</v>
      </c>
      <c r="M56" s="1832"/>
      <c r="N56" s="179" t="s">
        <v>191</v>
      </c>
    </row>
    <row r="57" spans="2:14">
      <c r="B57" s="1839"/>
      <c r="C57" s="1840"/>
      <c r="D57" s="1840"/>
      <c r="E57" s="1840"/>
      <c r="F57" s="1840"/>
      <c r="G57" s="1840"/>
      <c r="H57" s="1841"/>
      <c r="I57" s="96"/>
      <c r="J57" s="133"/>
      <c r="K57" s="134"/>
      <c r="L57" s="1859"/>
      <c r="M57" s="1860"/>
      <c r="N57" s="135"/>
    </row>
    <row r="58" spans="2:14">
      <c r="B58" s="1839"/>
      <c r="C58" s="1840"/>
      <c r="D58" s="1840"/>
      <c r="E58" s="1840"/>
      <c r="F58" s="1840"/>
      <c r="G58" s="1840"/>
      <c r="H58" s="1840"/>
      <c r="I58" s="96"/>
      <c r="J58" s="133"/>
      <c r="K58" s="134"/>
      <c r="L58" s="1859"/>
      <c r="M58" s="1860"/>
      <c r="N58" s="135"/>
    </row>
    <row r="59" spans="2:14" ht="13.5" thickBot="1">
      <c r="B59" s="1834"/>
      <c r="C59" s="1835"/>
      <c r="D59" s="1835"/>
      <c r="E59" s="1835"/>
      <c r="F59" s="1835"/>
      <c r="G59" s="1835"/>
      <c r="H59" s="1835"/>
      <c r="I59" s="136"/>
      <c r="J59" s="137"/>
      <c r="K59" s="100"/>
      <c r="L59" s="1837"/>
      <c r="M59" s="1838"/>
      <c r="N59" s="135"/>
    </row>
    <row r="60" spans="2:14" ht="14.25" thickBot="1">
      <c r="B60" s="1848" t="s">
        <v>188</v>
      </c>
      <c r="C60" s="1849"/>
      <c r="D60" s="1849"/>
      <c r="E60" s="1849"/>
      <c r="F60" s="1849"/>
      <c r="G60" s="1849"/>
      <c r="H60" s="1849"/>
      <c r="I60" s="1849"/>
      <c r="J60" s="1849"/>
      <c r="K60" s="1849"/>
      <c r="L60" s="1849"/>
      <c r="M60" s="1850"/>
      <c r="N60" s="112">
        <v>0</v>
      </c>
    </row>
    <row r="61" spans="2:14">
      <c r="B61" s="1766" t="s">
        <v>52</v>
      </c>
      <c r="C61" s="1767"/>
      <c r="D61" s="1767"/>
      <c r="E61" s="1767"/>
      <c r="F61" s="1767"/>
      <c r="G61" s="1767"/>
      <c r="H61" s="1767"/>
      <c r="I61" s="1767"/>
      <c r="J61" s="1767"/>
      <c r="K61" s="1767"/>
      <c r="L61" s="1767"/>
      <c r="M61" s="1767"/>
      <c r="N61" s="1768"/>
    </row>
    <row r="62" spans="2:14">
      <c r="B62" s="1766"/>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81" t="s">
        <v>46</v>
      </c>
      <c r="K64" s="182" t="s">
        <v>197</v>
      </c>
      <c r="L64" s="1829" t="s">
        <v>186</v>
      </c>
      <c r="M64" s="1832"/>
      <c r="N64" s="179" t="s">
        <v>191</v>
      </c>
    </row>
    <row r="65" spans="2:14">
      <c r="B65" s="149" t="s">
        <v>72</v>
      </c>
      <c r="C65" s="150"/>
      <c r="D65" s="150"/>
      <c r="E65" s="150"/>
      <c r="F65" s="150"/>
      <c r="G65" s="150"/>
      <c r="H65" s="150"/>
      <c r="I65" s="107">
        <v>27400</v>
      </c>
      <c r="J65" s="108">
        <v>1.85</v>
      </c>
      <c r="K65" s="109">
        <v>50690</v>
      </c>
      <c r="L65" s="1861">
        <v>70</v>
      </c>
      <c r="M65" s="1862"/>
      <c r="N65" s="110">
        <v>724.14285714285711</v>
      </c>
    </row>
    <row r="66" spans="2:14">
      <c r="B66" s="149"/>
      <c r="C66" s="150"/>
      <c r="D66" s="150"/>
      <c r="E66" s="150"/>
      <c r="F66" s="150"/>
      <c r="G66" s="150"/>
      <c r="H66" s="150"/>
      <c r="I66" s="107"/>
      <c r="J66" s="108"/>
      <c r="K66" s="109"/>
      <c r="L66" s="1861"/>
      <c r="M66" s="1862"/>
      <c r="N66" s="110"/>
    </row>
    <row r="67" spans="2:14">
      <c r="B67" s="149"/>
      <c r="C67" s="150"/>
      <c r="D67" s="150"/>
      <c r="E67" s="150"/>
      <c r="F67" s="150"/>
      <c r="G67" s="150"/>
      <c r="H67" s="150"/>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724.14285714285711</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12100.35</v>
      </c>
    </row>
    <row r="72" spans="2:14">
      <c r="B72" s="1766" t="s">
        <v>53</v>
      </c>
      <c r="C72" s="1767"/>
      <c r="D72" s="1767"/>
      <c r="E72" s="1767"/>
      <c r="F72" s="1767"/>
      <c r="G72" s="1767"/>
      <c r="H72" s="1767"/>
      <c r="I72" s="1767"/>
      <c r="J72" s="1767"/>
      <c r="K72" s="1767"/>
      <c r="L72" s="1767"/>
      <c r="M72" s="1767"/>
      <c r="N72" s="1768"/>
    </row>
    <row r="73" spans="2:14">
      <c r="B73" s="1766"/>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81"/>
      <c r="J75" s="187"/>
      <c r="K75" s="184" t="s">
        <v>54</v>
      </c>
      <c r="L75" s="1857" t="s">
        <v>55</v>
      </c>
      <c r="M75" s="1858"/>
      <c r="N75" s="185"/>
    </row>
    <row r="76" spans="2:14">
      <c r="B76" s="1839" t="s">
        <v>44</v>
      </c>
      <c r="C76" s="1840"/>
      <c r="D76" s="1840"/>
      <c r="E76" s="1840"/>
      <c r="F76" s="1840"/>
      <c r="G76" s="1840"/>
      <c r="H76" s="1840"/>
      <c r="I76" s="113"/>
      <c r="J76" s="114"/>
      <c r="K76" s="192">
        <v>0.22</v>
      </c>
      <c r="L76" s="1877">
        <v>2662.0770000000002</v>
      </c>
      <c r="M76" s="1878"/>
      <c r="N76" s="115"/>
    </row>
    <row r="77" spans="2:14">
      <c r="B77" s="116" t="s">
        <v>56</v>
      </c>
      <c r="C77" s="117"/>
      <c r="D77" s="117"/>
      <c r="E77" s="117"/>
      <c r="F77" s="117"/>
      <c r="G77" s="117"/>
      <c r="H77" s="117"/>
      <c r="I77" s="113"/>
      <c r="J77" s="114"/>
      <c r="K77" s="192">
        <v>0.05</v>
      </c>
      <c r="L77" s="1877">
        <v>605.01750000000004</v>
      </c>
      <c r="M77" s="1878"/>
      <c r="N77" s="115"/>
    </row>
    <row r="78" spans="2:14" ht="13.5" thickBot="1">
      <c r="B78" s="118" t="s">
        <v>45</v>
      </c>
      <c r="C78" s="119"/>
      <c r="D78" s="119"/>
      <c r="E78" s="119"/>
      <c r="F78" s="119"/>
      <c r="G78" s="119"/>
      <c r="H78" s="119"/>
      <c r="I78" s="120"/>
      <c r="J78" s="121"/>
      <c r="K78" s="192">
        <v>0.05</v>
      </c>
      <c r="L78" s="1879">
        <v>605.01750000000004</v>
      </c>
      <c r="M78" s="1880"/>
      <c r="N78" s="115"/>
    </row>
    <row r="79" spans="2:14" ht="14.25" thickBot="1">
      <c r="B79" s="1848" t="s">
        <v>188</v>
      </c>
      <c r="C79" s="1849"/>
      <c r="D79" s="1849"/>
      <c r="E79" s="1849"/>
      <c r="F79" s="1849"/>
      <c r="G79" s="1849"/>
      <c r="H79" s="1849"/>
      <c r="I79" s="1849"/>
      <c r="J79" s="1849"/>
      <c r="K79" s="1849"/>
      <c r="L79" s="1849"/>
      <c r="M79" s="1850"/>
      <c r="N79" s="122">
        <v>3872.1120000000001</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15972</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 ref="B75:H75"/>
    <mergeCell ref="L75:M75"/>
    <mergeCell ref="B76:H76"/>
    <mergeCell ref="L76:M76"/>
    <mergeCell ref="L77:M77"/>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87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8705" r:id="rId3"/>
      </mc:Fallback>
    </mc:AlternateContent>
  </oleObjects>
  <mc:AlternateContent xmlns:mc="http://schemas.openxmlformats.org/markup-compatibility/2006">
    <mc:Choice Requires="x14">
      <controls>
        <mc:AlternateContent xmlns:mc="http://schemas.openxmlformats.org/markup-compatibility/2006">
          <mc:Choice Requires="x14">
            <control shapeId="32870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870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dimension ref="B1:N104"/>
  <sheetViews>
    <sheetView showGridLines="0" topLeftCell="A44"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42578125" style="39" customWidth="1"/>
    <col min="12" max="13" width="11.42578125" style="39"/>
    <col min="14" max="14" width="12.5703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102</v>
      </c>
      <c r="C34" s="1885" t="s">
        <v>134</v>
      </c>
      <c r="D34" s="1887"/>
      <c r="E34" s="1887"/>
      <c r="F34" s="1887"/>
      <c r="G34" s="1887"/>
      <c r="H34" s="1887"/>
      <c r="I34" s="1887"/>
      <c r="J34" s="1887"/>
      <c r="K34" s="1886"/>
      <c r="L34" s="1885" t="s">
        <v>81</v>
      </c>
      <c r="M34" s="1886"/>
      <c r="N34" s="177">
        <v>14000</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58</v>
      </c>
      <c r="C39" s="1840"/>
      <c r="D39" s="1840"/>
      <c r="E39" s="1840"/>
      <c r="F39" s="1841"/>
      <c r="G39" s="1842"/>
      <c r="H39" s="1841"/>
      <c r="I39" s="1842"/>
      <c r="J39" s="1841"/>
      <c r="K39" s="88"/>
      <c r="L39" s="1922"/>
      <c r="M39" s="1923"/>
      <c r="N39" s="89">
        <v>800.36842105263167</v>
      </c>
    </row>
    <row r="40" spans="2:14">
      <c r="B40" s="1839"/>
      <c r="C40" s="1840"/>
      <c r="D40" s="1840"/>
      <c r="E40" s="1840"/>
      <c r="F40" s="1841"/>
      <c r="G40" s="1842"/>
      <c r="H40" s="1841"/>
      <c r="I40" s="1842"/>
      <c r="J40" s="1841"/>
      <c r="K40" s="88"/>
      <c r="L40" s="1920"/>
      <c r="M40" s="1921"/>
      <c r="N40" s="89"/>
    </row>
    <row r="41" spans="2:14" ht="13.5" thickBot="1">
      <c r="B41" s="1834"/>
      <c r="C41" s="1835"/>
      <c r="D41" s="1835"/>
      <c r="E41" s="1835"/>
      <c r="F41" s="1836"/>
      <c r="G41" s="1845"/>
      <c r="H41" s="1836"/>
      <c r="I41" s="1845"/>
      <c r="J41" s="1836"/>
      <c r="K41" s="88"/>
      <c r="L41" s="1906"/>
      <c r="M41" s="1907"/>
      <c r="N41" s="89"/>
    </row>
    <row r="42" spans="2:14" ht="14.25" thickBot="1">
      <c r="B42" s="1848" t="s">
        <v>188</v>
      </c>
      <c r="C42" s="1849"/>
      <c r="D42" s="1849"/>
      <c r="E42" s="1849"/>
      <c r="F42" s="1849"/>
      <c r="G42" s="1849"/>
      <c r="H42" s="1849"/>
      <c r="I42" s="1849"/>
      <c r="J42" s="1849"/>
      <c r="K42" s="1849"/>
      <c r="L42" s="1849"/>
      <c r="M42" s="1850"/>
      <c r="N42" s="91">
        <v>800.36842105263167</v>
      </c>
    </row>
    <row r="43" spans="2:14">
      <c r="B43" s="1766" t="s">
        <v>189</v>
      </c>
      <c r="C43" s="1767"/>
      <c r="D43" s="1767"/>
      <c r="E43" s="1767"/>
      <c r="F43" s="1767"/>
      <c r="G43" s="1767"/>
      <c r="H43" s="1767"/>
      <c r="I43" s="1767"/>
      <c r="J43" s="1767"/>
      <c r="K43" s="1767"/>
      <c r="L43" s="1767"/>
      <c r="M43" s="1767"/>
      <c r="N43" s="1768"/>
    </row>
    <row r="44" spans="2:14">
      <c r="B44" s="1766"/>
      <c r="C44" s="1767"/>
      <c r="D44" s="1767"/>
      <c r="E44" s="1767"/>
      <c r="F44" s="1767"/>
      <c r="G44" s="1767"/>
      <c r="H44" s="1767"/>
      <c r="I44" s="1767"/>
      <c r="J44" s="1767"/>
      <c r="K44" s="1767"/>
      <c r="L44" s="1767"/>
      <c r="M44" s="1767"/>
      <c r="N44" s="1768"/>
    </row>
    <row r="45" spans="2:14" ht="13.5" thickBot="1">
      <c r="B45" s="1769"/>
      <c r="C45" s="1770"/>
      <c r="D45" s="1770"/>
      <c r="E45" s="1770"/>
      <c r="F45" s="1770"/>
      <c r="G45" s="1770"/>
      <c r="H45" s="1770"/>
      <c r="I45" s="1770"/>
      <c r="J45" s="1770"/>
      <c r="K45" s="1770"/>
      <c r="L45" s="1770"/>
      <c r="M45" s="1770"/>
      <c r="N45" s="1771"/>
    </row>
    <row r="46" spans="2:14" ht="13.5">
      <c r="B46" s="1826" t="s">
        <v>173</v>
      </c>
      <c r="C46" s="1851"/>
      <c r="D46" s="1851"/>
      <c r="E46" s="1851"/>
      <c r="F46" s="1851"/>
      <c r="G46" s="1851"/>
      <c r="H46" s="1851"/>
      <c r="I46" s="1832"/>
      <c r="J46" s="180" t="s">
        <v>38</v>
      </c>
      <c r="K46" s="178" t="s">
        <v>115</v>
      </c>
      <c r="L46" s="1829" t="s">
        <v>190</v>
      </c>
      <c r="M46" s="1832"/>
      <c r="N46" s="179" t="s">
        <v>191</v>
      </c>
    </row>
    <row r="47" spans="2:14">
      <c r="B47" s="1839" t="s">
        <v>24</v>
      </c>
      <c r="C47" s="1840"/>
      <c r="D47" s="1840"/>
      <c r="E47" s="1840"/>
      <c r="F47" s="1840"/>
      <c r="G47" s="1840"/>
      <c r="H47" s="1840"/>
      <c r="I47" s="1841"/>
      <c r="J47" s="131" t="s">
        <v>31</v>
      </c>
      <c r="K47" s="132">
        <v>3</v>
      </c>
      <c r="L47" s="1852">
        <v>427</v>
      </c>
      <c r="M47" s="1853"/>
      <c r="N47" s="89">
        <v>1281</v>
      </c>
    </row>
    <row r="48" spans="2:14">
      <c r="B48" s="1839" t="s">
        <v>25</v>
      </c>
      <c r="C48" s="1840"/>
      <c r="D48" s="1840"/>
      <c r="E48" s="1840"/>
      <c r="F48" s="1840"/>
      <c r="G48" s="1840"/>
      <c r="H48" s="1840"/>
      <c r="I48" s="1841"/>
      <c r="J48" s="131" t="s">
        <v>32</v>
      </c>
      <c r="K48" s="132">
        <v>0.4</v>
      </c>
      <c r="L48" s="1852">
        <v>27840</v>
      </c>
      <c r="M48" s="1853"/>
      <c r="N48" s="89">
        <v>11136</v>
      </c>
    </row>
    <row r="49" spans="2:14">
      <c r="B49" s="1839"/>
      <c r="C49" s="1840"/>
      <c r="D49" s="1840"/>
      <c r="E49" s="1840"/>
      <c r="F49" s="1840"/>
      <c r="G49" s="1840"/>
      <c r="H49" s="1840"/>
      <c r="I49" s="1841"/>
      <c r="J49" s="131"/>
      <c r="K49" s="132"/>
      <c r="L49" s="1852"/>
      <c r="M49" s="1853"/>
      <c r="N49" s="89"/>
    </row>
    <row r="50" spans="2:14">
      <c r="B50" s="1839"/>
      <c r="C50" s="1840"/>
      <c r="D50" s="1840"/>
      <c r="E50" s="1840"/>
      <c r="F50" s="1840"/>
      <c r="G50" s="1840"/>
      <c r="H50" s="1840"/>
      <c r="I50" s="1841"/>
      <c r="J50" s="131"/>
      <c r="K50" s="132"/>
      <c r="L50" s="1852"/>
      <c r="M50" s="1853"/>
      <c r="N50" s="89"/>
    </row>
    <row r="51" spans="2:14" ht="13.5" thickBot="1">
      <c r="B51" s="1834"/>
      <c r="C51" s="1835"/>
      <c r="D51" s="1835"/>
      <c r="E51" s="1835"/>
      <c r="F51" s="1835"/>
      <c r="G51" s="1835"/>
      <c r="H51" s="1835"/>
      <c r="I51" s="1836"/>
      <c r="J51" s="131"/>
      <c r="K51" s="144"/>
      <c r="L51" s="1904"/>
      <c r="M51" s="1905"/>
      <c r="N51" s="89"/>
    </row>
    <row r="52" spans="2:14" ht="14.25" thickBot="1">
      <c r="B52" s="1848" t="s">
        <v>188</v>
      </c>
      <c r="C52" s="1849"/>
      <c r="D52" s="1849"/>
      <c r="E52" s="1849"/>
      <c r="F52" s="1849"/>
      <c r="G52" s="1849"/>
      <c r="H52" s="1849"/>
      <c r="I52" s="1849"/>
      <c r="J52" s="1849"/>
      <c r="K52" s="1849"/>
      <c r="L52" s="1849"/>
      <c r="M52" s="1850"/>
      <c r="N52" s="99">
        <v>12417</v>
      </c>
    </row>
    <row r="53" spans="2:14">
      <c r="B53" s="1766" t="s">
        <v>51</v>
      </c>
      <c r="C53" s="1767"/>
      <c r="D53" s="1767"/>
      <c r="E53" s="1767"/>
      <c r="F53" s="1767"/>
      <c r="G53" s="1767"/>
      <c r="H53" s="1767"/>
      <c r="I53" s="1767"/>
      <c r="J53" s="1767"/>
      <c r="K53" s="1767"/>
      <c r="L53" s="1767"/>
      <c r="M53" s="1767"/>
      <c r="N53" s="1768"/>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81" t="s">
        <v>194</v>
      </c>
      <c r="K56" s="182" t="s">
        <v>310</v>
      </c>
      <c r="L56" s="1829" t="s">
        <v>39</v>
      </c>
      <c r="M56" s="1832"/>
      <c r="N56" s="179" t="s">
        <v>191</v>
      </c>
    </row>
    <row r="57" spans="2:14">
      <c r="B57" s="1839"/>
      <c r="C57" s="1840"/>
      <c r="D57" s="1840"/>
      <c r="E57" s="1840"/>
      <c r="F57" s="1840"/>
      <c r="G57" s="1840"/>
      <c r="H57" s="1841"/>
      <c r="I57" s="96"/>
      <c r="J57" s="133"/>
      <c r="K57" s="134"/>
      <c r="L57" s="1859"/>
      <c r="M57" s="1860"/>
      <c r="N57" s="135"/>
    </row>
    <row r="58" spans="2:14" ht="13.5" thickBot="1">
      <c r="B58" s="1834"/>
      <c r="C58" s="1835"/>
      <c r="D58" s="1835"/>
      <c r="E58" s="1835"/>
      <c r="F58" s="1835"/>
      <c r="G58" s="1835"/>
      <c r="H58" s="1836"/>
      <c r="I58" s="136"/>
      <c r="J58" s="137"/>
      <c r="K58" s="100"/>
      <c r="L58" s="1837"/>
      <c r="M58" s="1838"/>
      <c r="N58" s="135"/>
    </row>
    <row r="59" spans="2:14" ht="14.25" thickBot="1">
      <c r="B59" s="1848" t="s">
        <v>188</v>
      </c>
      <c r="C59" s="1849"/>
      <c r="D59" s="1849"/>
      <c r="E59" s="1849"/>
      <c r="F59" s="1849"/>
      <c r="G59" s="1849"/>
      <c r="H59" s="1849"/>
      <c r="I59" s="1849"/>
      <c r="J59" s="1849"/>
      <c r="K59" s="1849"/>
      <c r="L59" s="1849"/>
      <c r="M59" s="1850"/>
      <c r="N59" s="112">
        <v>0</v>
      </c>
    </row>
    <row r="60" spans="2:14">
      <c r="B60" s="1766" t="s">
        <v>52</v>
      </c>
      <c r="C60" s="1767"/>
      <c r="D60" s="1767"/>
      <c r="E60" s="1767"/>
      <c r="F60" s="1767"/>
      <c r="G60" s="1767"/>
      <c r="H60" s="1767"/>
      <c r="I60" s="1767"/>
      <c r="J60" s="1767"/>
      <c r="K60" s="1767"/>
      <c r="L60" s="1767"/>
      <c r="M60" s="1767"/>
      <c r="N60" s="1768"/>
    </row>
    <row r="61" spans="2:14">
      <c r="B61" s="1766"/>
      <c r="C61" s="1767"/>
      <c r="D61" s="1767"/>
      <c r="E61" s="1767"/>
      <c r="F61" s="1767"/>
      <c r="G61" s="1767"/>
      <c r="H61" s="1767"/>
      <c r="I61" s="1767"/>
      <c r="J61" s="1767"/>
      <c r="K61" s="1767"/>
      <c r="L61" s="1767"/>
      <c r="M61" s="1767"/>
      <c r="N61" s="1768"/>
    </row>
    <row r="62" spans="2:14" ht="13.5" thickBot="1">
      <c r="B62" s="1769"/>
      <c r="C62" s="1770"/>
      <c r="D62" s="1770"/>
      <c r="E62" s="1770"/>
      <c r="F62" s="1770"/>
      <c r="G62" s="1770"/>
      <c r="H62" s="1770"/>
      <c r="I62" s="1770"/>
      <c r="J62" s="1770"/>
      <c r="K62" s="1770"/>
      <c r="L62" s="1770"/>
      <c r="M62" s="1770"/>
      <c r="N62" s="1771"/>
    </row>
    <row r="63" spans="2:14" ht="13.5">
      <c r="B63" s="1826" t="s">
        <v>195</v>
      </c>
      <c r="C63" s="1851"/>
      <c r="D63" s="1851"/>
      <c r="E63" s="1851"/>
      <c r="F63" s="1851"/>
      <c r="G63" s="1851"/>
      <c r="H63" s="1851"/>
      <c r="I63" s="178" t="s">
        <v>196</v>
      </c>
      <c r="J63" s="181" t="s">
        <v>46</v>
      </c>
      <c r="K63" s="182" t="s">
        <v>197</v>
      </c>
      <c r="L63" s="1829" t="s">
        <v>186</v>
      </c>
      <c r="M63" s="1832"/>
      <c r="N63" s="179" t="s">
        <v>191</v>
      </c>
    </row>
    <row r="64" spans="2:14">
      <c r="B64" s="149" t="s">
        <v>62</v>
      </c>
      <c r="C64" s="150"/>
      <c r="D64" s="150"/>
      <c r="E64" s="150"/>
      <c r="F64" s="150"/>
      <c r="G64" s="150"/>
      <c r="H64" s="150"/>
      <c r="I64" s="107">
        <v>82200</v>
      </c>
      <c r="J64" s="108">
        <v>1.85</v>
      </c>
      <c r="K64" s="109">
        <v>152070</v>
      </c>
      <c r="L64" s="1861">
        <v>19</v>
      </c>
      <c r="M64" s="1862"/>
      <c r="N64" s="110">
        <v>8003.6842105263158</v>
      </c>
    </row>
    <row r="65" spans="2:14">
      <c r="B65" s="149"/>
      <c r="C65" s="150"/>
      <c r="D65" s="150"/>
      <c r="E65" s="150"/>
      <c r="F65" s="150"/>
      <c r="G65" s="150"/>
      <c r="H65" s="150"/>
      <c r="I65" s="107"/>
      <c r="J65" s="108"/>
      <c r="K65" s="109"/>
      <c r="L65" s="1861"/>
      <c r="M65" s="1862"/>
      <c r="N65" s="110"/>
    </row>
    <row r="66" spans="2:14">
      <c r="B66" s="149"/>
      <c r="C66" s="150"/>
      <c r="D66" s="150"/>
      <c r="E66" s="150"/>
      <c r="F66" s="150"/>
      <c r="G66" s="150"/>
      <c r="H66" s="150"/>
      <c r="I66" s="107"/>
      <c r="J66" s="108"/>
      <c r="K66" s="109"/>
      <c r="L66" s="1859"/>
      <c r="M66" s="1860"/>
      <c r="N66" s="110"/>
    </row>
    <row r="67" spans="2:14" ht="13.5" thickBot="1">
      <c r="B67" s="1834"/>
      <c r="C67" s="1835"/>
      <c r="D67" s="1835"/>
      <c r="E67" s="1835"/>
      <c r="F67" s="1835"/>
      <c r="G67" s="1835"/>
      <c r="H67" s="1835"/>
      <c r="I67" s="102"/>
      <c r="J67" s="87"/>
      <c r="K67" s="102"/>
      <c r="L67" s="1837"/>
      <c r="M67" s="1838"/>
      <c r="N67" s="111"/>
    </row>
    <row r="68" spans="2:14" ht="14.25" thickBot="1">
      <c r="B68" s="1848" t="s">
        <v>188</v>
      </c>
      <c r="C68" s="1849"/>
      <c r="D68" s="1849"/>
      <c r="E68" s="1849"/>
      <c r="F68" s="1849"/>
      <c r="G68" s="1849"/>
      <c r="H68" s="1849"/>
      <c r="I68" s="1849"/>
      <c r="J68" s="1849"/>
      <c r="K68" s="1849"/>
      <c r="L68" s="1849"/>
      <c r="M68" s="1850"/>
      <c r="N68" s="112">
        <v>8003.6842105263158</v>
      </c>
    </row>
    <row r="69" spans="2:14" ht="13.5" thickBot="1">
      <c r="B69" s="85"/>
      <c r="C69" s="66"/>
      <c r="D69" s="66"/>
      <c r="E69" s="66"/>
      <c r="F69" s="66"/>
      <c r="G69" s="66"/>
      <c r="H69" s="66"/>
      <c r="I69" s="66"/>
      <c r="J69" s="66"/>
      <c r="K69" s="66"/>
      <c r="L69" s="66"/>
      <c r="M69" s="66"/>
      <c r="N69" s="73"/>
    </row>
    <row r="70" spans="2:14" ht="13.5" thickBot="1">
      <c r="B70" s="1854" t="s">
        <v>198</v>
      </c>
      <c r="C70" s="1855"/>
      <c r="D70" s="1855"/>
      <c r="E70" s="1855"/>
      <c r="F70" s="1855"/>
      <c r="G70" s="1855"/>
      <c r="H70" s="1855"/>
      <c r="I70" s="1855"/>
      <c r="J70" s="1855"/>
      <c r="K70" s="1855"/>
      <c r="L70" s="1855"/>
      <c r="M70" s="1856"/>
      <c r="N70" s="186">
        <v>21221.052631578947</v>
      </c>
    </row>
    <row r="71" spans="2:14">
      <c r="B71" s="1766" t="s">
        <v>53</v>
      </c>
      <c r="C71" s="1767"/>
      <c r="D71" s="1767"/>
      <c r="E71" s="1767"/>
      <c r="F71" s="1767"/>
      <c r="G71" s="1767"/>
      <c r="H71" s="1767"/>
      <c r="I71" s="1767"/>
      <c r="J71" s="1767"/>
      <c r="K71" s="1767"/>
      <c r="L71" s="1767"/>
      <c r="M71" s="1767"/>
      <c r="N71" s="1768"/>
    </row>
    <row r="72" spans="2:14">
      <c r="B72" s="1766"/>
      <c r="C72" s="1767"/>
      <c r="D72" s="1767"/>
      <c r="E72" s="1767"/>
      <c r="F72" s="1767"/>
      <c r="G72" s="1767"/>
      <c r="H72" s="1767"/>
      <c r="I72" s="1767"/>
      <c r="J72" s="1767"/>
      <c r="K72" s="1767"/>
      <c r="L72" s="1767"/>
      <c r="M72" s="1767"/>
      <c r="N72" s="1768"/>
    </row>
    <row r="73" spans="2:14" ht="13.5" thickBot="1">
      <c r="B73" s="1769"/>
      <c r="C73" s="1770"/>
      <c r="D73" s="1770"/>
      <c r="E73" s="1770"/>
      <c r="F73" s="1770"/>
      <c r="G73" s="1770"/>
      <c r="H73" s="1770"/>
      <c r="I73" s="1770"/>
      <c r="J73" s="1770"/>
      <c r="K73" s="1770"/>
      <c r="L73" s="1770"/>
      <c r="M73" s="1770"/>
      <c r="N73" s="1771"/>
    </row>
    <row r="74" spans="2:14" ht="13.5">
      <c r="B74" s="1826" t="s">
        <v>50</v>
      </c>
      <c r="C74" s="1851"/>
      <c r="D74" s="1851"/>
      <c r="E74" s="1851"/>
      <c r="F74" s="1851"/>
      <c r="G74" s="1851"/>
      <c r="H74" s="1851"/>
      <c r="I74" s="181"/>
      <c r="J74" s="187"/>
      <c r="K74" s="184" t="s">
        <v>54</v>
      </c>
      <c r="L74" s="1857" t="s">
        <v>55</v>
      </c>
      <c r="M74" s="1858"/>
      <c r="N74" s="185"/>
    </row>
    <row r="75" spans="2:14">
      <c r="B75" s="1839" t="s">
        <v>44</v>
      </c>
      <c r="C75" s="1840"/>
      <c r="D75" s="1840"/>
      <c r="E75" s="1840"/>
      <c r="F75" s="1840"/>
      <c r="G75" s="1840"/>
      <c r="H75" s="1840"/>
      <c r="I75" s="113"/>
      <c r="J75" s="114"/>
      <c r="K75" s="192">
        <v>0.22</v>
      </c>
      <c r="L75" s="1877">
        <v>4668.6315789473683</v>
      </c>
      <c r="M75" s="1878"/>
      <c r="N75" s="115"/>
    </row>
    <row r="76" spans="2:14">
      <c r="B76" s="116" t="s">
        <v>56</v>
      </c>
      <c r="C76" s="117"/>
      <c r="D76" s="117"/>
      <c r="E76" s="117"/>
      <c r="F76" s="117"/>
      <c r="G76" s="117"/>
      <c r="H76" s="117"/>
      <c r="I76" s="113"/>
      <c r="J76" s="114"/>
      <c r="K76" s="192">
        <v>0.05</v>
      </c>
      <c r="L76" s="1877">
        <v>1061.0526315789473</v>
      </c>
      <c r="M76" s="1878"/>
      <c r="N76" s="115"/>
    </row>
    <row r="77" spans="2:14" ht="13.5" thickBot="1">
      <c r="B77" s="118" t="s">
        <v>45</v>
      </c>
      <c r="C77" s="119"/>
      <c r="D77" s="119"/>
      <c r="E77" s="119"/>
      <c r="F77" s="119"/>
      <c r="G77" s="119"/>
      <c r="H77" s="119"/>
      <c r="I77" s="120"/>
      <c r="J77" s="121"/>
      <c r="K77" s="192">
        <v>0.05</v>
      </c>
      <c r="L77" s="1879">
        <v>1061.0526315789473</v>
      </c>
      <c r="M77" s="1880"/>
      <c r="N77" s="115"/>
    </row>
    <row r="78" spans="2:14" ht="14.25" thickBot="1">
      <c r="B78" s="1848" t="s">
        <v>188</v>
      </c>
      <c r="C78" s="1849"/>
      <c r="D78" s="1849"/>
      <c r="E78" s="1849"/>
      <c r="F78" s="1849"/>
      <c r="G78" s="1849"/>
      <c r="H78" s="1849"/>
      <c r="I78" s="1849"/>
      <c r="J78" s="1849"/>
      <c r="K78" s="1849"/>
      <c r="L78" s="1849"/>
      <c r="M78" s="1850"/>
      <c r="N78" s="122">
        <v>6790.7368421052633</v>
      </c>
    </row>
    <row r="79" spans="2:14" ht="13.5" thickBot="1">
      <c r="B79" s="85"/>
      <c r="C79" s="66"/>
      <c r="D79" s="66"/>
      <c r="E79" s="66"/>
      <c r="F79" s="66"/>
      <c r="G79" s="66"/>
      <c r="H79" s="66"/>
      <c r="I79" s="66"/>
      <c r="J79" s="66"/>
      <c r="K79" s="66"/>
      <c r="L79" s="66"/>
      <c r="M79" s="66"/>
      <c r="N79" s="73"/>
    </row>
    <row r="80" spans="2:14" ht="13.5" thickBot="1">
      <c r="B80" s="1854" t="s">
        <v>199</v>
      </c>
      <c r="C80" s="1855"/>
      <c r="D80" s="1855"/>
      <c r="E80" s="1855"/>
      <c r="F80" s="1855"/>
      <c r="G80" s="1855"/>
      <c r="H80" s="1855"/>
      <c r="I80" s="1855"/>
      <c r="J80" s="1855"/>
      <c r="K80" s="1855"/>
      <c r="L80" s="1855"/>
      <c r="M80" s="1856"/>
      <c r="N80" s="188">
        <v>28012</v>
      </c>
    </row>
    <row r="81" spans="2:14">
      <c r="B81" s="64"/>
      <c r="C81" s="65"/>
      <c r="D81" s="65"/>
      <c r="E81" s="65"/>
      <c r="F81" s="65"/>
      <c r="G81" s="65"/>
      <c r="H81" s="65"/>
      <c r="I81" s="65"/>
      <c r="J81" s="65"/>
      <c r="K81" s="65"/>
      <c r="L81" s="65"/>
      <c r="M81" s="65"/>
      <c r="N81" s="67"/>
    </row>
    <row r="82" spans="2:14">
      <c r="B82" s="85"/>
      <c r="C82" s="66"/>
      <c r="D82" s="66"/>
      <c r="E82" s="66"/>
      <c r="F82" s="66"/>
      <c r="G82" s="66"/>
      <c r="H82" s="66"/>
      <c r="I82" s="66"/>
      <c r="J82" s="66"/>
      <c r="K82" s="66"/>
      <c r="L82" s="66"/>
      <c r="M82" s="66"/>
      <c r="N82" s="73"/>
    </row>
    <row r="83" spans="2:14">
      <c r="B83" s="85"/>
      <c r="C83" s="66"/>
      <c r="D83" s="66"/>
      <c r="E83" s="66"/>
      <c r="F83" s="66"/>
      <c r="G83" s="66"/>
      <c r="H83" s="66"/>
      <c r="I83" s="66"/>
      <c r="J83" s="66"/>
      <c r="K83" s="66"/>
      <c r="L83" s="66"/>
      <c r="M83" s="66"/>
      <c r="N83" s="73"/>
    </row>
    <row r="84" spans="2:14">
      <c r="B84" s="85"/>
      <c r="C84" s="66"/>
      <c r="D84" s="66"/>
      <c r="E84" s="66"/>
      <c r="F84" s="66"/>
      <c r="G84" s="71" t="s">
        <v>249</v>
      </c>
      <c r="H84" s="71"/>
      <c r="I84" s="71"/>
      <c r="J84" s="71"/>
      <c r="K84" s="66"/>
      <c r="L84" s="66"/>
      <c r="M84" s="66"/>
      <c r="N84" s="73"/>
    </row>
    <row r="85" spans="2:14" ht="13.5">
      <c r="B85" s="123"/>
      <c r="C85" s="124"/>
      <c r="D85" s="124"/>
      <c r="E85" s="124"/>
      <c r="F85" s="124"/>
      <c r="G85" s="71" t="s">
        <v>250</v>
      </c>
      <c r="H85" s="124"/>
      <c r="I85" s="124"/>
      <c r="J85" s="124"/>
      <c r="K85" s="124"/>
      <c r="L85" s="124"/>
      <c r="M85" s="124"/>
      <c r="N85" s="125"/>
    </row>
    <row r="86" spans="2:14" ht="13.5">
      <c r="B86" s="123"/>
      <c r="C86" s="124"/>
      <c r="D86" s="124"/>
      <c r="E86" s="124"/>
      <c r="F86" s="124"/>
      <c r="G86" s="71" t="s">
        <v>251</v>
      </c>
      <c r="J86" s="124"/>
      <c r="K86" s="124"/>
      <c r="L86" s="124"/>
      <c r="M86" s="124"/>
      <c r="N86" s="125"/>
    </row>
    <row r="87" spans="2:14">
      <c r="B87" s="49"/>
      <c r="C87" s="81"/>
      <c r="D87" s="81"/>
      <c r="E87" s="81"/>
      <c r="F87" s="81"/>
      <c r="G87" s="71" t="s">
        <v>252</v>
      </c>
      <c r="H87" s="81"/>
      <c r="I87" s="81"/>
      <c r="J87" s="81"/>
      <c r="K87" s="81"/>
      <c r="L87" s="81"/>
      <c r="M87" s="81"/>
      <c r="N87" s="79"/>
    </row>
    <row r="88" spans="2:14">
      <c r="B88" s="85"/>
      <c r="C88" s="66"/>
      <c r="D88" s="66"/>
      <c r="E88" s="66"/>
      <c r="F88" s="66"/>
      <c r="G88" s="66" t="s">
        <v>253</v>
      </c>
      <c r="H88" s="66"/>
      <c r="I88" s="66"/>
      <c r="J88" s="66"/>
      <c r="K88" s="66"/>
      <c r="L88" s="66"/>
      <c r="M88" s="66"/>
      <c r="N88" s="73"/>
    </row>
    <row r="89" spans="2:14" ht="13.5">
      <c r="B89" s="92" t="s">
        <v>254</v>
      </c>
      <c r="C89" s="93"/>
      <c r="D89" s="93"/>
      <c r="E89" s="93"/>
      <c r="F89" s="93"/>
      <c r="G89" s="93"/>
      <c r="H89" s="93"/>
      <c r="I89" s="93"/>
      <c r="J89" s="93"/>
      <c r="K89" s="93"/>
      <c r="L89" s="93"/>
      <c r="M89" s="93"/>
      <c r="N89" s="94"/>
    </row>
    <row r="90" spans="2:14">
      <c r="B90" s="1874"/>
      <c r="C90" s="1875"/>
      <c r="D90" s="1875"/>
      <c r="E90" s="1875"/>
      <c r="F90" s="1875"/>
      <c r="G90" s="1875"/>
      <c r="H90" s="1875"/>
      <c r="I90" s="1875"/>
      <c r="J90" s="1875"/>
      <c r="K90" s="1875"/>
      <c r="L90" s="1875"/>
      <c r="M90" s="1875"/>
      <c r="N90" s="1876"/>
    </row>
    <row r="91" spans="2:14">
      <c r="B91" s="1874"/>
      <c r="C91" s="1875"/>
      <c r="D91" s="1875"/>
      <c r="E91" s="1875"/>
      <c r="F91" s="1875"/>
      <c r="G91" s="1875"/>
      <c r="H91" s="1875"/>
      <c r="I91" s="1875"/>
      <c r="J91" s="1875"/>
      <c r="K91" s="1875"/>
      <c r="L91" s="1875"/>
      <c r="M91" s="1875"/>
      <c r="N91" s="1876"/>
    </row>
    <row r="92" spans="2:14">
      <c r="B92" s="49"/>
      <c r="C92" s="81"/>
      <c r="D92" s="81"/>
      <c r="E92" s="81"/>
      <c r="F92" s="81"/>
      <c r="G92" s="81"/>
      <c r="H92" s="81"/>
      <c r="I92" s="81"/>
      <c r="J92" s="81"/>
      <c r="K92" s="81"/>
      <c r="L92" s="81"/>
      <c r="M92" s="81"/>
      <c r="N92" s="79"/>
    </row>
    <row r="93" spans="2:14">
      <c r="B93" s="406" t="s">
        <v>719</v>
      </c>
      <c r="C93" s="81"/>
      <c r="D93" s="81"/>
      <c r="E93" s="81"/>
      <c r="F93" s="81"/>
      <c r="G93" s="81"/>
      <c r="H93" s="81"/>
      <c r="I93" s="81"/>
      <c r="J93" s="81"/>
      <c r="K93" s="81"/>
      <c r="L93" s="81"/>
      <c r="M93" s="81"/>
      <c r="N93" s="79"/>
    </row>
    <row r="94" spans="2:14" ht="12.75" customHeight="1">
      <c r="B94" s="1871" t="s">
        <v>720</v>
      </c>
      <c r="C94" s="1872"/>
      <c r="D94" s="1872"/>
      <c r="E94" s="1872"/>
      <c r="F94" s="1872"/>
      <c r="G94" s="1872"/>
      <c r="H94" s="1872"/>
      <c r="I94" s="1872"/>
      <c r="J94" s="1872"/>
      <c r="K94" s="1872"/>
      <c r="L94" s="1872"/>
      <c r="M94" s="1872"/>
      <c r="N94" s="1873"/>
    </row>
    <row r="95" spans="2:14">
      <c r="B95" s="1871"/>
      <c r="C95" s="1872"/>
      <c r="D95" s="1872"/>
      <c r="E95" s="1872"/>
      <c r="F95" s="1872"/>
      <c r="G95" s="1872"/>
      <c r="H95" s="1872"/>
      <c r="I95" s="1872"/>
      <c r="J95" s="1872"/>
      <c r="K95" s="1872"/>
      <c r="L95" s="1872"/>
      <c r="M95" s="1872"/>
      <c r="N95" s="1873"/>
    </row>
    <row r="96" spans="2:14">
      <c r="B96" s="1871" t="s">
        <v>721</v>
      </c>
      <c r="C96" s="1872"/>
      <c r="D96" s="1872"/>
      <c r="E96" s="1872"/>
      <c r="F96" s="1872"/>
      <c r="G96" s="1872"/>
      <c r="H96" s="1872"/>
      <c r="I96" s="1872"/>
      <c r="J96" s="1872"/>
      <c r="K96" s="1872"/>
      <c r="L96" s="1872"/>
      <c r="M96" s="1872"/>
      <c r="N96" s="1873"/>
    </row>
    <row r="97" spans="2:14">
      <c r="B97" s="1871"/>
      <c r="C97" s="1872"/>
      <c r="D97" s="1872"/>
      <c r="E97" s="1872"/>
      <c r="F97" s="1872"/>
      <c r="G97" s="1872"/>
      <c r="H97" s="1872"/>
      <c r="I97" s="1872"/>
      <c r="J97" s="1872"/>
      <c r="K97" s="1872"/>
      <c r="L97" s="1872"/>
      <c r="M97" s="1872"/>
      <c r="N97" s="1873"/>
    </row>
    <row r="98" spans="2:14">
      <c r="B98" s="49"/>
      <c r="C98" s="81"/>
      <c r="D98" s="81"/>
      <c r="E98" s="81"/>
      <c r="F98" s="81"/>
      <c r="G98" s="81"/>
      <c r="H98" s="81"/>
      <c r="I98" s="81"/>
      <c r="J98" s="81"/>
      <c r="K98" s="81"/>
      <c r="L98" s="81"/>
      <c r="M98" s="81"/>
      <c r="N98" s="79"/>
    </row>
    <row r="99" spans="2:14">
      <c r="B99" s="85"/>
      <c r="C99" s="66"/>
      <c r="D99" s="66"/>
      <c r="E99" s="66"/>
      <c r="F99" s="66"/>
      <c r="G99" s="71" t="s">
        <v>249</v>
      </c>
      <c r="H99" s="66"/>
      <c r="I99" s="66"/>
      <c r="J99" s="66"/>
      <c r="K99" s="66"/>
      <c r="L99" s="66"/>
      <c r="M99" s="66"/>
      <c r="N99" s="73"/>
    </row>
    <row r="100" spans="2:14">
      <c r="B100" s="85"/>
      <c r="C100" s="66"/>
      <c r="D100" s="66"/>
      <c r="E100" s="66"/>
      <c r="F100" s="66"/>
      <c r="G100" s="66" t="s">
        <v>250</v>
      </c>
      <c r="H100" s="86"/>
      <c r="I100" s="86"/>
      <c r="J100" s="86"/>
      <c r="K100" s="66"/>
      <c r="L100" s="66"/>
      <c r="M100" s="66"/>
      <c r="N100" s="73"/>
    </row>
    <row r="101" spans="2:14">
      <c r="B101" s="85"/>
      <c r="C101" s="66"/>
      <c r="D101" s="66"/>
      <c r="E101" s="66"/>
      <c r="F101" s="66"/>
      <c r="G101" s="66" t="s">
        <v>255</v>
      </c>
      <c r="H101" s="80"/>
      <c r="I101" s="80"/>
      <c r="J101" s="80"/>
      <c r="M101" s="66"/>
      <c r="N101" s="73"/>
    </row>
    <row r="102" spans="2:14">
      <c r="B102" s="127"/>
      <c r="C102" s="81"/>
      <c r="D102" s="81"/>
      <c r="E102" s="81"/>
      <c r="F102" s="81"/>
      <c r="G102" s="66" t="s">
        <v>252</v>
      </c>
      <c r="K102" s="81"/>
      <c r="L102" s="81"/>
      <c r="M102" s="81"/>
      <c r="N102" s="79"/>
    </row>
    <row r="103" spans="2:14" ht="17.25" customHeight="1">
      <c r="B103" s="138" t="s">
        <v>722</v>
      </c>
      <c r="C103" s="128"/>
      <c r="D103" s="128"/>
      <c r="E103" s="66"/>
      <c r="F103" s="66"/>
      <c r="G103" s="66"/>
      <c r="H103" s="66"/>
      <c r="I103" s="66"/>
      <c r="J103" s="1863"/>
      <c r="K103" s="1863"/>
      <c r="L103" s="1863"/>
      <c r="M103" s="1863"/>
      <c r="N103" s="1864"/>
    </row>
    <row r="104" spans="2:14" ht="18.75" customHeight="1" thickBot="1">
      <c r="B104" s="1867" t="s">
        <v>723</v>
      </c>
      <c r="C104" s="1868"/>
      <c r="D104" s="1868"/>
      <c r="E104" s="87"/>
      <c r="F104" s="87"/>
      <c r="G104" s="87"/>
      <c r="H104" s="87"/>
      <c r="I104" s="87"/>
      <c r="J104" s="1865"/>
      <c r="K104" s="1865"/>
      <c r="L104" s="1865"/>
      <c r="M104" s="1865"/>
      <c r="N104" s="1866"/>
    </row>
  </sheetData>
  <mergeCells count="95">
    <mergeCell ref="J103:N104"/>
    <mergeCell ref="B104:D104"/>
    <mergeCell ref="B12:E12"/>
    <mergeCell ref="B94:N95"/>
    <mergeCell ref="B96:N97"/>
    <mergeCell ref="B70:M70"/>
    <mergeCell ref="B74:H74"/>
    <mergeCell ref="L74:M74"/>
    <mergeCell ref="B90:N90"/>
    <mergeCell ref="B91:N91"/>
    <mergeCell ref="B71:N73"/>
    <mergeCell ref="B75:H75"/>
    <mergeCell ref="L75:M75"/>
    <mergeCell ref="L76:M76"/>
    <mergeCell ref="L77:M77"/>
    <mergeCell ref="B78:M78"/>
    <mergeCell ref="B80:M80"/>
    <mergeCell ref="B68:M68"/>
    <mergeCell ref="B57:H57"/>
    <mergeCell ref="L57:M57"/>
    <mergeCell ref="B58:H58"/>
    <mergeCell ref="L58:M58"/>
    <mergeCell ref="B59:M59"/>
    <mergeCell ref="B63:H63"/>
    <mergeCell ref="L63:M63"/>
    <mergeCell ref="L64:M64"/>
    <mergeCell ref="L65:M65"/>
    <mergeCell ref="L66:M66"/>
    <mergeCell ref="B67:H67"/>
    <mergeCell ref="L67:M67"/>
    <mergeCell ref="B60:N62"/>
    <mergeCell ref="B56:H56"/>
    <mergeCell ref="L56:M56"/>
    <mergeCell ref="B47:I47"/>
    <mergeCell ref="L47:M47"/>
    <mergeCell ref="B48:I48"/>
    <mergeCell ref="L48:M48"/>
    <mergeCell ref="B49:I49"/>
    <mergeCell ref="L49:M49"/>
    <mergeCell ref="B50:I50"/>
    <mergeCell ref="L50:M50"/>
    <mergeCell ref="B51:I51"/>
    <mergeCell ref="L51:M51"/>
    <mergeCell ref="B52:M52"/>
    <mergeCell ref="B53:N55"/>
    <mergeCell ref="B46:I46"/>
    <mergeCell ref="L46:M46"/>
    <mergeCell ref="B40:F40"/>
    <mergeCell ref="G40:H40"/>
    <mergeCell ref="I40:J40"/>
    <mergeCell ref="L40:M40"/>
    <mergeCell ref="B41:F41"/>
    <mergeCell ref="G41:H41"/>
    <mergeCell ref="I41:J41"/>
    <mergeCell ref="L41:M41"/>
    <mergeCell ref="B42:M42"/>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30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0753" r:id="rId3"/>
      </mc:Fallback>
    </mc:AlternateContent>
  </oleObjects>
  <mc:AlternateContent xmlns:mc="http://schemas.openxmlformats.org/markup-compatibility/2006">
    <mc:Choice Requires="x14">
      <controls>
        <mc:AlternateContent xmlns:mc="http://schemas.openxmlformats.org/markup-compatibility/2006">
          <mc:Choice Requires="x14">
            <control shapeId="3307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07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7"/>
  <dimension ref="B1:N105"/>
  <sheetViews>
    <sheetView showGridLines="0" topLeftCell="A44"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7109375" style="39" customWidth="1"/>
    <col min="12" max="13" width="11.42578125" style="39"/>
    <col min="14" max="14" width="12.42578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ustomHeight="1">
      <c r="B33" s="175" t="s">
        <v>29</v>
      </c>
      <c r="C33" s="1882" t="s">
        <v>173</v>
      </c>
      <c r="D33" s="1883"/>
      <c r="E33" s="1883"/>
      <c r="F33" s="1883"/>
      <c r="G33" s="1883"/>
      <c r="H33" s="1883"/>
      <c r="I33" s="1883"/>
      <c r="J33" s="1883"/>
      <c r="K33" s="1884" t="s">
        <v>247</v>
      </c>
      <c r="L33" s="1826" t="s">
        <v>38</v>
      </c>
      <c r="M33" s="1881"/>
      <c r="N33" s="175" t="s">
        <v>115</v>
      </c>
    </row>
    <row r="34" spans="2:14" ht="13.5" customHeight="1" thickBot="1">
      <c r="B34" s="176" t="s">
        <v>225</v>
      </c>
      <c r="C34" s="1885" t="s">
        <v>169</v>
      </c>
      <c r="D34" s="1887"/>
      <c r="E34" s="1887"/>
      <c r="F34" s="1887"/>
      <c r="G34" s="1887"/>
      <c r="H34" s="1887"/>
      <c r="I34" s="1887"/>
      <c r="J34" s="1887"/>
      <c r="K34" s="1886"/>
      <c r="L34" s="1885" t="s">
        <v>28</v>
      </c>
      <c r="M34" s="1886"/>
      <c r="N34" s="177">
        <v>5800</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77</v>
      </c>
      <c r="C39" s="1840"/>
      <c r="D39" s="1840"/>
      <c r="E39" s="1840"/>
      <c r="F39" s="1841"/>
      <c r="G39" s="1842"/>
      <c r="H39" s="1841"/>
      <c r="I39" s="1842"/>
      <c r="J39" s="1841"/>
      <c r="K39" s="88"/>
      <c r="L39" s="1922"/>
      <c r="M39" s="1923"/>
      <c r="N39" s="89">
        <v>253.45000000000002</v>
      </c>
    </row>
    <row r="40" spans="2:14">
      <c r="B40" s="1839"/>
      <c r="C40" s="1840"/>
      <c r="D40" s="1840"/>
      <c r="E40" s="1840"/>
      <c r="F40" s="1841"/>
      <c r="G40" s="1842"/>
      <c r="H40" s="1841"/>
      <c r="I40" s="1842"/>
      <c r="J40" s="1841"/>
      <c r="K40" s="88"/>
      <c r="L40" s="1924"/>
      <c r="M40" s="1925"/>
      <c r="N40" s="89"/>
    </row>
    <row r="41" spans="2:14">
      <c r="B41" s="1839"/>
      <c r="C41" s="1840"/>
      <c r="D41" s="1840"/>
      <c r="E41" s="1840"/>
      <c r="F41" s="1841"/>
      <c r="G41" s="1842"/>
      <c r="H41" s="1841"/>
      <c r="I41" s="1842"/>
      <c r="J41" s="1841"/>
      <c r="K41" s="88"/>
      <c r="L41" s="1924"/>
      <c r="M41" s="1925"/>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253.45000000000002</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93" t="s">
        <v>38</v>
      </c>
      <c r="K47" s="178" t="s">
        <v>115</v>
      </c>
      <c r="L47" s="1829" t="s">
        <v>190</v>
      </c>
      <c r="M47" s="1832"/>
      <c r="N47" s="179" t="s">
        <v>191</v>
      </c>
    </row>
    <row r="48" spans="2:14">
      <c r="B48" s="1839" t="s">
        <v>26</v>
      </c>
      <c r="C48" s="1840"/>
      <c r="D48" s="1840"/>
      <c r="E48" s="1840"/>
      <c r="F48" s="1840"/>
      <c r="G48" s="1840"/>
      <c r="H48" s="1840"/>
      <c r="I48" s="1841"/>
      <c r="J48" s="131" t="s">
        <v>68</v>
      </c>
      <c r="K48" s="132">
        <v>1</v>
      </c>
      <c r="L48" s="1852">
        <v>4500</v>
      </c>
      <c r="M48" s="1853"/>
      <c r="N48" s="89">
        <v>4500</v>
      </c>
    </row>
    <row r="49" spans="2:14">
      <c r="B49" s="1839" t="s">
        <v>27</v>
      </c>
      <c r="C49" s="1840"/>
      <c r="D49" s="1840"/>
      <c r="E49" s="1840"/>
      <c r="F49" s="1840"/>
      <c r="G49" s="1840"/>
      <c r="H49" s="1840"/>
      <c r="I49" s="1841"/>
      <c r="J49" s="131" t="s">
        <v>40</v>
      </c>
      <c r="K49" s="132">
        <v>3.1E-2</v>
      </c>
      <c r="L49" s="1852">
        <v>38083</v>
      </c>
      <c r="M49" s="1853"/>
      <c r="N49" s="89">
        <v>1180.5730000000001</v>
      </c>
    </row>
    <row r="50" spans="2:14">
      <c r="B50" s="1839"/>
      <c r="C50" s="1840"/>
      <c r="D50" s="1840"/>
      <c r="E50" s="1840"/>
      <c r="F50" s="1840"/>
      <c r="G50" s="1840"/>
      <c r="H50" s="1840"/>
      <c r="I50" s="1841"/>
      <c r="J50" s="131"/>
      <c r="K50" s="141"/>
      <c r="L50" s="1852"/>
      <c r="M50" s="1853"/>
      <c r="N50" s="89"/>
    </row>
    <row r="51" spans="2:14" ht="13.5" thickBot="1">
      <c r="B51" s="1839"/>
      <c r="C51" s="1840"/>
      <c r="D51" s="1840"/>
      <c r="E51" s="1840"/>
      <c r="F51" s="1840"/>
      <c r="G51" s="1840"/>
      <c r="H51" s="1840"/>
      <c r="I51" s="1841"/>
      <c r="J51" s="131"/>
      <c r="K51" s="132"/>
      <c r="L51" s="1852"/>
      <c r="M51" s="1853"/>
      <c r="N51" s="89"/>
    </row>
    <row r="52" spans="2:14" ht="14.25" thickBot="1">
      <c r="B52" s="1848" t="s">
        <v>188</v>
      </c>
      <c r="C52" s="1849"/>
      <c r="D52" s="1849"/>
      <c r="E52" s="1849"/>
      <c r="F52" s="1849"/>
      <c r="G52" s="1849"/>
      <c r="H52" s="1849"/>
      <c r="I52" s="1849"/>
      <c r="J52" s="1849"/>
      <c r="K52" s="1849"/>
      <c r="L52" s="1849"/>
      <c r="M52" s="1850"/>
      <c r="N52" s="99">
        <v>5680.5730000000003</v>
      </c>
    </row>
    <row r="53" spans="2:14">
      <c r="B53" s="1766" t="s">
        <v>51</v>
      </c>
      <c r="C53" s="1767"/>
      <c r="D53" s="1767"/>
      <c r="E53" s="1767"/>
      <c r="F53" s="1767"/>
      <c r="G53" s="1767"/>
      <c r="H53" s="1767"/>
      <c r="I53" s="1767"/>
      <c r="J53" s="1767"/>
      <c r="K53" s="1767"/>
      <c r="L53" s="1767"/>
      <c r="M53" s="1767"/>
      <c r="N53" s="1768"/>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96" t="s">
        <v>194</v>
      </c>
      <c r="K56" s="182" t="s">
        <v>310</v>
      </c>
      <c r="L56" s="1829" t="s">
        <v>39</v>
      </c>
      <c r="M56" s="1832"/>
      <c r="N56" s="179" t="s">
        <v>191</v>
      </c>
    </row>
    <row r="57" spans="2:14">
      <c r="B57" s="1839"/>
      <c r="C57" s="1840"/>
      <c r="D57" s="1840"/>
      <c r="E57" s="1840"/>
      <c r="F57" s="1840"/>
      <c r="G57" s="1840"/>
      <c r="H57" s="1841"/>
      <c r="I57" s="96"/>
      <c r="J57" s="133"/>
      <c r="K57" s="134"/>
      <c r="L57" s="1859"/>
      <c r="M57" s="1860"/>
      <c r="N57" s="135"/>
    </row>
    <row r="58" spans="2:14">
      <c r="B58" s="1839"/>
      <c r="C58" s="1840"/>
      <c r="D58" s="1840"/>
      <c r="E58" s="1840"/>
      <c r="F58" s="1840"/>
      <c r="G58" s="1840"/>
      <c r="H58" s="1841"/>
      <c r="I58" s="96"/>
      <c r="J58" s="133"/>
      <c r="K58" s="134"/>
      <c r="L58" s="1859"/>
      <c r="M58" s="1860"/>
      <c r="N58" s="135"/>
    </row>
    <row r="59" spans="2:14" ht="13.5" thickBot="1">
      <c r="B59" s="1834"/>
      <c r="C59" s="1835"/>
      <c r="D59" s="1835"/>
      <c r="E59" s="1835"/>
      <c r="F59" s="1835"/>
      <c r="G59" s="1835"/>
      <c r="H59" s="1836"/>
      <c r="I59" s="136"/>
      <c r="J59" s="137"/>
      <c r="K59" s="100"/>
      <c r="L59" s="1837"/>
      <c r="M59" s="1838"/>
      <c r="N59" s="135"/>
    </row>
    <row r="60" spans="2:14" ht="14.25" thickBot="1">
      <c r="B60" s="1848" t="s">
        <v>188</v>
      </c>
      <c r="C60" s="1849"/>
      <c r="D60" s="1849"/>
      <c r="E60" s="1849"/>
      <c r="F60" s="1849"/>
      <c r="G60" s="1849"/>
      <c r="H60" s="1849"/>
      <c r="I60" s="1849"/>
      <c r="J60" s="1849"/>
      <c r="K60" s="1849"/>
      <c r="L60" s="1849"/>
      <c r="M60" s="1850"/>
      <c r="N60" s="112">
        <v>0</v>
      </c>
    </row>
    <row r="61" spans="2:14">
      <c r="B61" s="1766" t="s">
        <v>52</v>
      </c>
      <c r="C61" s="1767"/>
      <c r="D61" s="1767"/>
      <c r="E61" s="1767"/>
      <c r="F61" s="1767"/>
      <c r="G61" s="1767"/>
      <c r="H61" s="1767"/>
      <c r="I61" s="1767"/>
      <c r="J61" s="1767"/>
      <c r="K61" s="1767"/>
      <c r="L61" s="1767"/>
      <c r="M61" s="1767"/>
      <c r="N61" s="1768"/>
    </row>
    <row r="62" spans="2:14">
      <c r="B62" s="1766"/>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96" t="s">
        <v>46</v>
      </c>
      <c r="K64" s="182" t="s">
        <v>197</v>
      </c>
      <c r="L64" s="1829" t="s">
        <v>186</v>
      </c>
      <c r="M64" s="1832"/>
      <c r="N64" s="179" t="s">
        <v>191</v>
      </c>
    </row>
    <row r="65" spans="2:14">
      <c r="B65" s="198" t="s">
        <v>63</v>
      </c>
      <c r="C65" s="199"/>
      <c r="D65" s="199"/>
      <c r="E65" s="199"/>
      <c r="F65" s="199"/>
      <c r="G65" s="199"/>
      <c r="H65" s="199"/>
      <c r="I65" s="107">
        <v>109600</v>
      </c>
      <c r="J65" s="108">
        <v>1.85</v>
      </c>
      <c r="K65" s="109">
        <v>202760</v>
      </c>
      <c r="L65" s="1861">
        <v>40</v>
      </c>
      <c r="M65" s="1862"/>
      <c r="N65" s="110">
        <v>5069</v>
      </c>
    </row>
    <row r="66" spans="2:14">
      <c r="B66" s="198"/>
      <c r="C66" s="199"/>
      <c r="D66" s="199"/>
      <c r="E66" s="199"/>
      <c r="F66" s="199"/>
      <c r="G66" s="199"/>
      <c r="H66" s="199"/>
      <c r="I66" s="107"/>
      <c r="J66" s="108"/>
      <c r="K66" s="109"/>
      <c r="L66" s="1861"/>
      <c r="M66" s="1862"/>
      <c r="N66" s="110"/>
    </row>
    <row r="67" spans="2:14">
      <c r="B67" s="198"/>
      <c r="C67" s="199"/>
      <c r="D67" s="199"/>
      <c r="E67" s="199"/>
      <c r="F67" s="199"/>
      <c r="G67" s="199"/>
      <c r="H67" s="199"/>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5069</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11003.023000000001</v>
      </c>
    </row>
    <row r="72" spans="2:14">
      <c r="B72" s="1766" t="s">
        <v>53</v>
      </c>
      <c r="C72" s="1767"/>
      <c r="D72" s="1767"/>
      <c r="E72" s="1767"/>
      <c r="F72" s="1767"/>
      <c r="G72" s="1767"/>
      <c r="H72" s="1767"/>
      <c r="I72" s="1767"/>
      <c r="J72" s="1767"/>
      <c r="K72" s="1767"/>
      <c r="L72" s="1767"/>
      <c r="M72" s="1767"/>
      <c r="N72" s="1768"/>
    </row>
    <row r="73" spans="2:14">
      <c r="B73" s="1766"/>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96"/>
      <c r="J75" s="197"/>
      <c r="K75" s="184" t="s">
        <v>54</v>
      </c>
      <c r="L75" s="1857" t="s">
        <v>55</v>
      </c>
      <c r="M75" s="1858"/>
      <c r="N75" s="185"/>
    </row>
    <row r="76" spans="2:14">
      <c r="B76" s="1839" t="s">
        <v>44</v>
      </c>
      <c r="C76" s="1840"/>
      <c r="D76" s="1840"/>
      <c r="E76" s="1840"/>
      <c r="F76" s="1840"/>
      <c r="G76" s="1840"/>
      <c r="H76" s="1840"/>
      <c r="I76" s="113"/>
      <c r="J76" s="114"/>
      <c r="K76" s="192">
        <v>0.22</v>
      </c>
      <c r="L76" s="1877">
        <v>2420.6650600000003</v>
      </c>
      <c r="M76" s="1878"/>
      <c r="N76" s="115"/>
    </row>
    <row r="77" spans="2:14">
      <c r="B77" s="116" t="s">
        <v>56</v>
      </c>
      <c r="C77" s="117"/>
      <c r="D77" s="117"/>
      <c r="E77" s="117"/>
      <c r="F77" s="117"/>
      <c r="G77" s="117"/>
      <c r="H77" s="117"/>
      <c r="I77" s="113"/>
      <c r="J77" s="114"/>
      <c r="K77" s="192">
        <v>0.05</v>
      </c>
      <c r="L77" s="1877">
        <v>550.15115000000003</v>
      </c>
      <c r="M77" s="1878"/>
      <c r="N77" s="115"/>
    </row>
    <row r="78" spans="2:14" ht="13.5" thickBot="1">
      <c r="B78" s="194" t="s">
        <v>45</v>
      </c>
      <c r="C78" s="195"/>
      <c r="D78" s="195"/>
      <c r="E78" s="195"/>
      <c r="F78" s="195"/>
      <c r="G78" s="195"/>
      <c r="H78" s="195"/>
      <c r="I78" s="120"/>
      <c r="J78" s="121"/>
      <c r="K78" s="192">
        <v>0.05</v>
      </c>
      <c r="L78" s="1879">
        <v>550.15115000000003</v>
      </c>
      <c r="M78" s="1880"/>
      <c r="N78" s="115"/>
    </row>
    <row r="79" spans="2:14" ht="14.25" thickBot="1">
      <c r="B79" s="1848" t="s">
        <v>188</v>
      </c>
      <c r="C79" s="1849"/>
      <c r="D79" s="1849"/>
      <c r="E79" s="1849"/>
      <c r="F79" s="1849"/>
      <c r="G79" s="1849"/>
      <c r="H79" s="1849"/>
      <c r="I79" s="1849"/>
      <c r="J79" s="1849"/>
      <c r="K79" s="1849"/>
      <c r="L79" s="1849"/>
      <c r="M79" s="1850"/>
      <c r="N79" s="122">
        <v>3520.9673600000006</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14524</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9">
    <mergeCell ref="J104:N105"/>
    <mergeCell ref="B105:D105"/>
    <mergeCell ref="B12:E12"/>
    <mergeCell ref="B95:N96"/>
    <mergeCell ref="B97:N98"/>
    <mergeCell ref="D20:M21"/>
    <mergeCell ref="D23:M23"/>
    <mergeCell ref="D13:G13"/>
    <mergeCell ref="J13:M13"/>
    <mergeCell ref="L14:N14"/>
    <mergeCell ref="H19:M19"/>
    <mergeCell ref="D25:M25"/>
    <mergeCell ref="E27:M27"/>
    <mergeCell ref="G29:M29"/>
    <mergeCell ref="B31:N31"/>
    <mergeCell ref="L33:M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M52"/>
    <mergeCell ref="B56:H56"/>
    <mergeCell ref="L56:M56"/>
    <mergeCell ref="B57:H57"/>
    <mergeCell ref="L57:M57"/>
    <mergeCell ref="B53:N55"/>
    <mergeCell ref="B58:H58"/>
    <mergeCell ref="L58:M58"/>
    <mergeCell ref="B59:H59"/>
    <mergeCell ref="L59:M59"/>
    <mergeCell ref="B60:M60"/>
    <mergeCell ref="B64:H64"/>
    <mergeCell ref="L64:M64"/>
    <mergeCell ref="L65:M65"/>
    <mergeCell ref="L66:M66"/>
    <mergeCell ref="L67:M67"/>
    <mergeCell ref="B61:N63"/>
    <mergeCell ref="B72:N74"/>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s>
  <phoneticPr fontId="0" type="noConversion"/>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33280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2801" r:id="rId4"/>
      </mc:Fallback>
    </mc:AlternateContent>
  </oleObjects>
  <mc:AlternateContent xmlns:mc="http://schemas.openxmlformats.org/markup-compatibility/2006">
    <mc:Choice Requires="x14">
      <controls>
        <mc:AlternateContent xmlns:mc="http://schemas.openxmlformats.org/markup-compatibility/2006">
          <mc:Choice Requires="x14">
            <control shapeId="332804" r:id="rId6"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2805" r:id="rId7"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dimension ref="B1:N108"/>
  <sheetViews>
    <sheetView showGridLines="0" topLeftCell="A50" zoomScale="70" zoomScaleNormal="70" workbookViewId="0">
      <selection sqref="A1:XFD1048576"/>
    </sheetView>
  </sheetViews>
  <sheetFormatPr baseColWidth="10" defaultColWidth="11.42578125" defaultRowHeight="12.75"/>
  <cols>
    <col min="1" max="1" width="3.140625" style="39" customWidth="1"/>
    <col min="2" max="13" width="11.42578125" style="39"/>
    <col min="14" max="14" width="12.42578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26.25" customHeight="1"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377</v>
      </c>
      <c r="C34" s="1885" t="s">
        <v>601</v>
      </c>
      <c r="D34" s="1887"/>
      <c r="E34" s="1887"/>
      <c r="F34" s="1887"/>
      <c r="G34" s="1887"/>
      <c r="H34" s="1887"/>
      <c r="I34" s="1887"/>
      <c r="J34" s="1887"/>
      <c r="K34" s="1886"/>
      <c r="L34" s="1885" t="s">
        <v>28</v>
      </c>
      <c r="M34" s="1886"/>
      <c r="N34" s="203">
        <v>23200</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77</v>
      </c>
      <c r="C39" s="1840"/>
      <c r="D39" s="1840"/>
      <c r="E39" s="1840"/>
      <c r="F39" s="1841"/>
      <c r="G39" s="1842"/>
      <c r="H39" s="1841"/>
      <c r="I39" s="1842"/>
      <c r="J39" s="1841"/>
      <c r="K39" s="88"/>
      <c r="L39" s="1922"/>
      <c r="M39" s="1923"/>
      <c r="N39" s="89">
        <v>196.11734375000003</v>
      </c>
    </row>
    <row r="40" spans="2:14">
      <c r="B40" s="1839"/>
      <c r="C40" s="1840"/>
      <c r="D40" s="1840"/>
      <c r="E40" s="1840"/>
      <c r="F40" s="1841"/>
      <c r="G40" s="1842"/>
      <c r="H40" s="1841"/>
      <c r="I40" s="1842"/>
      <c r="J40" s="1841"/>
      <c r="K40" s="88"/>
      <c r="L40" s="1924"/>
      <c r="M40" s="1925"/>
      <c r="N40" s="89"/>
    </row>
    <row r="41" spans="2:14">
      <c r="B41" s="1839"/>
      <c r="C41" s="1840"/>
      <c r="D41" s="1840"/>
      <c r="E41" s="1840"/>
      <c r="F41" s="1841"/>
      <c r="G41" s="1842"/>
      <c r="H41" s="1841"/>
      <c r="I41" s="1842"/>
      <c r="J41" s="1841"/>
      <c r="K41" s="88"/>
      <c r="L41" s="1924"/>
      <c r="M41" s="1925"/>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196.11734375000003</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93" t="s">
        <v>38</v>
      </c>
      <c r="K47" s="178" t="s">
        <v>115</v>
      </c>
      <c r="L47" s="1829" t="s">
        <v>190</v>
      </c>
      <c r="M47" s="1832"/>
      <c r="N47" s="179" t="s">
        <v>191</v>
      </c>
    </row>
    <row r="48" spans="2:14">
      <c r="B48" s="1839" t="s">
        <v>285</v>
      </c>
      <c r="C48" s="1840"/>
      <c r="D48" s="1840"/>
      <c r="E48" s="1840"/>
      <c r="F48" s="1840"/>
      <c r="G48" s="1840"/>
      <c r="H48" s="1840"/>
      <c r="I48" s="1841"/>
      <c r="J48" s="129" t="s">
        <v>111</v>
      </c>
      <c r="K48" s="130">
        <v>0.12</v>
      </c>
      <c r="L48" s="1852">
        <v>30744</v>
      </c>
      <c r="M48" s="1853"/>
      <c r="N48" s="89">
        <v>3689.2799999999997</v>
      </c>
    </row>
    <row r="49" spans="2:14">
      <c r="B49" s="1839" t="s">
        <v>286</v>
      </c>
      <c r="C49" s="1840"/>
      <c r="D49" s="1840"/>
      <c r="E49" s="1840"/>
      <c r="F49" s="1840"/>
      <c r="G49" s="1840"/>
      <c r="H49" s="1840"/>
      <c r="I49" s="1841"/>
      <c r="J49" s="129" t="s">
        <v>79</v>
      </c>
      <c r="K49" s="130">
        <v>0.05</v>
      </c>
      <c r="L49" s="1852">
        <v>26940</v>
      </c>
      <c r="M49" s="1853"/>
      <c r="N49" s="89">
        <v>1347</v>
      </c>
    </row>
    <row r="50" spans="2:14">
      <c r="B50" s="1839" t="s">
        <v>73</v>
      </c>
      <c r="C50" s="1840"/>
      <c r="D50" s="1840"/>
      <c r="E50" s="1840"/>
      <c r="F50" s="1840"/>
      <c r="G50" s="1840"/>
      <c r="H50" s="1840"/>
      <c r="I50" s="1841"/>
      <c r="J50" s="129" t="s">
        <v>204</v>
      </c>
      <c r="K50" s="130">
        <v>80</v>
      </c>
      <c r="L50" s="1852">
        <v>55</v>
      </c>
      <c r="M50" s="1853"/>
      <c r="N50" s="89">
        <v>4400</v>
      </c>
    </row>
    <row r="51" spans="2:14">
      <c r="B51" s="1839" t="s">
        <v>287</v>
      </c>
      <c r="C51" s="1840"/>
      <c r="D51" s="1840"/>
      <c r="E51" s="1840"/>
      <c r="F51" s="1840"/>
      <c r="G51" s="1840"/>
      <c r="H51" s="1840"/>
      <c r="I51" s="1841"/>
      <c r="J51" s="129" t="s">
        <v>79</v>
      </c>
      <c r="K51" s="130">
        <v>0.04</v>
      </c>
      <c r="L51" s="1852">
        <v>45712</v>
      </c>
      <c r="M51" s="1853"/>
      <c r="N51" s="89">
        <v>1828.48</v>
      </c>
    </row>
    <row r="52" spans="2:14">
      <c r="B52" s="1839" t="s">
        <v>288</v>
      </c>
      <c r="C52" s="1840"/>
      <c r="D52" s="1840"/>
      <c r="E52" s="1840"/>
      <c r="F52" s="1840"/>
      <c r="G52" s="1840"/>
      <c r="H52" s="1840"/>
      <c r="I52" s="1841"/>
      <c r="J52" s="139" t="s">
        <v>79</v>
      </c>
      <c r="K52" s="140">
        <v>0.03</v>
      </c>
      <c r="L52" s="1852">
        <v>107947</v>
      </c>
      <c r="M52" s="1853"/>
      <c r="N52" s="89">
        <v>3238.41</v>
      </c>
    </row>
    <row r="53" spans="2:14">
      <c r="B53" s="1839"/>
      <c r="C53" s="1840"/>
      <c r="D53" s="1840"/>
      <c r="E53" s="1840"/>
      <c r="F53" s="1840"/>
      <c r="G53" s="1840"/>
      <c r="H53" s="1840"/>
      <c r="I53" s="1841"/>
      <c r="J53" s="131"/>
      <c r="K53" s="132"/>
      <c r="L53" s="1852"/>
      <c r="M53" s="1853"/>
      <c r="N53" s="89"/>
    </row>
    <row r="54" spans="2:14" ht="13.5" thickBot="1">
      <c r="B54" s="1839"/>
      <c r="C54" s="1840"/>
      <c r="D54" s="1840"/>
      <c r="E54" s="1840"/>
      <c r="F54" s="1840"/>
      <c r="G54" s="1840"/>
      <c r="H54" s="1840"/>
      <c r="I54" s="1841"/>
      <c r="J54" s="131"/>
      <c r="K54" s="132"/>
      <c r="L54" s="1852"/>
      <c r="M54" s="1853"/>
      <c r="N54" s="89"/>
    </row>
    <row r="55" spans="2:14" ht="14.25" thickBot="1">
      <c r="B55" s="1848" t="s">
        <v>188</v>
      </c>
      <c r="C55" s="1849"/>
      <c r="D55" s="1849"/>
      <c r="E55" s="1849"/>
      <c r="F55" s="1849"/>
      <c r="G55" s="1849"/>
      <c r="H55" s="1849"/>
      <c r="I55" s="1849"/>
      <c r="J55" s="1849"/>
      <c r="K55" s="1849"/>
      <c r="L55" s="1849"/>
      <c r="M55" s="1850"/>
      <c r="N55" s="99">
        <v>14503.169999999998</v>
      </c>
    </row>
    <row r="56" spans="2:14">
      <c r="B56" s="1766" t="s">
        <v>51</v>
      </c>
      <c r="C56" s="1767"/>
      <c r="D56" s="1767"/>
      <c r="E56" s="1767"/>
      <c r="F56" s="1767"/>
      <c r="G56" s="1767"/>
      <c r="H56" s="1767"/>
      <c r="I56" s="1767"/>
      <c r="J56" s="1767"/>
      <c r="K56" s="1767"/>
      <c r="L56" s="1767"/>
      <c r="M56" s="1767"/>
      <c r="N56" s="1768"/>
    </row>
    <row r="57" spans="2:14">
      <c r="B57" s="1766"/>
      <c r="C57" s="1767"/>
      <c r="D57" s="1767"/>
      <c r="E57" s="1767"/>
      <c r="F57" s="1767"/>
      <c r="G57" s="1767"/>
      <c r="H57" s="1767"/>
      <c r="I57" s="1767"/>
      <c r="J57" s="1767"/>
      <c r="K57" s="1767"/>
      <c r="L57" s="1767"/>
      <c r="M57" s="1767"/>
      <c r="N57" s="1768"/>
    </row>
    <row r="58" spans="2:14" ht="13.5" thickBot="1">
      <c r="B58" s="1769"/>
      <c r="C58" s="1770"/>
      <c r="D58" s="1770"/>
      <c r="E58" s="1770"/>
      <c r="F58" s="1770"/>
      <c r="G58" s="1770"/>
      <c r="H58" s="1770"/>
      <c r="I58" s="1770"/>
      <c r="J58" s="1770"/>
      <c r="K58" s="1770"/>
      <c r="L58" s="1770"/>
      <c r="M58" s="1770"/>
      <c r="N58" s="1771"/>
    </row>
    <row r="59" spans="2:14" ht="13.5">
      <c r="B59" s="1826" t="s">
        <v>192</v>
      </c>
      <c r="C59" s="1851"/>
      <c r="D59" s="1851"/>
      <c r="E59" s="1851"/>
      <c r="F59" s="1851"/>
      <c r="G59" s="1851"/>
      <c r="H59" s="1851"/>
      <c r="I59" s="178" t="s">
        <v>193</v>
      </c>
      <c r="J59" s="196" t="s">
        <v>194</v>
      </c>
      <c r="K59" s="182" t="s">
        <v>310</v>
      </c>
      <c r="L59" s="1829" t="s">
        <v>39</v>
      </c>
      <c r="M59" s="1832"/>
      <c r="N59" s="179" t="s">
        <v>191</v>
      </c>
    </row>
    <row r="60" spans="2:14">
      <c r="B60" s="1839"/>
      <c r="C60" s="1840"/>
      <c r="D60" s="1840"/>
      <c r="E60" s="1840"/>
      <c r="F60" s="1840"/>
      <c r="G60" s="1840"/>
      <c r="H60" s="1841"/>
      <c r="I60" s="96"/>
      <c r="J60" s="133"/>
      <c r="K60" s="134"/>
      <c r="L60" s="1859"/>
      <c r="M60" s="1860"/>
      <c r="N60" s="135"/>
    </row>
    <row r="61" spans="2:14">
      <c r="B61" s="1839"/>
      <c r="C61" s="1840"/>
      <c r="D61" s="1840"/>
      <c r="E61" s="1840"/>
      <c r="F61" s="1840"/>
      <c r="G61" s="1840"/>
      <c r="H61" s="1841"/>
      <c r="I61" s="96"/>
      <c r="J61" s="133"/>
      <c r="K61" s="134"/>
      <c r="L61" s="1859"/>
      <c r="M61" s="1860"/>
      <c r="N61" s="135"/>
    </row>
    <row r="62" spans="2:14" ht="13.5" thickBot="1">
      <c r="B62" s="1834"/>
      <c r="C62" s="1835"/>
      <c r="D62" s="1835"/>
      <c r="E62" s="1835"/>
      <c r="F62" s="1835"/>
      <c r="G62" s="1835"/>
      <c r="H62" s="1836"/>
      <c r="I62" s="136"/>
      <c r="J62" s="137"/>
      <c r="K62" s="100"/>
      <c r="L62" s="1837"/>
      <c r="M62" s="1838"/>
      <c r="N62" s="135"/>
    </row>
    <row r="63" spans="2:14" ht="14.25" thickBot="1">
      <c r="B63" s="1848" t="s">
        <v>188</v>
      </c>
      <c r="C63" s="1849"/>
      <c r="D63" s="1849"/>
      <c r="E63" s="1849"/>
      <c r="F63" s="1849"/>
      <c r="G63" s="1849"/>
      <c r="H63" s="1849"/>
      <c r="I63" s="1849"/>
      <c r="J63" s="1849"/>
      <c r="K63" s="1849"/>
      <c r="L63" s="1849"/>
      <c r="M63" s="1850"/>
      <c r="N63" s="112">
        <v>0</v>
      </c>
    </row>
    <row r="64" spans="2:14">
      <c r="B64" s="1766" t="s">
        <v>52</v>
      </c>
      <c r="C64" s="1767"/>
      <c r="D64" s="1767"/>
      <c r="E64" s="1767"/>
      <c r="F64" s="1767"/>
      <c r="G64" s="1767"/>
      <c r="H64" s="1767"/>
      <c r="I64" s="1767"/>
      <c r="J64" s="1767"/>
      <c r="K64" s="1767"/>
      <c r="L64" s="1767"/>
      <c r="M64" s="1767"/>
      <c r="N64" s="1768"/>
    </row>
    <row r="65" spans="2:14">
      <c r="B65" s="1766"/>
      <c r="C65" s="1767"/>
      <c r="D65" s="1767"/>
      <c r="E65" s="1767"/>
      <c r="F65" s="1767"/>
      <c r="G65" s="1767"/>
      <c r="H65" s="1767"/>
      <c r="I65" s="1767"/>
      <c r="J65" s="1767"/>
      <c r="K65" s="1767"/>
      <c r="L65" s="1767"/>
      <c r="M65" s="1767"/>
      <c r="N65" s="1768"/>
    </row>
    <row r="66" spans="2:14" ht="13.5" thickBot="1">
      <c r="B66" s="1769"/>
      <c r="C66" s="1770"/>
      <c r="D66" s="1770"/>
      <c r="E66" s="1770"/>
      <c r="F66" s="1770"/>
      <c r="G66" s="1770"/>
      <c r="H66" s="1770"/>
      <c r="I66" s="1770"/>
      <c r="J66" s="1770"/>
      <c r="K66" s="1770"/>
      <c r="L66" s="1770"/>
      <c r="M66" s="1770"/>
      <c r="N66" s="1771"/>
    </row>
    <row r="67" spans="2:14" ht="13.5">
      <c r="B67" s="1826" t="s">
        <v>195</v>
      </c>
      <c r="C67" s="1851"/>
      <c r="D67" s="1851"/>
      <c r="E67" s="1851"/>
      <c r="F67" s="1851"/>
      <c r="G67" s="1851"/>
      <c r="H67" s="1851"/>
      <c r="I67" s="178" t="s">
        <v>196</v>
      </c>
      <c r="J67" s="196" t="s">
        <v>46</v>
      </c>
      <c r="K67" s="182" t="s">
        <v>197</v>
      </c>
      <c r="L67" s="1829" t="s">
        <v>186</v>
      </c>
      <c r="M67" s="1832"/>
      <c r="N67" s="179" t="s">
        <v>191</v>
      </c>
    </row>
    <row r="68" spans="2:14">
      <c r="B68" s="198" t="s">
        <v>72</v>
      </c>
      <c r="C68" s="199"/>
      <c r="D68" s="199"/>
      <c r="E68" s="199"/>
      <c r="F68" s="199"/>
      <c r="G68" s="199"/>
      <c r="H68" s="199"/>
      <c r="I68" s="107">
        <v>27400</v>
      </c>
      <c r="J68" s="108">
        <v>1.85</v>
      </c>
      <c r="K68" s="109">
        <v>50690</v>
      </c>
      <c r="L68" s="1861">
        <v>32</v>
      </c>
      <c r="M68" s="1862"/>
      <c r="N68" s="110">
        <v>1584.0625</v>
      </c>
    </row>
    <row r="69" spans="2:14">
      <c r="B69" s="198" t="s">
        <v>17</v>
      </c>
      <c r="C69" s="199"/>
      <c r="D69" s="199"/>
      <c r="E69" s="199"/>
      <c r="F69" s="199"/>
      <c r="G69" s="199"/>
      <c r="H69" s="199"/>
      <c r="I69" s="107">
        <v>40446</v>
      </c>
      <c r="J69" s="108">
        <v>1.85</v>
      </c>
      <c r="K69" s="109">
        <v>74825.100000000006</v>
      </c>
      <c r="L69" s="1861">
        <v>32</v>
      </c>
      <c r="M69" s="1862"/>
      <c r="N69" s="110">
        <v>2338.2843750000002</v>
      </c>
    </row>
    <row r="70" spans="2:14">
      <c r="B70" s="198"/>
      <c r="C70" s="199"/>
      <c r="D70" s="199"/>
      <c r="E70" s="199"/>
      <c r="F70" s="199"/>
      <c r="G70" s="199"/>
      <c r="H70" s="199"/>
      <c r="I70" s="107"/>
      <c r="J70" s="108"/>
      <c r="K70" s="109"/>
      <c r="L70" s="1859"/>
      <c r="M70" s="1860"/>
      <c r="N70" s="110"/>
    </row>
    <row r="71" spans="2:14" ht="13.5" thickBot="1">
      <c r="B71" s="1834"/>
      <c r="C71" s="1835"/>
      <c r="D71" s="1835"/>
      <c r="E71" s="1835"/>
      <c r="F71" s="1835"/>
      <c r="G71" s="1835"/>
      <c r="H71" s="1835"/>
      <c r="I71" s="102"/>
      <c r="J71" s="87"/>
      <c r="K71" s="102"/>
      <c r="L71" s="1837"/>
      <c r="M71" s="1838"/>
      <c r="N71" s="111"/>
    </row>
    <row r="72" spans="2:14" ht="14.25" thickBot="1">
      <c r="B72" s="1848" t="s">
        <v>188</v>
      </c>
      <c r="C72" s="1849"/>
      <c r="D72" s="1849"/>
      <c r="E72" s="1849"/>
      <c r="F72" s="1849"/>
      <c r="G72" s="1849"/>
      <c r="H72" s="1849"/>
      <c r="I72" s="1849"/>
      <c r="J72" s="1849"/>
      <c r="K72" s="1849"/>
      <c r="L72" s="1849"/>
      <c r="M72" s="1850"/>
      <c r="N72" s="112">
        <v>3922.3468750000002</v>
      </c>
    </row>
    <row r="73" spans="2:14" ht="13.5" thickBot="1">
      <c r="B73" s="85"/>
      <c r="C73" s="66"/>
      <c r="D73" s="66"/>
      <c r="E73" s="66"/>
      <c r="F73" s="66"/>
      <c r="G73" s="66"/>
      <c r="H73" s="66"/>
      <c r="I73" s="66"/>
      <c r="J73" s="66"/>
      <c r="K73" s="66"/>
      <c r="L73" s="66"/>
      <c r="M73" s="66"/>
      <c r="N73" s="73"/>
    </row>
    <row r="74" spans="2:14" ht="13.5" thickBot="1">
      <c r="B74" s="1854" t="s">
        <v>198</v>
      </c>
      <c r="C74" s="1855"/>
      <c r="D74" s="1855"/>
      <c r="E74" s="1855"/>
      <c r="F74" s="1855"/>
      <c r="G74" s="1855"/>
      <c r="H74" s="1855"/>
      <c r="I74" s="1855"/>
      <c r="J74" s="1855"/>
      <c r="K74" s="1855"/>
      <c r="L74" s="1855"/>
      <c r="M74" s="1856"/>
      <c r="N74" s="186">
        <v>18621.634218749998</v>
      </c>
    </row>
    <row r="75" spans="2:14">
      <c r="B75" s="1766" t="s">
        <v>53</v>
      </c>
      <c r="C75" s="1767"/>
      <c r="D75" s="1767"/>
      <c r="E75" s="1767"/>
      <c r="F75" s="1767"/>
      <c r="G75" s="1767"/>
      <c r="H75" s="1767"/>
      <c r="I75" s="1767"/>
      <c r="J75" s="1767"/>
      <c r="K75" s="1767"/>
      <c r="L75" s="1767"/>
      <c r="M75" s="1767"/>
      <c r="N75" s="1768"/>
    </row>
    <row r="76" spans="2:14">
      <c r="B76" s="1766"/>
      <c r="C76" s="1767"/>
      <c r="D76" s="1767"/>
      <c r="E76" s="1767"/>
      <c r="F76" s="1767"/>
      <c r="G76" s="1767"/>
      <c r="H76" s="1767"/>
      <c r="I76" s="1767"/>
      <c r="J76" s="1767"/>
      <c r="K76" s="1767"/>
      <c r="L76" s="1767"/>
      <c r="M76" s="1767"/>
      <c r="N76" s="1768"/>
    </row>
    <row r="77" spans="2:14" ht="13.5" thickBot="1">
      <c r="B77" s="1769"/>
      <c r="C77" s="1770"/>
      <c r="D77" s="1770"/>
      <c r="E77" s="1770"/>
      <c r="F77" s="1770"/>
      <c r="G77" s="1770"/>
      <c r="H77" s="1770"/>
      <c r="I77" s="1770"/>
      <c r="J77" s="1770"/>
      <c r="K77" s="1770"/>
      <c r="L77" s="1770"/>
      <c r="M77" s="1770"/>
      <c r="N77" s="1771"/>
    </row>
    <row r="78" spans="2:14" ht="13.5">
      <c r="B78" s="1826" t="s">
        <v>50</v>
      </c>
      <c r="C78" s="1851"/>
      <c r="D78" s="1851"/>
      <c r="E78" s="1851"/>
      <c r="F78" s="1851"/>
      <c r="G78" s="1851"/>
      <c r="H78" s="1851"/>
      <c r="I78" s="196"/>
      <c r="J78" s="197"/>
      <c r="K78" s="184" t="s">
        <v>54</v>
      </c>
      <c r="L78" s="1857" t="s">
        <v>55</v>
      </c>
      <c r="M78" s="1858"/>
      <c r="N78" s="185"/>
    </row>
    <row r="79" spans="2:14">
      <c r="B79" s="1839" t="s">
        <v>44</v>
      </c>
      <c r="C79" s="1840"/>
      <c r="D79" s="1840"/>
      <c r="E79" s="1840"/>
      <c r="F79" s="1840"/>
      <c r="G79" s="1840"/>
      <c r="H79" s="1840"/>
      <c r="I79" s="113"/>
      <c r="J79" s="114"/>
      <c r="K79" s="192">
        <v>0.22</v>
      </c>
      <c r="L79" s="1877">
        <v>4096.7595281249996</v>
      </c>
      <c r="M79" s="1878"/>
      <c r="N79" s="115"/>
    </row>
    <row r="80" spans="2:14">
      <c r="B80" s="116" t="s">
        <v>56</v>
      </c>
      <c r="C80" s="117"/>
      <c r="D80" s="117"/>
      <c r="E80" s="117"/>
      <c r="F80" s="117"/>
      <c r="G80" s="117"/>
      <c r="H80" s="117"/>
      <c r="I80" s="113"/>
      <c r="J80" s="114"/>
      <c r="K80" s="192">
        <v>0.05</v>
      </c>
      <c r="L80" s="1877">
        <v>931.08171093749991</v>
      </c>
      <c r="M80" s="1878"/>
      <c r="N80" s="115"/>
    </row>
    <row r="81" spans="2:14" ht="13.5" thickBot="1">
      <c r="B81" s="194" t="s">
        <v>45</v>
      </c>
      <c r="C81" s="195"/>
      <c r="D81" s="195"/>
      <c r="E81" s="195"/>
      <c r="F81" s="195"/>
      <c r="G81" s="195"/>
      <c r="H81" s="195"/>
      <c r="I81" s="120"/>
      <c r="J81" s="121"/>
      <c r="K81" s="192">
        <v>0.05</v>
      </c>
      <c r="L81" s="1879">
        <v>931.08171093749991</v>
      </c>
      <c r="M81" s="1880"/>
      <c r="N81" s="115"/>
    </row>
    <row r="82" spans="2:14" ht="14.25" thickBot="1">
      <c r="B82" s="1848" t="s">
        <v>188</v>
      </c>
      <c r="C82" s="1849"/>
      <c r="D82" s="1849"/>
      <c r="E82" s="1849"/>
      <c r="F82" s="1849"/>
      <c r="G82" s="1849"/>
      <c r="H82" s="1849"/>
      <c r="I82" s="1849"/>
      <c r="J82" s="1849"/>
      <c r="K82" s="1849"/>
      <c r="L82" s="1849"/>
      <c r="M82" s="1850"/>
      <c r="N82" s="122">
        <v>5958.9229500000001</v>
      </c>
    </row>
    <row r="83" spans="2:14" ht="13.5" thickBot="1">
      <c r="B83" s="85"/>
      <c r="C83" s="66"/>
      <c r="D83" s="66"/>
      <c r="E83" s="66"/>
      <c r="F83" s="66"/>
      <c r="G83" s="66"/>
      <c r="H83" s="66"/>
      <c r="I83" s="66"/>
      <c r="J83" s="66"/>
      <c r="K83" s="66"/>
      <c r="L83" s="66"/>
      <c r="M83" s="66"/>
      <c r="N83" s="73"/>
    </row>
    <row r="84" spans="2:14" ht="13.5" thickBot="1">
      <c r="B84" s="1854" t="s">
        <v>199</v>
      </c>
      <c r="C84" s="1855"/>
      <c r="D84" s="1855"/>
      <c r="E84" s="1855"/>
      <c r="F84" s="1855"/>
      <c r="G84" s="1855"/>
      <c r="H84" s="1855"/>
      <c r="I84" s="1855"/>
      <c r="J84" s="1855"/>
      <c r="K84" s="1855"/>
      <c r="L84" s="1855"/>
      <c r="M84" s="1856"/>
      <c r="N84" s="188">
        <v>24581</v>
      </c>
    </row>
    <row r="85" spans="2:14">
      <c r="B85" s="64"/>
      <c r="C85" s="65"/>
      <c r="D85" s="65"/>
      <c r="E85" s="65"/>
      <c r="F85" s="65"/>
      <c r="G85" s="65"/>
      <c r="H85" s="65"/>
      <c r="I85" s="65"/>
      <c r="J85" s="65"/>
      <c r="K85" s="65"/>
      <c r="L85" s="65"/>
      <c r="M85" s="65"/>
      <c r="N85" s="67"/>
    </row>
    <row r="86" spans="2:14">
      <c r="B86" s="85"/>
      <c r="C86" s="66"/>
      <c r="D86" s="66"/>
      <c r="E86" s="66"/>
      <c r="F86" s="66"/>
      <c r="G86" s="66"/>
      <c r="H86" s="66"/>
      <c r="I86" s="66"/>
      <c r="J86" s="66"/>
      <c r="K86" s="66"/>
      <c r="L86" s="66"/>
      <c r="M86" s="66"/>
      <c r="N86" s="73"/>
    </row>
    <row r="87" spans="2:14">
      <c r="B87" s="85"/>
      <c r="C87" s="66"/>
      <c r="D87" s="66"/>
      <c r="E87" s="66"/>
      <c r="F87" s="66"/>
      <c r="G87" s="66"/>
      <c r="H87" s="66"/>
      <c r="I87" s="66"/>
      <c r="J87" s="66"/>
      <c r="K87" s="66"/>
      <c r="L87" s="66"/>
      <c r="M87" s="66"/>
      <c r="N87" s="73"/>
    </row>
    <row r="88" spans="2:14">
      <c r="B88" s="85"/>
      <c r="C88" s="66"/>
      <c r="D88" s="66"/>
      <c r="E88" s="66"/>
      <c r="F88" s="66"/>
      <c r="G88" s="71" t="s">
        <v>249</v>
      </c>
      <c r="H88" s="71"/>
      <c r="I88" s="71"/>
      <c r="J88" s="71"/>
      <c r="K88" s="66"/>
      <c r="L88" s="66"/>
      <c r="M88" s="66"/>
      <c r="N88" s="73"/>
    </row>
    <row r="89" spans="2:14" ht="13.5">
      <c r="B89" s="123"/>
      <c r="C89" s="124"/>
      <c r="D89" s="124"/>
      <c r="E89" s="124"/>
      <c r="F89" s="124"/>
      <c r="G89" s="71" t="s">
        <v>250</v>
      </c>
      <c r="H89" s="124"/>
      <c r="I89" s="124"/>
      <c r="J89" s="124"/>
      <c r="K89" s="124"/>
      <c r="L89" s="124"/>
      <c r="M89" s="124"/>
      <c r="N89" s="125"/>
    </row>
    <row r="90" spans="2:14" ht="13.5">
      <c r="B90" s="123"/>
      <c r="C90" s="124"/>
      <c r="D90" s="124"/>
      <c r="E90" s="124"/>
      <c r="F90" s="124"/>
      <c r="G90" s="71" t="s">
        <v>251</v>
      </c>
      <c r="J90" s="124"/>
      <c r="K90" s="124"/>
      <c r="L90" s="124"/>
      <c r="M90" s="124"/>
      <c r="N90" s="125"/>
    </row>
    <row r="91" spans="2:14">
      <c r="B91" s="49"/>
      <c r="C91" s="81"/>
      <c r="D91" s="81"/>
      <c r="E91" s="81"/>
      <c r="F91" s="81"/>
      <c r="G91" s="71" t="s">
        <v>252</v>
      </c>
      <c r="H91" s="81"/>
      <c r="I91" s="81"/>
      <c r="J91" s="81"/>
      <c r="K91" s="81"/>
      <c r="L91" s="81"/>
      <c r="M91" s="81"/>
      <c r="N91" s="79"/>
    </row>
    <row r="92" spans="2:14">
      <c r="B92" s="85"/>
      <c r="C92" s="66"/>
      <c r="D92" s="66"/>
      <c r="E92" s="66"/>
      <c r="F92" s="66"/>
      <c r="G92" s="66" t="s">
        <v>253</v>
      </c>
      <c r="H92" s="66"/>
      <c r="I92" s="66"/>
      <c r="J92" s="66"/>
      <c r="K92" s="66"/>
      <c r="L92" s="66"/>
      <c r="M92" s="66"/>
      <c r="N92" s="73"/>
    </row>
    <row r="93" spans="2:14" ht="13.5">
      <c r="B93" s="92" t="s">
        <v>254</v>
      </c>
      <c r="C93" s="93"/>
      <c r="D93" s="93"/>
      <c r="E93" s="93"/>
      <c r="F93" s="93"/>
      <c r="G93" s="93"/>
      <c r="H93" s="93"/>
      <c r="I93" s="93"/>
      <c r="J93" s="93"/>
      <c r="K93" s="93"/>
      <c r="L93" s="93"/>
      <c r="M93" s="93"/>
      <c r="N93" s="94"/>
    </row>
    <row r="94" spans="2:14">
      <c r="B94" s="1874"/>
      <c r="C94" s="1875"/>
      <c r="D94" s="1875"/>
      <c r="E94" s="1875"/>
      <c r="F94" s="1875"/>
      <c r="G94" s="1875"/>
      <c r="H94" s="1875"/>
      <c r="I94" s="1875"/>
      <c r="J94" s="1875"/>
      <c r="K94" s="1875"/>
      <c r="L94" s="1875"/>
      <c r="M94" s="1875"/>
      <c r="N94" s="1876"/>
    </row>
    <row r="95" spans="2:14">
      <c r="B95" s="1874"/>
      <c r="C95" s="1875"/>
      <c r="D95" s="1875"/>
      <c r="E95" s="1875"/>
      <c r="F95" s="1875"/>
      <c r="G95" s="1875"/>
      <c r="H95" s="1875"/>
      <c r="I95" s="1875"/>
      <c r="J95" s="1875"/>
      <c r="K95" s="1875"/>
      <c r="L95" s="1875"/>
      <c r="M95" s="1875"/>
      <c r="N95" s="1876"/>
    </row>
    <row r="96" spans="2:14">
      <c r="B96" s="49"/>
      <c r="C96" s="81"/>
      <c r="D96" s="81"/>
      <c r="E96" s="81"/>
      <c r="F96" s="81"/>
      <c r="G96" s="81"/>
      <c r="H96" s="81"/>
      <c r="I96" s="81"/>
      <c r="J96" s="81"/>
      <c r="K96" s="81"/>
      <c r="L96" s="81"/>
      <c r="M96" s="81"/>
      <c r="N96" s="79"/>
    </row>
    <row r="97" spans="2:14">
      <c r="B97" s="406" t="s">
        <v>719</v>
      </c>
      <c r="C97" s="81"/>
      <c r="D97" s="81"/>
      <c r="E97" s="81"/>
      <c r="F97" s="81"/>
      <c r="G97" s="81"/>
      <c r="H97" s="81"/>
      <c r="I97" s="81"/>
      <c r="J97" s="81"/>
      <c r="K97" s="81"/>
      <c r="L97" s="81"/>
      <c r="M97" s="81"/>
      <c r="N97" s="79"/>
    </row>
    <row r="98" spans="2:14" ht="12.75" customHeight="1">
      <c r="B98" s="1871" t="s">
        <v>720</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1871" t="s">
        <v>721</v>
      </c>
      <c r="C100" s="1872"/>
      <c r="D100" s="1872"/>
      <c r="E100" s="1872"/>
      <c r="F100" s="1872"/>
      <c r="G100" s="1872"/>
      <c r="H100" s="1872"/>
      <c r="I100" s="1872"/>
      <c r="J100" s="1872"/>
      <c r="K100" s="1872"/>
      <c r="L100" s="1872"/>
      <c r="M100" s="1872"/>
      <c r="N100" s="1873"/>
    </row>
    <row r="101" spans="2:14">
      <c r="B101" s="1871"/>
      <c r="C101" s="1872"/>
      <c r="D101" s="1872"/>
      <c r="E101" s="1872"/>
      <c r="F101" s="1872"/>
      <c r="G101" s="1872"/>
      <c r="H101" s="1872"/>
      <c r="I101" s="1872"/>
      <c r="J101" s="1872"/>
      <c r="K101" s="1872"/>
      <c r="L101" s="1872"/>
      <c r="M101" s="1872"/>
      <c r="N101" s="1873"/>
    </row>
    <row r="102" spans="2:14">
      <c r="B102" s="49"/>
      <c r="C102" s="81"/>
      <c r="D102" s="81"/>
      <c r="E102" s="81"/>
      <c r="F102" s="81"/>
      <c r="G102" s="81"/>
      <c r="H102" s="81"/>
      <c r="I102" s="81"/>
      <c r="J102" s="81"/>
      <c r="K102" s="81"/>
      <c r="L102" s="81"/>
      <c r="M102" s="81"/>
      <c r="N102" s="79"/>
    </row>
    <row r="103" spans="2:14">
      <c r="B103" s="85"/>
      <c r="C103" s="66"/>
      <c r="D103" s="66"/>
      <c r="E103" s="66"/>
      <c r="F103" s="66"/>
      <c r="G103" s="71" t="s">
        <v>249</v>
      </c>
      <c r="H103" s="66"/>
      <c r="I103" s="66"/>
      <c r="J103" s="66"/>
      <c r="K103" s="66"/>
      <c r="L103" s="66"/>
      <c r="M103" s="66"/>
      <c r="N103" s="73"/>
    </row>
    <row r="104" spans="2:14">
      <c r="B104" s="85"/>
      <c r="C104" s="66"/>
      <c r="D104" s="66"/>
      <c r="E104" s="66"/>
      <c r="F104" s="66"/>
      <c r="G104" s="66" t="s">
        <v>250</v>
      </c>
      <c r="H104" s="86"/>
      <c r="I104" s="86"/>
      <c r="J104" s="86"/>
      <c r="K104" s="66"/>
      <c r="L104" s="66"/>
      <c r="M104" s="66"/>
      <c r="N104" s="73"/>
    </row>
    <row r="105" spans="2:14">
      <c r="B105" s="85"/>
      <c r="C105" s="66"/>
      <c r="D105" s="66"/>
      <c r="E105" s="66"/>
      <c r="F105" s="66"/>
      <c r="G105" s="66" t="s">
        <v>255</v>
      </c>
      <c r="H105" s="80"/>
      <c r="I105" s="80"/>
      <c r="J105" s="80"/>
      <c r="M105" s="66"/>
      <c r="N105" s="73"/>
    </row>
    <row r="106" spans="2:14">
      <c r="B106" s="127"/>
      <c r="C106" s="81"/>
      <c r="D106" s="81"/>
      <c r="E106" s="81"/>
      <c r="F106" s="81"/>
      <c r="G106" s="66" t="s">
        <v>252</v>
      </c>
      <c r="K106" s="81"/>
      <c r="L106" s="81"/>
      <c r="M106" s="81"/>
      <c r="N106" s="79"/>
    </row>
    <row r="107" spans="2:14" ht="17.25" customHeight="1">
      <c r="B107" s="138" t="s">
        <v>722</v>
      </c>
      <c r="C107" s="128"/>
      <c r="D107" s="128"/>
      <c r="E107" s="66"/>
      <c r="F107" s="66"/>
      <c r="G107" s="66"/>
      <c r="H107" s="66"/>
      <c r="I107" s="66"/>
      <c r="J107" s="1863"/>
      <c r="K107" s="1863"/>
      <c r="L107" s="1863"/>
      <c r="M107" s="1863"/>
      <c r="N107" s="1864"/>
    </row>
    <row r="108" spans="2:14" ht="18.75" customHeight="1" thickBot="1">
      <c r="B108" s="1867" t="s">
        <v>723</v>
      </c>
      <c r="C108" s="1868"/>
      <c r="D108" s="1868"/>
      <c r="E108" s="87"/>
      <c r="F108" s="87"/>
      <c r="G108" s="87"/>
      <c r="H108" s="87"/>
      <c r="I108" s="87"/>
      <c r="J108" s="1865"/>
      <c r="K108" s="1865"/>
      <c r="L108" s="1865"/>
      <c r="M108" s="1865"/>
      <c r="N108" s="1866"/>
    </row>
  </sheetData>
  <mergeCells count="105">
    <mergeCell ref="B12:E12"/>
    <mergeCell ref="B98:N99"/>
    <mergeCell ref="B100:N101"/>
    <mergeCell ref="J107:N108"/>
    <mergeCell ref="B108:D108"/>
    <mergeCell ref="L54:M54"/>
    <mergeCell ref="B79:H79"/>
    <mergeCell ref="L79:M79"/>
    <mergeCell ref="L80:M80"/>
    <mergeCell ref="L81:M81"/>
    <mergeCell ref="B82:M82"/>
    <mergeCell ref="B84:M84"/>
    <mergeCell ref="B71:H71"/>
    <mergeCell ref="L71:M71"/>
    <mergeCell ref="B72:M72"/>
    <mergeCell ref="B74:M74"/>
    <mergeCell ref="B78:H78"/>
    <mergeCell ref="L78:M78"/>
    <mergeCell ref="B56:N58"/>
    <mergeCell ref="B94:N94"/>
    <mergeCell ref="B95:N95"/>
    <mergeCell ref="L70:M70"/>
    <mergeCell ref="B60:H60"/>
    <mergeCell ref="L60:M60"/>
    <mergeCell ref="B61:H61"/>
    <mergeCell ref="L61:M61"/>
    <mergeCell ref="B62:H62"/>
    <mergeCell ref="L62:M62"/>
    <mergeCell ref="B63:M63"/>
    <mergeCell ref="B67:H67"/>
    <mergeCell ref="L67:M67"/>
    <mergeCell ref="L68:M68"/>
    <mergeCell ref="L69:M69"/>
    <mergeCell ref="B64:N66"/>
    <mergeCell ref="B75:N77"/>
    <mergeCell ref="B42:F42"/>
    <mergeCell ref="G42:H42"/>
    <mergeCell ref="I42:J42"/>
    <mergeCell ref="L42:M42"/>
    <mergeCell ref="B59:H59"/>
    <mergeCell ref="L59:M59"/>
    <mergeCell ref="B43:M43"/>
    <mergeCell ref="B47:I47"/>
    <mergeCell ref="L47:M47"/>
    <mergeCell ref="B48:I48"/>
    <mergeCell ref="L48:M48"/>
    <mergeCell ref="B49:I49"/>
    <mergeCell ref="L49:M49"/>
    <mergeCell ref="B50:I50"/>
    <mergeCell ref="L50:M50"/>
    <mergeCell ref="B51:I51"/>
    <mergeCell ref="L51:M51"/>
    <mergeCell ref="B55:M55"/>
    <mergeCell ref="B44:N46"/>
    <mergeCell ref="B52:I52"/>
    <mergeCell ref="L52:M52"/>
    <mergeCell ref="B53:I53"/>
    <mergeCell ref="L53:M53"/>
    <mergeCell ref="B54:I54"/>
    <mergeCell ref="B39:F39"/>
    <mergeCell ref="G39:H39"/>
    <mergeCell ref="I39:J39"/>
    <mergeCell ref="L39:M39"/>
    <mergeCell ref="B40:F40"/>
    <mergeCell ref="G40:H40"/>
    <mergeCell ref="I40:J40"/>
    <mergeCell ref="L40:M40"/>
    <mergeCell ref="B41:F41"/>
    <mergeCell ref="G41:H41"/>
    <mergeCell ref="I41:J41"/>
    <mergeCell ref="L41:M41"/>
    <mergeCell ref="D25:M25"/>
    <mergeCell ref="C33:K33"/>
    <mergeCell ref="L34:M34"/>
    <mergeCell ref="B38:F38"/>
    <mergeCell ref="G38:H38"/>
    <mergeCell ref="I38:J38"/>
    <mergeCell ref="L38:M38"/>
    <mergeCell ref="C34:K34"/>
    <mergeCell ref="B35:N37"/>
    <mergeCell ref="L33:M33"/>
    <mergeCell ref="D13:G13"/>
    <mergeCell ref="J13:M13"/>
    <mergeCell ref="L14:N14"/>
    <mergeCell ref="B31:N31"/>
    <mergeCell ref="E27:M2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G29:M29"/>
    <mergeCell ref="H19:M19"/>
    <mergeCell ref="D20:M21"/>
    <mergeCell ref="D23:M23"/>
  </mergeCells>
  <pageMargins left="0.7" right="0.7" top="0.75" bottom="0.75" header="0.3" footer="0.3"/>
  <drawing r:id="rId1"/>
  <legacyDrawing r:id="rId2"/>
  <oleObjects>
    <mc:AlternateContent xmlns:mc="http://schemas.openxmlformats.org/markup-compatibility/2006">
      <mc:Choice Requires="x14">
        <oleObject progId="PBrush" shapeId="3358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5873" r:id="rId3"/>
      </mc:Fallback>
    </mc:AlternateContent>
  </oleObjects>
  <mc:AlternateContent xmlns:mc="http://schemas.openxmlformats.org/markup-compatibility/2006">
    <mc:Choice Requires="x14">
      <controls>
        <mc:AlternateContent xmlns:mc="http://schemas.openxmlformats.org/markup-compatibility/2006">
          <mc:Choice Requires="x14">
            <control shapeId="3358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58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8"/>
  <sheetViews>
    <sheetView showGridLines="0" topLeftCell="A26" zoomScale="70" zoomScaleNormal="70" workbookViewId="0">
      <selection sqref="A1:XFD1048576"/>
    </sheetView>
  </sheetViews>
  <sheetFormatPr baseColWidth="10" defaultColWidth="11.42578125" defaultRowHeight="12.75"/>
  <cols>
    <col min="1" max="1" width="3.140625" style="39" customWidth="1"/>
    <col min="2" max="13" width="11.42578125" style="39"/>
    <col min="14" max="14" width="12.42578125" style="39" customWidth="1"/>
    <col min="15"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4.25" thickBot="1">
      <c r="B9" s="256"/>
      <c r="C9" s="41"/>
      <c r="D9" s="41"/>
      <c r="E9" s="41"/>
      <c r="F9" s="41"/>
      <c r="G9" s="41"/>
      <c r="H9" s="41"/>
      <c r="I9" s="41"/>
      <c r="J9" s="41"/>
      <c r="K9" s="41"/>
      <c r="L9" s="42"/>
      <c r="M9" s="42"/>
      <c r="N9" s="43"/>
    </row>
    <row r="10" spans="2:14" ht="13.5">
      <c r="B10" s="44"/>
      <c r="C10" s="45"/>
      <c r="D10" s="45"/>
      <c r="E10" s="45"/>
      <c r="F10" s="45"/>
      <c r="G10" s="45"/>
      <c r="H10" s="45"/>
      <c r="I10" s="45"/>
      <c r="J10" s="45"/>
      <c r="K10" s="46" t="s">
        <v>235</v>
      </c>
      <c r="L10" s="47" t="s">
        <v>236</v>
      </c>
      <c r="M10" s="47" t="s">
        <v>237</v>
      </c>
      <c r="N10" s="48" t="s">
        <v>238</v>
      </c>
    </row>
    <row r="11" spans="2:14" ht="13.5">
      <c r="B11" s="49"/>
      <c r="C11" s="258"/>
      <c r="D11" s="258"/>
      <c r="E11" s="258"/>
      <c r="F11" s="258"/>
      <c r="G11" s="258"/>
      <c r="H11" s="258"/>
      <c r="I11" s="258"/>
      <c r="J11" s="258"/>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260"/>
    </row>
    <row r="14" spans="2:14" ht="13.5">
      <c r="B14" s="54"/>
      <c r="C14" s="55"/>
      <c r="D14" s="259"/>
      <c r="E14" s="259"/>
      <c r="F14" s="259"/>
      <c r="G14" s="259"/>
      <c r="H14" s="55"/>
      <c r="I14" s="259"/>
      <c r="J14" s="55"/>
      <c r="K14" s="259"/>
      <c r="L14" s="1811"/>
      <c r="M14" s="1811"/>
      <c r="N14" s="1812"/>
    </row>
    <row r="15" spans="2:14" ht="13.5">
      <c r="B15" s="54"/>
      <c r="C15" s="55"/>
      <c r="D15" s="259"/>
      <c r="E15" s="259"/>
      <c r="F15" s="259"/>
      <c r="G15" s="259"/>
      <c r="H15" s="55"/>
      <c r="I15" s="259"/>
      <c r="J15" s="55"/>
      <c r="K15" s="259"/>
      <c r="L15" s="259"/>
      <c r="M15" s="259"/>
      <c r="N15" s="260"/>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264"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261"/>
      <c r="E22" s="261"/>
      <c r="F22" s="261"/>
      <c r="G22" s="261"/>
      <c r="H22" s="261"/>
      <c r="I22" s="261"/>
      <c r="J22" s="261"/>
      <c r="K22" s="261"/>
      <c r="L22" s="261"/>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26.25" customHeight="1"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13.5" thickBot="1">
      <c r="B34" s="176" t="s">
        <v>535</v>
      </c>
      <c r="C34" s="1885" t="s">
        <v>572</v>
      </c>
      <c r="D34" s="1887"/>
      <c r="E34" s="1887"/>
      <c r="F34" s="1887"/>
      <c r="G34" s="1887"/>
      <c r="H34" s="1887"/>
      <c r="I34" s="1887"/>
      <c r="J34" s="1887"/>
      <c r="K34" s="1886"/>
      <c r="L34" s="1885" t="s">
        <v>82</v>
      </c>
      <c r="M34" s="1886"/>
      <c r="N34" s="203">
        <v>46879</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c r="B39" s="1839" t="s">
        <v>77</v>
      </c>
      <c r="C39" s="1840"/>
      <c r="D39" s="1840"/>
      <c r="E39" s="1840"/>
      <c r="F39" s="1841"/>
      <c r="G39" s="1842"/>
      <c r="H39" s="1841"/>
      <c r="I39" s="1842"/>
      <c r="J39" s="1841"/>
      <c r="K39" s="88"/>
      <c r="L39" s="1922"/>
      <c r="M39" s="1923"/>
      <c r="N39" s="89">
        <v>756.31700000000001</v>
      </c>
    </row>
    <row r="40" spans="2:14">
      <c r="B40" s="1839"/>
      <c r="C40" s="1840"/>
      <c r="D40" s="1840"/>
      <c r="E40" s="1840"/>
      <c r="F40" s="1841"/>
      <c r="G40" s="1842"/>
      <c r="H40" s="1841"/>
      <c r="I40" s="1842"/>
      <c r="J40" s="1841"/>
      <c r="K40" s="88"/>
      <c r="L40" s="1924"/>
      <c r="M40" s="1925"/>
      <c r="N40" s="89"/>
    </row>
    <row r="41" spans="2:14">
      <c r="B41" s="1839"/>
      <c r="C41" s="1840"/>
      <c r="D41" s="1840"/>
      <c r="E41" s="1840"/>
      <c r="F41" s="1841"/>
      <c r="G41" s="1842"/>
      <c r="H41" s="1841"/>
      <c r="I41" s="1842"/>
      <c r="J41" s="1841"/>
      <c r="K41" s="88"/>
      <c r="L41" s="1924"/>
      <c r="M41" s="1925"/>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756.31700000000001</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257" t="s">
        <v>38</v>
      </c>
      <c r="K47" s="178" t="s">
        <v>115</v>
      </c>
      <c r="L47" s="1829" t="s">
        <v>190</v>
      </c>
      <c r="M47" s="1832"/>
      <c r="N47" s="179" t="s">
        <v>191</v>
      </c>
    </row>
    <row r="48" spans="2:14">
      <c r="B48" s="1839" t="s">
        <v>531</v>
      </c>
      <c r="C48" s="1840"/>
      <c r="D48" s="1840"/>
      <c r="E48" s="1840"/>
      <c r="F48" s="1840"/>
      <c r="G48" s="1840"/>
      <c r="H48" s="1840"/>
      <c r="I48" s="1841"/>
      <c r="J48" s="129" t="s">
        <v>38</v>
      </c>
      <c r="K48" s="1421">
        <v>1</v>
      </c>
      <c r="L48" s="1931">
        <v>15000</v>
      </c>
      <c r="M48" s="1932"/>
      <c r="N48" s="89">
        <v>15000</v>
      </c>
    </row>
    <row r="49" spans="2:14">
      <c r="B49" s="1839" t="s">
        <v>27</v>
      </c>
      <c r="C49" s="1840"/>
      <c r="D49" s="1840"/>
      <c r="E49" s="1840"/>
      <c r="F49" s="1840"/>
      <c r="G49" s="1840"/>
      <c r="H49" s="1840"/>
      <c r="I49" s="1841"/>
      <c r="J49" s="131" t="s">
        <v>40</v>
      </c>
      <c r="K49" s="1422">
        <v>0.1</v>
      </c>
      <c r="L49" s="1931">
        <v>38083</v>
      </c>
      <c r="M49" s="1932"/>
      <c r="N49" s="89">
        <v>3808.3</v>
      </c>
    </row>
    <row r="50" spans="2:14">
      <c r="B50" s="1839" t="s">
        <v>532</v>
      </c>
      <c r="C50" s="1840"/>
      <c r="D50" s="1840"/>
      <c r="E50" s="1840"/>
      <c r="F50" s="1840"/>
      <c r="G50" s="1840"/>
      <c r="H50" s="1840"/>
      <c r="I50" s="1841"/>
      <c r="J50" s="129" t="s">
        <v>79</v>
      </c>
      <c r="K50" s="1421">
        <v>1</v>
      </c>
      <c r="L50" s="1931">
        <v>2000</v>
      </c>
      <c r="M50" s="1932"/>
      <c r="N50" s="89">
        <v>2000</v>
      </c>
    </row>
    <row r="51" spans="2:14">
      <c r="B51" s="1839" t="s">
        <v>533</v>
      </c>
      <c r="C51" s="1840"/>
      <c r="D51" s="1840"/>
      <c r="E51" s="1840"/>
      <c r="F51" s="1840"/>
      <c r="G51" s="1840"/>
      <c r="H51" s="1840"/>
      <c r="I51" s="1841"/>
      <c r="J51" s="129" t="s">
        <v>79</v>
      </c>
      <c r="K51" s="1421">
        <v>0.1</v>
      </c>
      <c r="L51" s="1931">
        <v>2500</v>
      </c>
      <c r="M51" s="1932"/>
      <c r="N51" s="89">
        <v>250</v>
      </c>
    </row>
    <row r="52" spans="2:14">
      <c r="B52" s="1839" t="s">
        <v>534</v>
      </c>
      <c r="C52" s="1840"/>
      <c r="D52" s="1840"/>
      <c r="E52" s="1840"/>
      <c r="F52" s="1840"/>
      <c r="G52" s="1840"/>
      <c r="H52" s="1840"/>
      <c r="I52" s="1841"/>
      <c r="J52" s="139" t="s">
        <v>79</v>
      </c>
      <c r="K52" s="1423">
        <v>0.05</v>
      </c>
      <c r="L52" s="1931">
        <v>35000</v>
      </c>
      <c r="M52" s="1932"/>
      <c r="N52" s="89">
        <v>1750</v>
      </c>
    </row>
    <row r="53" spans="2:14">
      <c r="B53" s="1839" t="s">
        <v>73</v>
      </c>
      <c r="C53" s="1840"/>
      <c r="D53" s="1840"/>
      <c r="E53" s="1840"/>
      <c r="F53" s="1840"/>
      <c r="G53" s="1840"/>
      <c r="H53" s="1840"/>
      <c r="I53" s="1841"/>
      <c r="J53" s="129" t="s">
        <v>204</v>
      </c>
      <c r="K53" s="1421">
        <v>11</v>
      </c>
      <c r="L53" s="1931">
        <v>80</v>
      </c>
      <c r="M53" s="1932"/>
      <c r="N53" s="89">
        <v>880</v>
      </c>
    </row>
    <row r="54" spans="2:14" ht="13.5" thickBot="1">
      <c r="B54" s="1839"/>
      <c r="C54" s="1840"/>
      <c r="D54" s="1840"/>
      <c r="E54" s="1840"/>
      <c r="F54" s="1840"/>
      <c r="G54" s="1840"/>
      <c r="H54" s="1840"/>
      <c r="I54" s="1841"/>
      <c r="J54" s="131"/>
      <c r="K54" s="132"/>
      <c r="L54" s="1852"/>
      <c r="M54" s="1853"/>
      <c r="N54" s="89"/>
    </row>
    <row r="55" spans="2:14" ht="14.25" thickBot="1">
      <c r="B55" s="1848" t="s">
        <v>188</v>
      </c>
      <c r="C55" s="1849"/>
      <c r="D55" s="1849"/>
      <c r="E55" s="1849"/>
      <c r="F55" s="1849"/>
      <c r="G55" s="1849"/>
      <c r="H55" s="1849"/>
      <c r="I55" s="1849"/>
      <c r="J55" s="1849"/>
      <c r="K55" s="1849"/>
      <c r="L55" s="1849"/>
      <c r="M55" s="1850"/>
      <c r="N55" s="99">
        <v>23688.3</v>
      </c>
    </row>
    <row r="56" spans="2:14">
      <c r="B56" s="1766" t="s">
        <v>51</v>
      </c>
      <c r="C56" s="1767"/>
      <c r="D56" s="1767"/>
      <c r="E56" s="1767"/>
      <c r="F56" s="1767"/>
      <c r="G56" s="1767"/>
      <c r="H56" s="1767"/>
      <c r="I56" s="1767"/>
      <c r="J56" s="1767"/>
      <c r="K56" s="1767"/>
      <c r="L56" s="1767"/>
      <c r="M56" s="1767"/>
      <c r="N56" s="1768"/>
    </row>
    <row r="57" spans="2:14">
      <c r="B57" s="1766"/>
      <c r="C57" s="1767"/>
      <c r="D57" s="1767"/>
      <c r="E57" s="1767"/>
      <c r="F57" s="1767"/>
      <c r="G57" s="1767"/>
      <c r="H57" s="1767"/>
      <c r="I57" s="1767"/>
      <c r="J57" s="1767"/>
      <c r="K57" s="1767"/>
      <c r="L57" s="1767"/>
      <c r="M57" s="1767"/>
      <c r="N57" s="1768"/>
    </row>
    <row r="58" spans="2:14" ht="13.5" thickBot="1">
      <c r="B58" s="1769"/>
      <c r="C58" s="1770"/>
      <c r="D58" s="1770"/>
      <c r="E58" s="1770"/>
      <c r="F58" s="1770"/>
      <c r="G58" s="1770"/>
      <c r="H58" s="1770"/>
      <c r="I58" s="1770"/>
      <c r="J58" s="1770"/>
      <c r="K58" s="1770"/>
      <c r="L58" s="1770"/>
      <c r="M58" s="1770"/>
      <c r="N58" s="1771"/>
    </row>
    <row r="59" spans="2:14" ht="13.5">
      <c r="B59" s="1826" t="s">
        <v>192</v>
      </c>
      <c r="C59" s="1851"/>
      <c r="D59" s="1851"/>
      <c r="E59" s="1851"/>
      <c r="F59" s="1851"/>
      <c r="G59" s="1851"/>
      <c r="H59" s="1851"/>
      <c r="I59" s="178" t="s">
        <v>193</v>
      </c>
      <c r="J59" s="252" t="s">
        <v>194</v>
      </c>
      <c r="K59" s="182" t="s">
        <v>310</v>
      </c>
      <c r="L59" s="1829" t="s">
        <v>39</v>
      </c>
      <c r="M59" s="1832"/>
      <c r="N59" s="179" t="s">
        <v>191</v>
      </c>
    </row>
    <row r="60" spans="2:14">
      <c r="B60" s="1839"/>
      <c r="C60" s="1840"/>
      <c r="D60" s="1840"/>
      <c r="E60" s="1840"/>
      <c r="F60" s="1840"/>
      <c r="G60" s="1840"/>
      <c r="H60" s="1841"/>
      <c r="I60" s="96"/>
      <c r="J60" s="133"/>
      <c r="K60" s="134"/>
      <c r="L60" s="1859"/>
      <c r="M60" s="1860"/>
      <c r="N60" s="135"/>
    </row>
    <row r="61" spans="2:14">
      <c r="B61" s="1839"/>
      <c r="C61" s="1840"/>
      <c r="D61" s="1840"/>
      <c r="E61" s="1840"/>
      <c r="F61" s="1840"/>
      <c r="G61" s="1840"/>
      <c r="H61" s="1841"/>
      <c r="I61" s="96"/>
      <c r="J61" s="133"/>
      <c r="K61" s="134"/>
      <c r="L61" s="1859"/>
      <c r="M61" s="1860"/>
      <c r="N61" s="135"/>
    </row>
    <row r="62" spans="2:14" ht="13.5" thickBot="1">
      <c r="B62" s="1834"/>
      <c r="C62" s="1835"/>
      <c r="D62" s="1835"/>
      <c r="E62" s="1835"/>
      <c r="F62" s="1835"/>
      <c r="G62" s="1835"/>
      <c r="H62" s="1836"/>
      <c r="I62" s="136"/>
      <c r="J62" s="137"/>
      <c r="K62" s="100"/>
      <c r="L62" s="1837"/>
      <c r="M62" s="1838"/>
      <c r="N62" s="135"/>
    </row>
    <row r="63" spans="2:14" ht="14.25" thickBot="1">
      <c r="B63" s="1848" t="s">
        <v>188</v>
      </c>
      <c r="C63" s="1849"/>
      <c r="D63" s="1849"/>
      <c r="E63" s="1849"/>
      <c r="F63" s="1849"/>
      <c r="G63" s="1849"/>
      <c r="H63" s="1849"/>
      <c r="I63" s="1849"/>
      <c r="J63" s="1849"/>
      <c r="K63" s="1849"/>
      <c r="L63" s="1849"/>
      <c r="M63" s="1850"/>
      <c r="N63" s="112">
        <v>0</v>
      </c>
    </row>
    <row r="64" spans="2:14">
      <c r="B64" s="1766" t="s">
        <v>52</v>
      </c>
      <c r="C64" s="1767"/>
      <c r="D64" s="1767"/>
      <c r="E64" s="1767"/>
      <c r="F64" s="1767"/>
      <c r="G64" s="1767"/>
      <c r="H64" s="1767"/>
      <c r="I64" s="1767"/>
      <c r="J64" s="1767"/>
      <c r="K64" s="1767"/>
      <c r="L64" s="1767"/>
      <c r="M64" s="1767"/>
      <c r="N64" s="1768"/>
    </row>
    <row r="65" spans="2:14">
      <c r="B65" s="1766"/>
      <c r="C65" s="1767"/>
      <c r="D65" s="1767"/>
      <c r="E65" s="1767"/>
      <c r="F65" s="1767"/>
      <c r="G65" s="1767"/>
      <c r="H65" s="1767"/>
      <c r="I65" s="1767"/>
      <c r="J65" s="1767"/>
      <c r="K65" s="1767"/>
      <c r="L65" s="1767"/>
      <c r="M65" s="1767"/>
      <c r="N65" s="1768"/>
    </row>
    <row r="66" spans="2:14" ht="13.5" thickBot="1">
      <c r="B66" s="1769"/>
      <c r="C66" s="1770"/>
      <c r="D66" s="1770"/>
      <c r="E66" s="1770"/>
      <c r="F66" s="1770"/>
      <c r="G66" s="1770"/>
      <c r="H66" s="1770"/>
      <c r="I66" s="1770"/>
      <c r="J66" s="1770"/>
      <c r="K66" s="1770"/>
      <c r="L66" s="1770"/>
      <c r="M66" s="1770"/>
      <c r="N66" s="1771"/>
    </row>
    <row r="67" spans="2:14" ht="13.5">
      <c r="B67" s="1826" t="s">
        <v>195</v>
      </c>
      <c r="C67" s="1851"/>
      <c r="D67" s="1851"/>
      <c r="E67" s="1851"/>
      <c r="F67" s="1851"/>
      <c r="G67" s="1851"/>
      <c r="H67" s="1851"/>
      <c r="I67" s="178" t="s">
        <v>196</v>
      </c>
      <c r="J67" s="252" t="s">
        <v>46</v>
      </c>
      <c r="K67" s="182" t="s">
        <v>197</v>
      </c>
      <c r="L67" s="1829" t="s">
        <v>186</v>
      </c>
      <c r="M67" s="1832"/>
      <c r="N67" s="179" t="s">
        <v>191</v>
      </c>
    </row>
    <row r="68" spans="2:14">
      <c r="B68" s="262" t="s">
        <v>62</v>
      </c>
      <c r="C68" s="263"/>
      <c r="D68" s="263"/>
      <c r="E68" s="263"/>
      <c r="F68" s="263"/>
      <c r="G68" s="263"/>
      <c r="H68" s="263"/>
      <c r="I68" s="107">
        <v>82200</v>
      </c>
      <c r="J68" s="108">
        <v>1.85</v>
      </c>
      <c r="K68" s="109">
        <v>152070</v>
      </c>
      <c r="L68" s="1861">
        <v>15</v>
      </c>
      <c r="M68" s="1862"/>
      <c r="N68" s="110">
        <v>10138</v>
      </c>
    </row>
    <row r="69" spans="2:14">
      <c r="B69" s="262" t="s">
        <v>17</v>
      </c>
      <c r="C69" s="263"/>
      <c r="D69" s="263"/>
      <c r="E69" s="263"/>
      <c r="F69" s="263"/>
      <c r="G69" s="263"/>
      <c r="H69" s="263"/>
      <c r="I69" s="107">
        <v>40446</v>
      </c>
      <c r="J69" s="108">
        <v>1.85</v>
      </c>
      <c r="K69" s="109">
        <v>74825.100000000006</v>
      </c>
      <c r="L69" s="1861">
        <v>15</v>
      </c>
      <c r="M69" s="1862"/>
      <c r="N69" s="110">
        <v>4988.34</v>
      </c>
    </row>
    <row r="70" spans="2:14">
      <c r="B70" s="262"/>
      <c r="C70" s="263"/>
      <c r="D70" s="263"/>
      <c r="E70" s="263"/>
      <c r="F70" s="263"/>
      <c r="G70" s="263"/>
      <c r="H70" s="263"/>
      <c r="I70" s="107"/>
      <c r="J70" s="108"/>
      <c r="K70" s="109"/>
      <c r="L70" s="1859"/>
      <c r="M70" s="1860"/>
      <c r="N70" s="110"/>
    </row>
    <row r="71" spans="2:14" ht="13.5" thickBot="1">
      <c r="B71" s="1834"/>
      <c r="C71" s="1835"/>
      <c r="D71" s="1835"/>
      <c r="E71" s="1835"/>
      <c r="F71" s="1835"/>
      <c r="G71" s="1835"/>
      <c r="H71" s="1835"/>
      <c r="I71" s="102"/>
      <c r="J71" s="87"/>
      <c r="K71" s="102"/>
      <c r="L71" s="1837"/>
      <c r="M71" s="1838"/>
      <c r="N71" s="111"/>
    </row>
    <row r="72" spans="2:14" ht="14.25" thickBot="1">
      <c r="B72" s="1848" t="s">
        <v>188</v>
      </c>
      <c r="C72" s="1849"/>
      <c r="D72" s="1849"/>
      <c r="E72" s="1849"/>
      <c r="F72" s="1849"/>
      <c r="G72" s="1849"/>
      <c r="H72" s="1849"/>
      <c r="I72" s="1849"/>
      <c r="J72" s="1849"/>
      <c r="K72" s="1849"/>
      <c r="L72" s="1849"/>
      <c r="M72" s="1850"/>
      <c r="N72" s="112">
        <v>15126.34</v>
      </c>
    </row>
    <row r="73" spans="2:14" ht="13.5" thickBot="1">
      <c r="B73" s="85"/>
      <c r="C73" s="66"/>
      <c r="D73" s="66"/>
      <c r="E73" s="66"/>
      <c r="F73" s="66"/>
      <c r="G73" s="66"/>
      <c r="H73" s="66"/>
      <c r="I73" s="66"/>
      <c r="J73" s="66"/>
      <c r="K73" s="66"/>
      <c r="L73" s="66"/>
      <c r="M73" s="66"/>
      <c r="N73" s="73"/>
    </row>
    <row r="74" spans="2:14" ht="13.5" thickBot="1">
      <c r="B74" s="1854" t="s">
        <v>198</v>
      </c>
      <c r="C74" s="1855"/>
      <c r="D74" s="1855"/>
      <c r="E74" s="1855"/>
      <c r="F74" s="1855"/>
      <c r="G74" s="1855"/>
      <c r="H74" s="1855"/>
      <c r="I74" s="1855"/>
      <c r="J74" s="1855"/>
      <c r="K74" s="1855"/>
      <c r="L74" s="1855"/>
      <c r="M74" s="1856"/>
      <c r="N74" s="186">
        <v>39570.957000000002</v>
      </c>
    </row>
    <row r="75" spans="2:14">
      <c r="B75" s="1766" t="s">
        <v>53</v>
      </c>
      <c r="C75" s="1767"/>
      <c r="D75" s="1767"/>
      <c r="E75" s="1767"/>
      <c r="F75" s="1767"/>
      <c r="G75" s="1767"/>
      <c r="H75" s="1767"/>
      <c r="I75" s="1767"/>
      <c r="J75" s="1767"/>
      <c r="K75" s="1767"/>
      <c r="L75" s="1767"/>
      <c r="M75" s="1767"/>
      <c r="N75" s="1768"/>
    </row>
    <row r="76" spans="2:14">
      <c r="B76" s="1766"/>
      <c r="C76" s="1767"/>
      <c r="D76" s="1767"/>
      <c r="E76" s="1767"/>
      <c r="F76" s="1767"/>
      <c r="G76" s="1767"/>
      <c r="H76" s="1767"/>
      <c r="I76" s="1767"/>
      <c r="J76" s="1767"/>
      <c r="K76" s="1767"/>
      <c r="L76" s="1767"/>
      <c r="M76" s="1767"/>
      <c r="N76" s="1768"/>
    </row>
    <row r="77" spans="2:14" ht="13.5" thickBot="1">
      <c r="B77" s="1769"/>
      <c r="C77" s="1770"/>
      <c r="D77" s="1770"/>
      <c r="E77" s="1770"/>
      <c r="F77" s="1770"/>
      <c r="G77" s="1770"/>
      <c r="H77" s="1770"/>
      <c r="I77" s="1770"/>
      <c r="J77" s="1770"/>
      <c r="K77" s="1770"/>
      <c r="L77" s="1770"/>
      <c r="M77" s="1770"/>
      <c r="N77" s="1771"/>
    </row>
    <row r="78" spans="2:14" ht="13.5">
      <c r="B78" s="1826" t="s">
        <v>50</v>
      </c>
      <c r="C78" s="1851"/>
      <c r="D78" s="1851"/>
      <c r="E78" s="1851"/>
      <c r="F78" s="1851"/>
      <c r="G78" s="1851"/>
      <c r="H78" s="1851"/>
      <c r="I78" s="252"/>
      <c r="J78" s="253"/>
      <c r="K78" s="184" t="s">
        <v>54</v>
      </c>
      <c r="L78" s="1857" t="s">
        <v>55</v>
      </c>
      <c r="M78" s="1858"/>
      <c r="N78" s="185"/>
    </row>
    <row r="79" spans="2:14">
      <c r="B79" s="1839" t="s">
        <v>44</v>
      </c>
      <c r="C79" s="1840"/>
      <c r="D79" s="1840"/>
      <c r="E79" s="1840"/>
      <c r="F79" s="1840"/>
      <c r="G79" s="1840"/>
      <c r="H79" s="1840"/>
      <c r="I79" s="113"/>
      <c r="J79" s="114"/>
      <c r="K79" s="192">
        <v>0.22</v>
      </c>
      <c r="L79" s="1877">
        <v>8705.6105399999997</v>
      </c>
      <c r="M79" s="1878"/>
      <c r="N79" s="115"/>
    </row>
    <row r="80" spans="2:14">
      <c r="B80" s="116" t="s">
        <v>56</v>
      </c>
      <c r="C80" s="117"/>
      <c r="D80" s="117"/>
      <c r="E80" s="117"/>
      <c r="F80" s="117"/>
      <c r="G80" s="117"/>
      <c r="H80" s="117"/>
      <c r="I80" s="113"/>
      <c r="J80" s="114"/>
      <c r="K80" s="192">
        <v>0.05</v>
      </c>
      <c r="L80" s="1877">
        <v>1978.5478500000002</v>
      </c>
      <c r="M80" s="1878"/>
      <c r="N80" s="115"/>
    </row>
    <row r="81" spans="2:14" ht="13.5" thickBot="1">
      <c r="B81" s="254" t="s">
        <v>45</v>
      </c>
      <c r="C81" s="255"/>
      <c r="D81" s="255"/>
      <c r="E81" s="255"/>
      <c r="F81" s="255"/>
      <c r="G81" s="255"/>
      <c r="H81" s="255"/>
      <c r="I81" s="120"/>
      <c r="J81" s="121"/>
      <c r="K81" s="192">
        <v>0.05</v>
      </c>
      <c r="L81" s="1879">
        <v>1978.5478500000002</v>
      </c>
      <c r="M81" s="1880"/>
      <c r="N81" s="115"/>
    </row>
    <row r="82" spans="2:14" ht="14.25" thickBot="1">
      <c r="B82" s="1848" t="s">
        <v>188</v>
      </c>
      <c r="C82" s="1849"/>
      <c r="D82" s="1849"/>
      <c r="E82" s="1849"/>
      <c r="F82" s="1849"/>
      <c r="G82" s="1849"/>
      <c r="H82" s="1849"/>
      <c r="I82" s="1849"/>
      <c r="J82" s="1849"/>
      <c r="K82" s="1849"/>
      <c r="L82" s="1849"/>
      <c r="M82" s="1850"/>
      <c r="N82" s="122">
        <v>12662.706240000001</v>
      </c>
    </row>
    <row r="83" spans="2:14" ht="13.5" thickBot="1">
      <c r="B83" s="85"/>
      <c r="C83" s="66"/>
      <c r="D83" s="66"/>
      <c r="E83" s="66"/>
      <c r="F83" s="66"/>
      <c r="G83" s="66"/>
      <c r="H83" s="66"/>
      <c r="I83" s="66"/>
      <c r="J83" s="66"/>
      <c r="K83" s="66"/>
      <c r="L83" s="66"/>
      <c r="M83" s="66"/>
      <c r="N83" s="73"/>
    </row>
    <row r="84" spans="2:14" ht="13.5" thickBot="1">
      <c r="B84" s="1854" t="s">
        <v>199</v>
      </c>
      <c r="C84" s="1855"/>
      <c r="D84" s="1855"/>
      <c r="E84" s="1855"/>
      <c r="F84" s="1855"/>
      <c r="G84" s="1855"/>
      <c r="H84" s="1855"/>
      <c r="I84" s="1855"/>
      <c r="J84" s="1855"/>
      <c r="K84" s="1855"/>
      <c r="L84" s="1855"/>
      <c r="M84" s="1856"/>
      <c r="N84" s="188">
        <v>52234</v>
      </c>
    </row>
    <row r="85" spans="2:14">
      <c r="B85" s="64"/>
      <c r="C85" s="65"/>
      <c r="D85" s="65"/>
      <c r="E85" s="65"/>
      <c r="F85" s="65"/>
      <c r="G85" s="65"/>
      <c r="H85" s="65"/>
      <c r="I85" s="65"/>
      <c r="J85" s="65"/>
      <c r="K85" s="65"/>
      <c r="L85" s="65"/>
      <c r="M85" s="65"/>
      <c r="N85" s="67"/>
    </row>
    <row r="86" spans="2:14">
      <c r="B86" s="85"/>
      <c r="C86" s="66"/>
      <c r="D86" s="66"/>
      <c r="E86" s="66"/>
      <c r="F86" s="66"/>
      <c r="G86" s="66"/>
      <c r="H86" s="66"/>
      <c r="I86" s="66"/>
      <c r="J86" s="66"/>
      <c r="K86" s="66"/>
      <c r="L86" s="66"/>
      <c r="M86" s="66"/>
      <c r="N86" s="73"/>
    </row>
    <row r="87" spans="2:14">
      <c r="B87" s="85"/>
      <c r="C87" s="66"/>
      <c r="D87" s="66"/>
      <c r="E87" s="66"/>
      <c r="F87" s="66"/>
      <c r="G87" s="66"/>
      <c r="H87" s="66"/>
      <c r="I87" s="66"/>
      <c r="J87" s="66"/>
      <c r="K87" s="66"/>
      <c r="L87" s="66"/>
      <c r="M87" s="66"/>
      <c r="N87" s="73"/>
    </row>
    <row r="88" spans="2:14">
      <c r="B88" s="85"/>
      <c r="C88" s="66"/>
      <c r="D88" s="66"/>
      <c r="E88" s="66"/>
      <c r="F88" s="66"/>
      <c r="G88" s="71" t="s">
        <v>249</v>
      </c>
      <c r="H88" s="71"/>
      <c r="I88" s="71"/>
      <c r="J88" s="71"/>
      <c r="K88" s="66"/>
      <c r="L88" s="66"/>
      <c r="M88" s="66"/>
      <c r="N88" s="73"/>
    </row>
    <row r="89" spans="2:14" ht="13.5">
      <c r="B89" s="123"/>
      <c r="C89" s="124"/>
      <c r="D89" s="124"/>
      <c r="E89" s="124"/>
      <c r="F89" s="124"/>
      <c r="G89" s="71" t="s">
        <v>250</v>
      </c>
      <c r="H89" s="124"/>
      <c r="I89" s="124"/>
      <c r="J89" s="124"/>
      <c r="K89" s="124"/>
      <c r="L89" s="124"/>
      <c r="M89" s="124"/>
      <c r="N89" s="125"/>
    </row>
    <row r="90" spans="2:14" ht="13.5">
      <c r="B90" s="123"/>
      <c r="C90" s="124"/>
      <c r="D90" s="124"/>
      <c r="E90" s="124"/>
      <c r="F90" s="124"/>
      <c r="G90" s="71" t="s">
        <v>251</v>
      </c>
      <c r="J90" s="124"/>
      <c r="K90" s="124"/>
      <c r="L90" s="124"/>
      <c r="M90" s="124"/>
      <c r="N90" s="125"/>
    </row>
    <row r="91" spans="2:14">
      <c r="B91" s="49"/>
      <c r="C91" s="81"/>
      <c r="D91" s="81"/>
      <c r="E91" s="81"/>
      <c r="F91" s="81"/>
      <c r="G91" s="71" t="s">
        <v>252</v>
      </c>
      <c r="H91" s="81"/>
      <c r="I91" s="81"/>
      <c r="J91" s="81"/>
      <c r="K91" s="81"/>
      <c r="L91" s="81"/>
      <c r="M91" s="81"/>
      <c r="N91" s="79"/>
    </row>
    <row r="92" spans="2:14">
      <c r="B92" s="85"/>
      <c r="C92" s="66"/>
      <c r="D92" s="66"/>
      <c r="E92" s="66"/>
      <c r="F92" s="66"/>
      <c r="G92" s="66" t="s">
        <v>253</v>
      </c>
      <c r="H92" s="66"/>
      <c r="I92" s="66"/>
      <c r="J92" s="66"/>
      <c r="K92" s="66"/>
      <c r="L92" s="66"/>
      <c r="M92" s="66"/>
      <c r="N92" s="73"/>
    </row>
    <row r="93" spans="2:14" ht="13.5">
      <c r="B93" s="92" t="s">
        <v>254</v>
      </c>
      <c r="C93" s="93"/>
      <c r="D93" s="93"/>
      <c r="E93" s="93"/>
      <c r="F93" s="93"/>
      <c r="G93" s="93"/>
      <c r="H93" s="93"/>
      <c r="I93" s="93"/>
      <c r="J93" s="93"/>
      <c r="K93" s="93"/>
      <c r="L93" s="93"/>
      <c r="M93" s="93"/>
      <c r="N93" s="94"/>
    </row>
    <row r="94" spans="2:14">
      <c r="B94" s="1874"/>
      <c r="C94" s="1875"/>
      <c r="D94" s="1875"/>
      <c r="E94" s="1875"/>
      <c r="F94" s="1875"/>
      <c r="G94" s="1875"/>
      <c r="H94" s="1875"/>
      <c r="I94" s="1875"/>
      <c r="J94" s="1875"/>
      <c r="K94" s="1875"/>
      <c r="L94" s="1875"/>
      <c r="M94" s="1875"/>
      <c r="N94" s="1876"/>
    </row>
    <row r="95" spans="2:14">
      <c r="B95" s="1874"/>
      <c r="C95" s="1875"/>
      <c r="D95" s="1875"/>
      <c r="E95" s="1875"/>
      <c r="F95" s="1875"/>
      <c r="G95" s="1875"/>
      <c r="H95" s="1875"/>
      <c r="I95" s="1875"/>
      <c r="J95" s="1875"/>
      <c r="K95" s="1875"/>
      <c r="L95" s="1875"/>
      <c r="M95" s="1875"/>
      <c r="N95" s="1876"/>
    </row>
    <row r="96" spans="2:14">
      <c r="B96" s="49"/>
      <c r="C96" s="81"/>
      <c r="D96" s="81"/>
      <c r="E96" s="81"/>
      <c r="F96" s="81"/>
      <c r="G96" s="81"/>
      <c r="H96" s="81"/>
      <c r="I96" s="81"/>
      <c r="J96" s="81"/>
      <c r="K96" s="81"/>
      <c r="L96" s="81"/>
      <c r="M96" s="81"/>
      <c r="N96" s="79"/>
    </row>
    <row r="97" spans="2:14">
      <c r="B97" s="406" t="s">
        <v>719</v>
      </c>
      <c r="C97" s="81"/>
      <c r="D97" s="81"/>
      <c r="E97" s="81"/>
      <c r="F97" s="81"/>
      <c r="G97" s="81"/>
      <c r="H97" s="81"/>
      <c r="I97" s="81"/>
      <c r="J97" s="81"/>
      <c r="K97" s="81"/>
      <c r="L97" s="81"/>
      <c r="M97" s="81"/>
      <c r="N97" s="79"/>
    </row>
    <row r="98" spans="2:14" ht="12.75" customHeight="1">
      <c r="B98" s="1871" t="s">
        <v>720</v>
      </c>
      <c r="C98" s="1872"/>
      <c r="D98" s="1872"/>
      <c r="E98" s="1872"/>
      <c r="F98" s="1872"/>
      <c r="G98" s="1872"/>
      <c r="H98" s="1872"/>
      <c r="I98" s="1872"/>
      <c r="J98" s="1872"/>
      <c r="K98" s="1872"/>
      <c r="L98" s="1872"/>
      <c r="M98" s="1872"/>
      <c r="N98" s="1873"/>
    </row>
    <row r="99" spans="2:14">
      <c r="B99" s="1871"/>
      <c r="C99" s="1872"/>
      <c r="D99" s="1872"/>
      <c r="E99" s="1872"/>
      <c r="F99" s="1872"/>
      <c r="G99" s="1872"/>
      <c r="H99" s="1872"/>
      <c r="I99" s="1872"/>
      <c r="J99" s="1872"/>
      <c r="K99" s="1872"/>
      <c r="L99" s="1872"/>
      <c r="M99" s="1872"/>
      <c r="N99" s="1873"/>
    </row>
    <row r="100" spans="2:14">
      <c r="B100" s="1871" t="s">
        <v>721</v>
      </c>
      <c r="C100" s="1872"/>
      <c r="D100" s="1872"/>
      <c r="E100" s="1872"/>
      <c r="F100" s="1872"/>
      <c r="G100" s="1872"/>
      <c r="H100" s="1872"/>
      <c r="I100" s="1872"/>
      <c r="J100" s="1872"/>
      <c r="K100" s="1872"/>
      <c r="L100" s="1872"/>
      <c r="M100" s="1872"/>
      <c r="N100" s="1873"/>
    </row>
    <row r="101" spans="2:14">
      <c r="B101" s="1871"/>
      <c r="C101" s="1872"/>
      <c r="D101" s="1872"/>
      <c r="E101" s="1872"/>
      <c r="F101" s="1872"/>
      <c r="G101" s="1872"/>
      <c r="H101" s="1872"/>
      <c r="I101" s="1872"/>
      <c r="J101" s="1872"/>
      <c r="K101" s="1872"/>
      <c r="L101" s="1872"/>
      <c r="M101" s="1872"/>
      <c r="N101" s="1873"/>
    </row>
    <row r="102" spans="2:14">
      <c r="B102" s="49"/>
      <c r="C102" s="81"/>
      <c r="D102" s="81"/>
      <c r="E102" s="81"/>
      <c r="F102" s="81"/>
      <c r="G102" s="81"/>
      <c r="H102" s="81"/>
      <c r="I102" s="81"/>
      <c r="J102" s="81"/>
      <c r="K102" s="81"/>
      <c r="L102" s="81"/>
      <c r="M102" s="81"/>
      <c r="N102" s="79"/>
    </row>
    <row r="103" spans="2:14">
      <c r="B103" s="85"/>
      <c r="C103" s="66"/>
      <c r="D103" s="66"/>
      <c r="E103" s="66"/>
      <c r="F103" s="66"/>
      <c r="G103" s="71" t="s">
        <v>249</v>
      </c>
      <c r="H103" s="66"/>
      <c r="I103" s="66"/>
      <c r="J103" s="66"/>
      <c r="K103" s="66"/>
      <c r="L103" s="66"/>
      <c r="M103" s="66"/>
      <c r="N103" s="73"/>
    </row>
    <row r="104" spans="2:14">
      <c r="B104" s="85"/>
      <c r="C104" s="66"/>
      <c r="D104" s="66"/>
      <c r="E104" s="66"/>
      <c r="F104" s="66"/>
      <c r="G104" s="66" t="s">
        <v>250</v>
      </c>
      <c r="H104" s="86"/>
      <c r="I104" s="86"/>
      <c r="J104" s="86"/>
      <c r="K104" s="66"/>
      <c r="L104" s="66"/>
      <c r="M104" s="66"/>
      <c r="N104" s="73"/>
    </row>
    <row r="105" spans="2:14">
      <c r="B105" s="85"/>
      <c r="C105" s="66"/>
      <c r="D105" s="66"/>
      <c r="E105" s="66"/>
      <c r="F105" s="66"/>
      <c r="G105" s="66" t="s">
        <v>255</v>
      </c>
      <c r="H105" s="80"/>
      <c r="I105" s="80"/>
      <c r="J105" s="80"/>
      <c r="M105" s="66"/>
      <c r="N105" s="73"/>
    </row>
    <row r="106" spans="2:14">
      <c r="B106" s="127"/>
      <c r="C106" s="81"/>
      <c r="D106" s="81"/>
      <c r="E106" s="81"/>
      <c r="F106" s="81"/>
      <c r="G106" s="66" t="s">
        <v>252</v>
      </c>
      <c r="K106" s="81"/>
      <c r="L106" s="81"/>
      <c r="M106" s="81"/>
      <c r="N106" s="79"/>
    </row>
    <row r="107" spans="2:14" ht="17.25" customHeight="1">
      <c r="B107" s="138" t="s">
        <v>722</v>
      </c>
      <c r="C107" s="128"/>
      <c r="D107" s="128"/>
      <c r="E107" s="66"/>
      <c r="F107" s="66"/>
      <c r="G107" s="66"/>
      <c r="H107" s="66"/>
      <c r="I107" s="66"/>
      <c r="J107" s="1863"/>
      <c r="K107" s="1863"/>
      <c r="L107" s="1863"/>
      <c r="M107" s="1863"/>
      <c r="N107" s="1864"/>
    </row>
    <row r="108" spans="2:14" ht="18.75" customHeight="1" thickBot="1">
      <c r="B108" s="1867" t="s">
        <v>723</v>
      </c>
      <c r="C108" s="1868"/>
      <c r="D108" s="1868"/>
      <c r="E108" s="87"/>
      <c r="F108" s="87"/>
      <c r="G108" s="87"/>
      <c r="H108" s="87"/>
      <c r="I108" s="87"/>
      <c r="J108" s="1865"/>
      <c r="K108" s="1865"/>
      <c r="L108" s="1865"/>
      <c r="M108" s="1865"/>
      <c r="N108" s="1866"/>
    </row>
  </sheetData>
  <mergeCells count="105">
    <mergeCell ref="J107:N108"/>
    <mergeCell ref="B108:D108"/>
    <mergeCell ref="L80:M80"/>
    <mergeCell ref="L81:M81"/>
    <mergeCell ref="B82:M82"/>
    <mergeCell ref="B84:M84"/>
    <mergeCell ref="B94:N94"/>
    <mergeCell ref="B95:N95"/>
    <mergeCell ref="B74:M74"/>
    <mergeCell ref="B75:N77"/>
    <mergeCell ref="B78:H78"/>
    <mergeCell ref="L78:M78"/>
    <mergeCell ref="B79:H79"/>
    <mergeCell ref="L79:M79"/>
    <mergeCell ref="B98:N99"/>
    <mergeCell ref="B100:N101"/>
    <mergeCell ref="L68:M68"/>
    <mergeCell ref="L69:M69"/>
    <mergeCell ref="L70:M70"/>
    <mergeCell ref="B71:H71"/>
    <mergeCell ref="L71:M71"/>
    <mergeCell ref="B72:M72"/>
    <mergeCell ref="B62:H62"/>
    <mergeCell ref="L62:M62"/>
    <mergeCell ref="B63:M63"/>
    <mergeCell ref="B64:N66"/>
    <mergeCell ref="B67:H67"/>
    <mergeCell ref="L67:M67"/>
    <mergeCell ref="B59:H59"/>
    <mergeCell ref="L59:M59"/>
    <mergeCell ref="B60:H60"/>
    <mergeCell ref="L60:M60"/>
    <mergeCell ref="B61:H61"/>
    <mergeCell ref="L61:M61"/>
    <mergeCell ref="B53:I53"/>
    <mergeCell ref="L53:M53"/>
    <mergeCell ref="B54:I54"/>
    <mergeCell ref="L54:M54"/>
    <mergeCell ref="B55:M55"/>
    <mergeCell ref="B56:N58"/>
    <mergeCell ref="B50:I50"/>
    <mergeCell ref="L50:M50"/>
    <mergeCell ref="B51:I51"/>
    <mergeCell ref="L51:M51"/>
    <mergeCell ref="B52:I52"/>
    <mergeCell ref="L52:M52"/>
    <mergeCell ref="B47:I47"/>
    <mergeCell ref="L47:M47"/>
    <mergeCell ref="B48:I48"/>
    <mergeCell ref="L48:M48"/>
    <mergeCell ref="B49:I49"/>
    <mergeCell ref="L49:M49"/>
    <mergeCell ref="B42:F42"/>
    <mergeCell ref="G42:H42"/>
    <mergeCell ref="I42:J42"/>
    <mergeCell ref="L42:M42"/>
    <mergeCell ref="B43:M43"/>
    <mergeCell ref="B44:N46"/>
    <mergeCell ref="B40:F40"/>
    <mergeCell ref="G40:H40"/>
    <mergeCell ref="I40:J40"/>
    <mergeCell ref="L40:M40"/>
    <mergeCell ref="B41:F41"/>
    <mergeCell ref="G41:H41"/>
    <mergeCell ref="I41:J41"/>
    <mergeCell ref="L41:M41"/>
    <mergeCell ref="B35:N37"/>
    <mergeCell ref="B38:F38"/>
    <mergeCell ref="G38:H38"/>
    <mergeCell ref="I38:J38"/>
    <mergeCell ref="L38:M38"/>
    <mergeCell ref="B39:F39"/>
    <mergeCell ref="G39:H39"/>
    <mergeCell ref="I39:J39"/>
    <mergeCell ref="L39:M39"/>
    <mergeCell ref="G29:M29"/>
    <mergeCell ref="B31:N31"/>
    <mergeCell ref="C33:K33"/>
    <mergeCell ref="L33:M33"/>
    <mergeCell ref="C34:K34"/>
    <mergeCell ref="L34:M34"/>
    <mergeCell ref="L14:N14"/>
    <mergeCell ref="H19:M19"/>
    <mergeCell ref="D20:M21"/>
    <mergeCell ref="D23:M23"/>
    <mergeCell ref="D25:M25"/>
    <mergeCell ref="E27:M27"/>
    <mergeCell ref="K6:K8"/>
    <mergeCell ref="L6:L8"/>
    <mergeCell ref="M6:M8"/>
    <mergeCell ref="N6:N8"/>
    <mergeCell ref="C8:J8"/>
    <mergeCell ref="D13:G13"/>
    <mergeCell ref="J13:M13"/>
    <mergeCell ref="B2:B8"/>
    <mergeCell ref="C2:J2"/>
    <mergeCell ref="K2:K3"/>
    <mergeCell ref="L2:N3"/>
    <mergeCell ref="C3:J3"/>
    <mergeCell ref="C4:J4"/>
    <mergeCell ref="K4:K5"/>
    <mergeCell ref="L4:N5"/>
    <mergeCell ref="C5:J5"/>
    <mergeCell ref="C6:J7"/>
    <mergeCell ref="B12:E12"/>
  </mergeCells>
  <pageMargins left="0.7" right="0.7" top="0.75" bottom="0.75" header="0.3" footer="0.3"/>
  <drawing r:id="rId1"/>
  <legacyDrawing r:id="rId2"/>
  <oleObjects>
    <mc:AlternateContent xmlns:mc="http://schemas.openxmlformats.org/markup-compatibility/2006">
      <mc:Choice Requires="x14">
        <oleObject progId="PBrush" shapeId="3368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6897" r:id="rId3"/>
      </mc:Fallback>
    </mc:AlternateContent>
  </oleObjects>
  <mc:AlternateContent xmlns:mc="http://schemas.openxmlformats.org/markup-compatibility/2006">
    <mc:Choice Requires="x14">
      <controls>
        <mc:AlternateContent xmlns:mc="http://schemas.openxmlformats.org/markup-compatibility/2006">
          <mc:Choice Requires="x14">
            <control shapeId="3369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69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dimension ref="B1:N105"/>
  <sheetViews>
    <sheetView showGridLines="0" topLeftCell="A27" zoomScale="55" zoomScaleNormal="55"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3.5" customHeight="1" thickBot="1">
      <c r="B9" s="40"/>
      <c r="C9" s="41"/>
      <c r="D9" s="41"/>
      <c r="E9" s="41"/>
      <c r="F9" s="41"/>
      <c r="G9" s="41"/>
      <c r="H9" s="41"/>
      <c r="I9" s="41"/>
      <c r="J9" s="41"/>
      <c r="K9" s="41"/>
      <c r="L9" s="42"/>
      <c r="M9" s="42"/>
      <c r="N9" s="43"/>
    </row>
    <row r="10" spans="2:14" ht="22.5" customHeight="1">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936" t="s">
        <v>246</v>
      </c>
      <c r="C31" s="1937"/>
      <c r="D31" s="1937"/>
      <c r="E31" s="1937"/>
      <c r="F31" s="1937"/>
      <c r="G31" s="1937"/>
      <c r="H31" s="1937"/>
      <c r="I31" s="1937"/>
      <c r="J31" s="1937"/>
      <c r="K31" s="1937"/>
      <c r="L31" s="1937"/>
      <c r="M31" s="1937"/>
      <c r="N31" s="1938"/>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29.25" customHeight="1" thickBot="1">
      <c r="B34" s="176">
        <v>900.1</v>
      </c>
      <c r="C34" s="1943" t="s">
        <v>226</v>
      </c>
      <c r="D34" s="1944"/>
      <c r="E34" s="1944"/>
      <c r="F34" s="1944"/>
      <c r="G34" s="1944"/>
      <c r="H34" s="1944"/>
      <c r="I34" s="1944"/>
      <c r="J34" s="1944"/>
      <c r="K34" s="1945"/>
      <c r="L34" s="1885" t="s">
        <v>221</v>
      </c>
      <c r="M34" s="1886"/>
      <c r="N34" s="177">
        <v>770812</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ht="12.75" customHeight="1">
      <c r="B39" s="1939" t="s">
        <v>604</v>
      </c>
      <c r="C39" s="1940"/>
      <c r="D39" s="1940"/>
      <c r="E39" s="1940"/>
      <c r="F39" s="1941"/>
      <c r="G39" s="1842"/>
      <c r="H39" s="1841"/>
      <c r="I39" s="1842"/>
      <c r="J39" s="1841"/>
      <c r="K39" s="88">
        <v>98000</v>
      </c>
      <c r="L39" s="1922">
        <v>130</v>
      </c>
      <c r="M39" s="1923"/>
      <c r="N39" s="89">
        <v>753.84615384615381</v>
      </c>
    </row>
    <row r="40" spans="2:14">
      <c r="B40" s="1942"/>
      <c r="C40" s="1940"/>
      <c r="D40" s="1940"/>
      <c r="E40" s="1940"/>
      <c r="F40" s="1941"/>
      <c r="G40" s="1842"/>
      <c r="H40" s="1841"/>
      <c r="I40" s="1842"/>
      <c r="J40" s="1841"/>
      <c r="K40" s="88"/>
      <c r="L40" s="1924"/>
      <c r="M40" s="1925"/>
      <c r="N40" s="89"/>
    </row>
    <row r="41" spans="2:14">
      <c r="B41" s="1939"/>
      <c r="C41" s="1940"/>
      <c r="D41" s="1940"/>
      <c r="E41" s="1940"/>
      <c r="F41" s="1941"/>
      <c r="G41" s="1842"/>
      <c r="H41" s="1841"/>
      <c r="I41" s="1842"/>
      <c r="J41" s="1841"/>
      <c r="K41" s="88"/>
      <c r="L41" s="1924"/>
      <c r="M41" s="1925"/>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753.84615384615381</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93" t="s">
        <v>38</v>
      </c>
      <c r="K47" s="178" t="s">
        <v>115</v>
      </c>
      <c r="L47" s="1829" t="s">
        <v>190</v>
      </c>
      <c r="M47" s="1832"/>
      <c r="N47" s="179" t="s">
        <v>191</v>
      </c>
    </row>
    <row r="48" spans="2:14">
      <c r="B48" s="1839"/>
      <c r="C48" s="1840"/>
      <c r="D48" s="1840"/>
      <c r="E48" s="1840"/>
      <c r="F48" s="1840"/>
      <c r="G48" s="1840"/>
      <c r="H48" s="1840"/>
      <c r="I48" s="1841"/>
      <c r="J48" s="129"/>
      <c r="K48" s="130"/>
      <c r="L48" s="1852"/>
      <c r="M48" s="1853"/>
      <c r="N48" s="89"/>
    </row>
    <row r="49" spans="2:14">
      <c r="B49" s="1839"/>
      <c r="C49" s="1840"/>
      <c r="D49" s="1840"/>
      <c r="E49" s="1840"/>
      <c r="F49" s="1840"/>
      <c r="G49" s="1840"/>
      <c r="H49" s="1840"/>
      <c r="I49" s="1841"/>
      <c r="J49" s="129"/>
      <c r="K49" s="130"/>
      <c r="L49" s="1852"/>
      <c r="M49" s="1853"/>
      <c r="N49" s="89"/>
    </row>
    <row r="50" spans="2:14">
      <c r="B50" s="1839"/>
      <c r="C50" s="1840"/>
      <c r="D50" s="1840"/>
      <c r="E50" s="1840"/>
      <c r="F50" s="1840"/>
      <c r="G50" s="1840"/>
      <c r="H50" s="1840"/>
      <c r="I50" s="1841"/>
      <c r="J50" s="129"/>
      <c r="K50" s="130"/>
      <c r="L50" s="1852"/>
      <c r="M50" s="1853"/>
      <c r="N50" s="89"/>
    </row>
    <row r="51" spans="2:14" ht="13.5" thickBot="1">
      <c r="B51" s="1839"/>
      <c r="C51" s="1840"/>
      <c r="D51" s="1840"/>
      <c r="E51" s="1840"/>
      <c r="F51" s="1840"/>
      <c r="G51" s="1840"/>
      <c r="H51" s="1840"/>
      <c r="I51" s="1841"/>
      <c r="J51" s="131"/>
      <c r="K51" s="132"/>
      <c r="L51" s="1852"/>
      <c r="M51" s="1853"/>
      <c r="N51" s="89"/>
    </row>
    <row r="52" spans="2:14" ht="14.25" thickBot="1">
      <c r="B52" s="1848" t="s">
        <v>188</v>
      </c>
      <c r="C52" s="1849"/>
      <c r="D52" s="1849"/>
      <c r="E52" s="1849"/>
      <c r="F52" s="1849"/>
      <c r="G52" s="1849"/>
      <c r="H52" s="1849"/>
      <c r="I52" s="1849"/>
      <c r="J52" s="1849"/>
      <c r="K52" s="1849"/>
      <c r="L52" s="1849"/>
      <c r="M52" s="1850"/>
      <c r="N52" s="99">
        <v>0</v>
      </c>
    </row>
    <row r="53" spans="2:14">
      <c r="B53" s="1766" t="s">
        <v>51</v>
      </c>
      <c r="C53" s="1767"/>
      <c r="D53" s="1767"/>
      <c r="E53" s="1767"/>
      <c r="F53" s="1767"/>
      <c r="G53" s="1767"/>
      <c r="H53" s="1767"/>
      <c r="I53" s="1767"/>
      <c r="J53" s="1767"/>
      <c r="K53" s="1767"/>
      <c r="L53" s="1767"/>
      <c r="M53" s="1767"/>
      <c r="N53" s="1768"/>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96" t="s">
        <v>194</v>
      </c>
      <c r="K56" s="182" t="s">
        <v>310</v>
      </c>
      <c r="L56" s="1829" t="s">
        <v>39</v>
      </c>
      <c r="M56" s="1832"/>
      <c r="N56" s="179" t="s">
        <v>191</v>
      </c>
    </row>
    <row r="57" spans="2:14">
      <c r="B57" s="1839"/>
      <c r="C57" s="1840"/>
      <c r="D57" s="1840"/>
      <c r="E57" s="1840"/>
      <c r="F57" s="1840"/>
      <c r="G57" s="1840"/>
      <c r="H57" s="1840"/>
      <c r="I57" s="96"/>
      <c r="J57" s="133"/>
      <c r="K57" s="134"/>
      <c r="L57" s="1859"/>
      <c r="M57" s="1860"/>
      <c r="N57" s="135"/>
    </row>
    <row r="58" spans="2:14">
      <c r="B58" s="1839"/>
      <c r="C58" s="1840"/>
      <c r="D58" s="1840"/>
      <c r="E58" s="1840"/>
      <c r="F58" s="1840"/>
      <c r="G58" s="1840"/>
      <c r="H58" s="1840"/>
      <c r="I58" s="96"/>
      <c r="J58" s="133"/>
      <c r="K58" s="134"/>
      <c r="L58" s="1859"/>
      <c r="M58" s="1860"/>
      <c r="N58" s="135"/>
    </row>
    <row r="59" spans="2:14" ht="13.5" thickBot="1">
      <c r="B59" s="1834"/>
      <c r="C59" s="1835"/>
      <c r="D59" s="1835"/>
      <c r="E59" s="1835"/>
      <c r="F59" s="1835"/>
      <c r="G59" s="1835"/>
      <c r="H59" s="1835"/>
      <c r="I59" s="136"/>
      <c r="J59" s="137"/>
      <c r="K59" s="100"/>
      <c r="L59" s="1837"/>
      <c r="M59" s="1838"/>
      <c r="N59" s="135"/>
    </row>
    <row r="60" spans="2:14" ht="14.25" thickBot="1">
      <c r="B60" s="1848" t="s">
        <v>188</v>
      </c>
      <c r="C60" s="1849"/>
      <c r="D60" s="1849"/>
      <c r="E60" s="1849"/>
      <c r="F60" s="1849"/>
      <c r="G60" s="1849"/>
      <c r="H60" s="1849"/>
      <c r="I60" s="1849"/>
      <c r="J60" s="1849"/>
      <c r="K60" s="1849"/>
      <c r="L60" s="1849"/>
      <c r="M60" s="1850"/>
      <c r="N60" s="112">
        <v>0</v>
      </c>
    </row>
    <row r="61" spans="2:14">
      <c r="B61" s="1766" t="s">
        <v>52</v>
      </c>
      <c r="C61" s="1767"/>
      <c r="D61" s="1767"/>
      <c r="E61" s="1767"/>
      <c r="F61" s="1767"/>
      <c r="G61" s="1767"/>
      <c r="H61" s="1767"/>
      <c r="I61" s="1767"/>
      <c r="J61" s="1767"/>
      <c r="K61" s="1767"/>
      <c r="L61" s="1767"/>
      <c r="M61" s="1767"/>
      <c r="N61" s="1768"/>
    </row>
    <row r="62" spans="2:14">
      <c r="B62" s="1766"/>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96" t="s">
        <v>46</v>
      </c>
      <c r="K64" s="182" t="s">
        <v>197</v>
      </c>
      <c r="L64" s="1829" t="s">
        <v>186</v>
      </c>
      <c r="M64" s="1832"/>
      <c r="N64" s="179" t="s">
        <v>191</v>
      </c>
    </row>
    <row r="65" spans="2:14">
      <c r="B65" s="198"/>
      <c r="C65" s="199"/>
      <c r="D65" s="199"/>
      <c r="E65" s="199"/>
      <c r="F65" s="199"/>
      <c r="G65" s="199"/>
      <c r="H65" s="199"/>
      <c r="I65" s="107"/>
      <c r="J65" s="108"/>
      <c r="K65" s="109"/>
      <c r="L65" s="1861"/>
      <c r="M65" s="1862"/>
      <c r="N65" s="110"/>
    </row>
    <row r="66" spans="2:14">
      <c r="B66" s="198"/>
      <c r="C66" s="199"/>
      <c r="D66" s="199"/>
      <c r="E66" s="199"/>
      <c r="F66" s="199"/>
      <c r="G66" s="199"/>
      <c r="H66" s="199"/>
      <c r="I66" s="107"/>
      <c r="J66" s="108"/>
      <c r="K66" s="109"/>
      <c r="L66" s="1861"/>
      <c r="M66" s="1862"/>
      <c r="N66" s="110"/>
    </row>
    <row r="67" spans="2:14">
      <c r="B67" s="198"/>
      <c r="C67" s="199"/>
      <c r="D67" s="199"/>
      <c r="E67" s="199"/>
      <c r="F67" s="199"/>
      <c r="G67" s="199"/>
      <c r="H67" s="199"/>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0</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753.84615384615381</v>
      </c>
    </row>
    <row r="72" spans="2:14">
      <c r="B72" s="1766" t="s">
        <v>53</v>
      </c>
      <c r="C72" s="1767"/>
      <c r="D72" s="1767"/>
      <c r="E72" s="1767"/>
      <c r="F72" s="1767"/>
      <c r="G72" s="1767"/>
      <c r="H72" s="1767"/>
      <c r="I72" s="1767"/>
      <c r="J72" s="1767"/>
      <c r="K72" s="1767"/>
      <c r="L72" s="1767"/>
      <c r="M72" s="1767"/>
      <c r="N72" s="1768"/>
    </row>
    <row r="73" spans="2:14">
      <c r="B73" s="1766"/>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96"/>
      <c r="J75" s="197"/>
      <c r="K75" s="184" t="s">
        <v>54</v>
      </c>
      <c r="L75" s="1857" t="s">
        <v>55</v>
      </c>
      <c r="M75" s="1858"/>
      <c r="N75" s="185"/>
    </row>
    <row r="76" spans="2:14">
      <c r="B76" s="1839" t="s">
        <v>44</v>
      </c>
      <c r="C76" s="1840"/>
      <c r="D76" s="1840"/>
      <c r="E76" s="1840"/>
      <c r="F76" s="1840"/>
      <c r="G76" s="1840"/>
      <c r="H76" s="1840"/>
      <c r="I76" s="113"/>
      <c r="J76" s="114"/>
      <c r="K76" s="192">
        <v>0.22</v>
      </c>
      <c r="L76" s="1877">
        <v>165.84615384615384</v>
      </c>
      <c r="M76" s="1878"/>
      <c r="N76" s="115"/>
    </row>
    <row r="77" spans="2:14">
      <c r="B77" s="116" t="s">
        <v>56</v>
      </c>
      <c r="C77" s="117"/>
      <c r="D77" s="117"/>
      <c r="E77" s="117"/>
      <c r="F77" s="117"/>
      <c r="G77" s="117"/>
      <c r="H77" s="117"/>
      <c r="I77" s="113"/>
      <c r="J77" s="114"/>
      <c r="K77" s="192">
        <v>0.05</v>
      </c>
      <c r="L77" s="1877">
        <v>37.692307692307693</v>
      </c>
      <c r="M77" s="1878"/>
      <c r="N77" s="115"/>
    </row>
    <row r="78" spans="2:14" ht="13.5" thickBot="1">
      <c r="B78" s="194" t="s">
        <v>45</v>
      </c>
      <c r="C78" s="195"/>
      <c r="D78" s="195"/>
      <c r="E78" s="195"/>
      <c r="F78" s="195"/>
      <c r="G78" s="195"/>
      <c r="H78" s="195"/>
      <c r="I78" s="120"/>
      <c r="J78" s="121"/>
      <c r="K78" s="192">
        <v>0.05</v>
      </c>
      <c r="L78" s="1879">
        <v>37.692307692307693</v>
      </c>
      <c r="M78" s="1880"/>
      <c r="N78" s="115"/>
    </row>
    <row r="79" spans="2:14" ht="14.25" thickBot="1">
      <c r="B79" s="1848" t="s">
        <v>188</v>
      </c>
      <c r="C79" s="1849"/>
      <c r="D79" s="1849"/>
      <c r="E79" s="1849"/>
      <c r="F79" s="1849"/>
      <c r="G79" s="1849"/>
      <c r="H79" s="1849"/>
      <c r="I79" s="1849"/>
      <c r="J79" s="1849"/>
      <c r="K79" s="1849"/>
      <c r="L79" s="1849"/>
      <c r="M79" s="1850"/>
      <c r="N79" s="122">
        <v>241.23076923076923</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995</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9">
    <mergeCell ref="J104:N105"/>
    <mergeCell ref="B105:D105"/>
    <mergeCell ref="B12:E12"/>
    <mergeCell ref="B95:N96"/>
    <mergeCell ref="B97:N98"/>
    <mergeCell ref="B91:N91"/>
    <mergeCell ref="B92:N92"/>
    <mergeCell ref="B76:H76"/>
    <mergeCell ref="L76:M76"/>
    <mergeCell ref="L77:M77"/>
    <mergeCell ref="L78:M78"/>
    <mergeCell ref="B79:M79"/>
    <mergeCell ref="B81:M81"/>
    <mergeCell ref="B71:M71"/>
    <mergeCell ref="B75:H75"/>
    <mergeCell ref="L75:M75"/>
    <mergeCell ref="B56:H56"/>
    <mergeCell ref="L56:M56"/>
    <mergeCell ref="B68:H68"/>
    <mergeCell ref="L68:M68"/>
    <mergeCell ref="B60:M60"/>
    <mergeCell ref="B64:H64"/>
    <mergeCell ref="L64:M64"/>
    <mergeCell ref="L65:M65"/>
    <mergeCell ref="L66:M66"/>
    <mergeCell ref="B69:M69"/>
    <mergeCell ref="B57:H57"/>
    <mergeCell ref="L57:M57"/>
    <mergeCell ref="B58:H58"/>
    <mergeCell ref="L58:M58"/>
    <mergeCell ref="B59:H59"/>
    <mergeCell ref="L59:M59"/>
    <mergeCell ref="L67:M67"/>
    <mergeCell ref="B50:I50"/>
    <mergeCell ref="L50:M50"/>
    <mergeCell ref="B51:I51"/>
    <mergeCell ref="L51:M51"/>
    <mergeCell ref="B52:M52"/>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31:N31"/>
    <mergeCell ref="L33:M33"/>
    <mergeCell ref="D23:M23"/>
    <mergeCell ref="D25:M25"/>
    <mergeCell ref="E27:M27"/>
    <mergeCell ref="G29:M29"/>
    <mergeCell ref="C33:K33"/>
    <mergeCell ref="L6:L8"/>
    <mergeCell ref="M6:M8"/>
    <mergeCell ref="N6:N8"/>
    <mergeCell ref="K2:K3"/>
    <mergeCell ref="L2:N3"/>
    <mergeCell ref="K4:K5"/>
    <mergeCell ref="L4:N5"/>
    <mergeCell ref="B53:N55"/>
    <mergeCell ref="B61:N63"/>
    <mergeCell ref="B72:N74"/>
    <mergeCell ref="B2:B8"/>
    <mergeCell ref="C2:J2"/>
    <mergeCell ref="C3:J3"/>
    <mergeCell ref="C4:J4"/>
    <mergeCell ref="C5:J5"/>
    <mergeCell ref="C6:J7"/>
    <mergeCell ref="C8:J8"/>
    <mergeCell ref="D13:G13"/>
    <mergeCell ref="J13:M13"/>
    <mergeCell ref="L14:N14"/>
    <mergeCell ref="H19:M19"/>
    <mergeCell ref="D20:M21"/>
    <mergeCell ref="K6:K8"/>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3450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5089" r:id="rId3"/>
      </mc:Fallback>
    </mc:AlternateContent>
  </oleObjects>
  <mc:AlternateContent xmlns:mc="http://schemas.openxmlformats.org/markup-compatibility/2006">
    <mc:Choice Requires="x14">
      <controls>
        <mc:AlternateContent xmlns:mc="http://schemas.openxmlformats.org/markup-compatibility/2006">
          <mc:Choice Requires="x14">
            <control shapeId="3450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450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dimension ref="B1:N105"/>
  <sheetViews>
    <sheetView showGridLines="0" topLeftCell="A32" zoomScale="55" zoomScaleNormal="55"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2"/>
      <c r="C2" s="1774"/>
      <c r="D2" s="1775"/>
      <c r="E2" s="1775"/>
      <c r="F2" s="1775"/>
      <c r="G2" s="1775"/>
      <c r="H2" s="1775"/>
      <c r="I2" s="1775"/>
      <c r="J2" s="1776"/>
      <c r="K2" s="1777" t="s">
        <v>228</v>
      </c>
      <c r="L2" s="1779" t="s">
        <v>716</v>
      </c>
      <c r="M2" s="1780"/>
      <c r="N2" s="1781"/>
    </row>
    <row r="3" spans="2:14" ht="13.5">
      <c r="B3" s="1773"/>
      <c r="C3" s="1785" t="s">
        <v>69</v>
      </c>
      <c r="D3" s="1786"/>
      <c r="E3" s="1786"/>
      <c r="F3" s="1786"/>
      <c r="G3" s="1786"/>
      <c r="H3" s="1786"/>
      <c r="I3" s="1786"/>
      <c r="J3" s="1787"/>
      <c r="K3" s="1778"/>
      <c r="L3" s="1782"/>
      <c r="M3" s="1783"/>
      <c r="N3" s="1784"/>
    </row>
    <row r="4" spans="2:14" ht="13.5">
      <c r="B4" s="1773"/>
      <c r="C4" s="1788" t="s">
        <v>303</v>
      </c>
      <c r="D4" s="1789"/>
      <c r="E4" s="1789"/>
      <c r="F4" s="1789"/>
      <c r="G4" s="1789"/>
      <c r="H4" s="1789"/>
      <c r="I4" s="1789"/>
      <c r="J4" s="1790"/>
      <c r="K4" s="1791" t="s">
        <v>230</v>
      </c>
      <c r="L4" s="1793">
        <v>2</v>
      </c>
      <c r="M4" s="1794"/>
      <c r="N4" s="1795"/>
    </row>
    <row r="5" spans="2:14">
      <c r="B5" s="1773"/>
      <c r="C5" s="1799" t="s">
        <v>715</v>
      </c>
      <c r="D5" s="1800"/>
      <c r="E5" s="1800"/>
      <c r="F5" s="1800"/>
      <c r="G5" s="1800"/>
      <c r="H5" s="1800"/>
      <c r="I5" s="1800"/>
      <c r="J5" s="1801"/>
      <c r="K5" s="1792"/>
      <c r="L5" s="1796"/>
      <c r="M5" s="1797"/>
      <c r="N5" s="1798"/>
    </row>
    <row r="6" spans="2:14" ht="12.75" customHeight="1">
      <c r="B6" s="1773"/>
      <c r="C6" s="1805" t="s">
        <v>304</v>
      </c>
      <c r="D6" s="1806"/>
      <c r="E6" s="1806"/>
      <c r="F6" s="1806"/>
      <c r="G6" s="1806"/>
      <c r="H6" s="1806"/>
      <c r="I6" s="1806"/>
      <c r="J6" s="1807"/>
      <c r="K6" s="1791" t="s">
        <v>232</v>
      </c>
      <c r="L6" s="1791">
        <v>1</v>
      </c>
      <c r="M6" s="1791" t="s">
        <v>233</v>
      </c>
      <c r="N6" s="1803">
        <v>1</v>
      </c>
    </row>
    <row r="7" spans="2:14">
      <c r="B7" s="1773"/>
      <c r="C7" s="1805"/>
      <c r="D7" s="1806"/>
      <c r="E7" s="1806"/>
      <c r="F7" s="1806"/>
      <c r="G7" s="1806"/>
      <c r="H7" s="1806"/>
      <c r="I7" s="1806"/>
      <c r="J7" s="1807"/>
      <c r="K7" s="1802"/>
      <c r="L7" s="1802"/>
      <c r="M7" s="1802"/>
      <c r="N7" s="1804"/>
    </row>
    <row r="8" spans="2:14">
      <c r="B8" s="1773"/>
      <c r="C8" s="1799" t="s">
        <v>234</v>
      </c>
      <c r="D8" s="1800"/>
      <c r="E8" s="1800"/>
      <c r="F8" s="1800"/>
      <c r="G8" s="1800"/>
      <c r="H8" s="1800"/>
      <c r="I8" s="1800"/>
      <c r="J8" s="1801"/>
      <c r="K8" s="1802"/>
      <c r="L8" s="1802"/>
      <c r="M8" s="1802"/>
      <c r="N8" s="1804"/>
    </row>
    <row r="9" spans="2:14" ht="13.5" customHeight="1" thickBot="1">
      <c r="B9" s="40"/>
      <c r="C9" s="41"/>
      <c r="D9" s="41"/>
      <c r="E9" s="41"/>
      <c r="F9" s="41"/>
      <c r="G9" s="41"/>
      <c r="H9" s="41"/>
      <c r="I9" s="41"/>
      <c r="J9" s="41"/>
      <c r="K9" s="41"/>
      <c r="L9" s="42"/>
      <c r="M9" s="42"/>
      <c r="N9" s="43"/>
    </row>
    <row r="10" spans="2:14" ht="22.5" customHeight="1">
      <c r="B10" s="44"/>
      <c r="C10" s="45"/>
      <c r="D10" s="45"/>
      <c r="E10" s="45"/>
      <c r="F10" s="45"/>
      <c r="G10" s="45"/>
      <c r="H10" s="45"/>
      <c r="I10" s="45"/>
      <c r="J10" s="45"/>
      <c r="K10" s="46" t="s">
        <v>235</v>
      </c>
      <c r="L10" s="47" t="s">
        <v>236</v>
      </c>
      <c r="M10" s="47" t="s">
        <v>237</v>
      </c>
      <c r="N10" s="48" t="s">
        <v>238</v>
      </c>
    </row>
    <row r="11" spans="2:14" ht="13.5">
      <c r="B11" s="49"/>
      <c r="C11" s="50"/>
      <c r="D11" s="50"/>
      <c r="E11" s="50"/>
      <c r="F11" s="50"/>
      <c r="G11" s="50"/>
      <c r="H11" s="50"/>
      <c r="I11" s="50"/>
      <c r="J11" s="50"/>
      <c r="K11" s="51"/>
      <c r="L11" s="52" t="s">
        <v>294</v>
      </c>
      <c r="M11" s="52" t="s">
        <v>294</v>
      </c>
      <c r="N11" s="53" t="s">
        <v>294</v>
      </c>
    </row>
    <row r="12" spans="2:14" ht="13.5">
      <c r="B12" s="1869" t="s">
        <v>717</v>
      </c>
      <c r="C12" s="1870"/>
      <c r="D12" s="1870"/>
      <c r="E12" s="1870"/>
      <c r="F12" s="403"/>
      <c r="G12" s="403"/>
      <c r="H12" s="403" t="s">
        <v>718</v>
      </c>
      <c r="J12" s="403"/>
      <c r="K12" s="51"/>
      <c r="N12" s="405"/>
    </row>
    <row r="13" spans="2:14" ht="13.5">
      <c r="B13" s="54" t="s">
        <v>239</v>
      </c>
      <c r="C13" s="55"/>
      <c r="D13" s="1810" t="s">
        <v>293</v>
      </c>
      <c r="E13" s="1810"/>
      <c r="F13" s="1810"/>
      <c r="G13" s="1810"/>
      <c r="H13" s="55"/>
      <c r="I13" s="55" t="s">
        <v>240</v>
      </c>
      <c r="J13" s="1810" t="s">
        <v>293</v>
      </c>
      <c r="K13" s="1810"/>
      <c r="L13" s="1810"/>
      <c r="M13" s="1810"/>
      <c r="N13" s="56"/>
    </row>
    <row r="14" spans="2:14" ht="13.5">
      <c r="B14" s="54"/>
      <c r="C14" s="55"/>
      <c r="D14" s="57"/>
      <c r="E14" s="57"/>
      <c r="F14" s="57"/>
      <c r="G14" s="57"/>
      <c r="H14" s="55"/>
      <c r="I14" s="57"/>
      <c r="J14" s="55"/>
      <c r="K14" s="57"/>
      <c r="L14" s="1811"/>
      <c r="M14" s="1811"/>
      <c r="N14" s="1812"/>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241</v>
      </c>
      <c r="C19" s="69"/>
      <c r="D19" s="70" t="s">
        <v>293</v>
      </c>
      <c r="E19" s="71"/>
      <c r="F19" s="71"/>
      <c r="G19" s="72" t="s">
        <v>233</v>
      </c>
      <c r="H19" s="1818" t="s">
        <v>293</v>
      </c>
      <c r="I19" s="1818"/>
      <c r="J19" s="1818"/>
      <c r="K19" s="1818"/>
      <c r="L19" s="1818"/>
      <c r="M19" s="1818"/>
      <c r="N19" s="73"/>
    </row>
    <row r="20" spans="2:14">
      <c r="B20" s="74" t="s">
        <v>242</v>
      </c>
      <c r="C20" s="75"/>
      <c r="D20" s="1819" t="s">
        <v>1343</v>
      </c>
      <c r="E20" s="1819"/>
      <c r="F20" s="1819"/>
      <c r="G20" s="1819"/>
      <c r="H20" s="1819"/>
      <c r="I20" s="1819"/>
      <c r="J20" s="1819"/>
      <c r="K20" s="1819"/>
      <c r="L20" s="1819"/>
      <c r="M20" s="1819"/>
      <c r="N20" s="76"/>
    </row>
    <row r="21" spans="2:14">
      <c r="B21" s="74"/>
      <c r="C21" s="75"/>
      <c r="D21" s="1820"/>
      <c r="E21" s="1820"/>
      <c r="F21" s="1820"/>
      <c r="G21" s="1820"/>
      <c r="H21" s="1820"/>
      <c r="I21" s="1820"/>
      <c r="J21" s="1820"/>
      <c r="K21" s="1820"/>
      <c r="L21" s="1820"/>
      <c r="M21" s="1820"/>
      <c r="N21" s="76"/>
    </row>
    <row r="22" spans="2:14">
      <c r="B22" s="74"/>
      <c r="C22" s="75"/>
      <c r="D22" s="77"/>
      <c r="E22" s="77"/>
      <c r="F22" s="77"/>
      <c r="G22" s="77"/>
      <c r="H22" s="77"/>
      <c r="I22" s="77"/>
      <c r="J22" s="77"/>
      <c r="K22" s="77"/>
      <c r="L22" s="77"/>
      <c r="M22" s="78"/>
      <c r="N22" s="76"/>
    </row>
    <row r="23" spans="2:14">
      <c r="B23" s="74" t="s">
        <v>292</v>
      </c>
      <c r="C23" s="75"/>
      <c r="D23" s="1816" t="s">
        <v>293</v>
      </c>
      <c r="E23" s="1816"/>
      <c r="F23" s="1816"/>
      <c r="G23" s="1816"/>
      <c r="H23" s="1816"/>
      <c r="I23" s="1816"/>
      <c r="J23" s="1816"/>
      <c r="K23" s="1816"/>
      <c r="L23" s="1816"/>
      <c r="M23" s="1816"/>
      <c r="N23" s="79"/>
    </row>
    <row r="24" spans="2:14">
      <c r="B24" s="74"/>
      <c r="C24" s="75"/>
      <c r="D24" s="80"/>
      <c r="E24" s="80"/>
      <c r="F24" s="80"/>
      <c r="G24" s="80"/>
      <c r="H24" s="80"/>
      <c r="I24" s="80"/>
      <c r="J24" s="80"/>
      <c r="K24" s="80"/>
      <c r="L24" s="80"/>
      <c r="M24" s="81"/>
      <c r="N24" s="79"/>
    </row>
    <row r="25" spans="2:14">
      <c r="B25" s="74" t="s">
        <v>243</v>
      </c>
      <c r="C25" s="75"/>
      <c r="D25" s="1816" t="s">
        <v>293</v>
      </c>
      <c r="E25" s="1816"/>
      <c r="F25" s="1816"/>
      <c r="G25" s="1816"/>
      <c r="H25" s="1816"/>
      <c r="I25" s="1816"/>
      <c r="J25" s="1816"/>
      <c r="K25" s="1816"/>
      <c r="L25" s="1816"/>
      <c r="M25" s="1816"/>
      <c r="N25" s="79"/>
    </row>
    <row r="26" spans="2:14">
      <c r="B26" s="74"/>
      <c r="C26" s="75"/>
      <c r="D26" s="80"/>
      <c r="E26" s="80"/>
      <c r="F26" s="80"/>
      <c r="G26" s="80"/>
      <c r="H26" s="80"/>
      <c r="I26" s="80"/>
      <c r="J26" s="80"/>
      <c r="K26" s="80"/>
      <c r="L26" s="80"/>
      <c r="M26" s="81"/>
      <c r="N26" s="79"/>
    </row>
    <row r="27" spans="2:14">
      <c r="B27" s="74" t="s">
        <v>244</v>
      </c>
      <c r="C27" s="74"/>
      <c r="D27" s="80"/>
      <c r="E27" s="1816" t="s">
        <v>293</v>
      </c>
      <c r="F27" s="1816"/>
      <c r="G27" s="1816"/>
      <c r="H27" s="1816"/>
      <c r="I27" s="1816"/>
      <c r="J27" s="1816"/>
      <c r="K27" s="1816"/>
      <c r="L27" s="1816"/>
      <c r="M27" s="1816"/>
      <c r="N27" s="79"/>
    </row>
    <row r="28" spans="2:14">
      <c r="B28" s="68"/>
      <c r="C28" s="69"/>
      <c r="D28" s="80"/>
      <c r="E28" s="80"/>
      <c r="F28" s="80"/>
      <c r="G28" s="80"/>
      <c r="H28" s="80"/>
      <c r="I28" s="80"/>
      <c r="J28" s="80"/>
      <c r="K28" s="80"/>
      <c r="L28" s="80"/>
      <c r="M28" s="81"/>
      <c r="N28" s="79"/>
    </row>
    <row r="29" spans="2:14">
      <c r="B29" s="74" t="s">
        <v>245</v>
      </c>
      <c r="C29" s="75"/>
      <c r="D29" s="80"/>
      <c r="E29" s="80"/>
      <c r="F29" s="80"/>
      <c r="G29" s="1817" t="s">
        <v>293</v>
      </c>
      <c r="H29" s="1817"/>
      <c r="I29" s="1817"/>
      <c r="J29" s="1817"/>
      <c r="K29" s="1817"/>
      <c r="L29" s="1817"/>
      <c r="M29" s="1817"/>
      <c r="N29" s="79"/>
    </row>
    <row r="30" spans="2:14" ht="13.5" thickBot="1">
      <c r="B30" s="82"/>
      <c r="C30" s="83"/>
      <c r="D30" s="83"/>
      <c r="E30" s="83"/>
      <c r="F30" s="83"/>
      <c r="G30" s="83"/>
      <c r="H30" s="83"/>
      <c r="I30" s="83"/>
      <c r="J30" s="83"/>
      <c r="K30" s="83"/>
      <c r="L30" s="83"/>
      <c r="M30" s="83"/>
      <c r="N30" s="84"/>
    </row>
    <row r="31" spans="2:14" ht="13.5">
      <c r="B31" s="1813" t="s">
        <v>246</v>
      </c>
      <c r="C31" s="1814"/>
      <c r="D31" s="1814"/>
      <c r="E31" s="1814"/>
      <c r="F31" s="1814"/>
      <c r="G31" s="1814"/>
      <c r="H31" s="1814"/>
      <c r="I31" s="1814"/>
      <c r="J31" s="1814"/>
      <c r="K31" s="1814"/>
      <c r="L31" s="1814"/>
      <c r="M31" s="1814"/>
      <c r="N31" s="1815"/>
    </row>
    <row r="32" spans="2:14" ht="13.5" thickBot="1">
      <c r="B32" s="85"/>
      <c r="C32" s="66"/>
      <c r="D32" s="66"/>
      <c r="E32" s="66"/>
      <c r="F32" s="66"/>
      <c r="G32" s="66"/>
      <c r="H32" s="66"/>
      <c r="I32" s="66"/>
      <c r="J32" s="66"/>
      <c r="K32" s="66"/>
      <c r="L32" s="66"/>
      <c r="M32" s="66"/>
      <c r="N32" s="73"/>
    </row>
    <row r="33" spans="2:14" ht="13.5">
      <c r="B33" s="175" t="s">
        <v>29</v>
      </c>
      <c r="C33" s="1882" t="s">
        <v>173</v>
      </c>
      <c r="D33" s="1883"/>
      <c r="E33" s="1883"/>
      <c r="F33" s="1883"/>
      <c r="G33" s="1883"/>
      <c r="H33" s="1883"/>
      <c r="I33" s="1883"/>
      <c r="J33" s="1883"/>
      <c r="K33" s="1884" t="s">
        <v>247</v>
      </c>
      <c r="L33" s="1826" t="s">
        <v>38</v>
      </c>
      <c r="M33" s="1881"/>
      <c r="N33" s="175" t="s">
        <v>115</v>
      </c>
    </row>
    <row r="34" spans="2:14" ht="31.5" customHeight="1" thickBot="1">
      <c r="B34" s="176" t="s">
        <v>104</v>
      </c>
      <c r="C34" s="1943" t="s">
        <v>602</v>
      </c>
      <c r="D34" s="1944"/>
      <c r="E34" s="1944"/>
      <c r="F34" s="1944"/>
      <c r="G34" s="1944"/>
      <c r="H34" s="1944"/>
      <c r="I34" s="1944"/>
      <c r="J34" s="1944"/>
      <c r="K34" s="1945"/>
      <c r="L34" s="1885" t="s">
        <v>156</v>
      </c>
      <c r="M34" s="1886"/>
      <c r="N34" s="177">
        <v>5380459</v>
      </c>
    </row>
    <row r="35" spans="2:14">
      <c r="B35" s="1766" t="s">
        <v>49</v>
      </c>
      <c r="C35" s="1767"/>
      <c r="D35" s="1767"/>
      <c r="E35" s="1767"/>
      <c r="F35" s="1767"/>
      <c r="G35" s="1767"/>
      <c r="H35" s="1767"/>
      <c r="I35" s="1767"/>
      <c r="J35" s="1767"/>
      <c r="K35" s="1767"/>
      <c r="L35" s="1767"/>
      <c r="M35" s="1767"/>
      <c r="N35" s="1768"/>
    </row>
    <row r="36" spans="2:14">
      <c r="B36" s="1766"/>
      <c r="C36" s="1767"/>
      <c r="D36" s="1767"/>
      <c r="E36" s="1767"/>
      <c r="F36" s="1767"/>
      <c r="G36" s="1767"/>
      <c r="H36" s="1767"/>
      <c r="I36" s="1767"/>
      <c r="J36" s="1767"/>
      <c r="K36" s="1767"/>
      <c r="L36" s="1767"/>
      <c r="M36" s="1767"/>
      <c r="N36" s="1768"/>
    </row>
    <row r="37" spans="2:14" ht="13.5" thickBot="1">
      <c r="B37" s="1769"/>
      <c r="C37" s="1770"/>
      <c r="D37" s="1770"/>
      <c r="E37" s="1770"/>
      <c r="F37" s="1770"/>
      <c r="G37" s="1770"/>
      <c r="H37" s="1770"/>
      <c r="I37" s="1770"/>
      <c r="J37" s="1770"/>
      <c r="K37" s="1770"/>
      <c r="L37" s="1770"/>
      <c r="M37" s="1770"/>
      <c r="N37" s="1771"/>
    </row>
    <row r="38" spans="2:14" ht="13.5">
      <c r="B38" s="1826" t="s">
        <v>173</v>
      </c>
      <c r="C38" s="1827"/>
      <c r="D38" s="1827"/>
      <c r="E38" s="1827"/>
      <c r="F38" s="1828"/>
      <c r="G38" s="1829" t="s">
        <v>248</v>
      </c>
      <c r="H38" s="1827"/>
      <c r="I38" s="1830" t="s">
        <v>184</v>
      </c>
      <c r="J38" s="1831"/>
      <c r="K38" s="178" t="s">
        <v>185</v>
      </c>
      <c r="L38" s="1829" t="s">
        <v>186</v>
      </c>
      <c r="M38" s="1832"/>
      <c r="N38" s="179" t="s">
        <v>191</v>
      </c>
    </row>
    <row r="39" spans="2:14" ht="12.75" customHeight="1">
      <c r="B39" s="1939" t="s">
        <v>604</v>
      </c>
      <c r="C39" s="1940"/>
      <c r="D39" s="1940"/>
      <c r="E39" s="1940"/>
      <c r="F39" s="1941"/>
      <c r="G39" s="1842"/>
      <c r="H39" s="1841"/>
      <c r="I39" s="1842"/>
      <c r="J39" s="1841"/>
      <c r="K39" s="88">
        <v>98000</v>
      </c>
      <c r="L39" s="1922">
        <v>115</v>
      </c>
      <c r="M39" s="1923"/>
      <c r="N39" s="89">
        <v>852.17391304347825</v>
      </c>
    </row>
    <row r="40" spans="2:14">
      <c r="B40" s="1942"/>
      <c r="C40" s="1940"/>
      <c r="D40" s="1940"/>
      <c r="E40" s="1940"/>
      <c r="F40" s="1941"/>
      <c r="G40" s="1842"/>
      <c r="H40" s="1841"/>
      <c r="I40" s="1842"/>
      <c r="J40" s="1841"/>
      <c r="K40" s="88"/>
      <c r="L40" s="1924"/>
      <c r="M40" s="1925"/>
      <c r="N40" s="89"/>
    </row>
    <row r="41" spans="2:14">
      <c r="B41" s="1939"/>
      <c r="C41" s="1940"/>
      <c r="D41" s="1940"/>
      <c r="E41" s="1940"/>
      <c r="F41" s="1941"/>
      <c r="G41" s="1842"/>
      <c r="H41" s="1841"/>
      <c r="I41" s="1842"/>
      <c r="J41" s="1841"/>
      <c r="K41" s="88"/>
      <c r="L41" s="1924"/>
      <c r="M41" s="1925"/>
      <c r="N41" s="89"/>
    </row>
    <row r="42" spans="2:14" ht="13.5" thickBot="1">
      <c r="B42" s="1839"/>
      <c r="C42" s="1840"/>
      <c r="D42" s="1840"/>
      <c r="E42" s="1840"/>
      <c r="F42" s="1841"/>
      <c r="G42" s="1842"/>
      <c r="H42" s="1841"/>
      <c r="I42" s="1842"/>
      <c r="J42" s="1841"/>
      <c r="K42" s="88"/>
      <c r="L42" s="1908"/>
      <c r="M42" s="1909"/>
      <c r="N42" s="89"/>
    </row>
    <row r="43" spans="2:14" ht="14.25" thickBot="1">
      <c r="B43" s="1848" t="s">
        <v>188</v>
      </c>
      <c r="C43" s="1849"/>
      <c r="D43" s="1849"/>
      <c r="E43" s="1849"/>
      <c r="F43" s="1849"/>
      <c r="G43" s="1849"/>
      <c r="H43" s="1849"/>
      <c r="I43" s="1849"/>
      <c r="J43" s="1849"/>
      <c r="K43" s="1849"/>
      <c r="L43" s="1849"/>
      <c r="M43" s="1850"/>
      <c r="N43" s="91">
        <v>852.17391304347825</v>
      </c>
    </row>
    <row r="44" spans="2:14">
      <c r="B44" s="1766" t="s">
        <v>189</v>
      </c>
      <c r="C44" s="1767"/>
      <c r="D44" s="1767"/>
      <c r="E44" s="1767"/>
      <c r="F44" s="1767"/>
      <c r="G44" s="1767"/>
      <c r="H44" s="1767"/>
      <c r="I44" s="1767"/>
      <c r="J44" s="1767"/>
      <c r="K44" s="1767"/>
      <c r="L44" s="1767"/>
      <c r="M44" s="1767"/>
      <c r="N44" s="1768"/>
    </row>
    <row r="45" spans="2:14">
      <c r="B45" s="1766"/>
      <c r="C45" s="1767"/>
      <c r="D45" s="1767"/>
      <c r="E45" s="1767"/>
      <c r="F45" s="1767"/>
      <c r="G45" s="1767"/>
      <c r="H45" s="1767"/>
      <c r="I45" s="1767"/>
      <c r="J45" s="1767"/>
      <c r="K45" s="1767"/>
      <c r="L45" s="1767"/>
      <c r="M45" s="1767"/>
      <c r="N45" s="1768"/>
    </row>
    <row r="46" spans="2:14" ht="13.5" thickBot="1">
      <c r="B46" s="1769"/>
      <c r="C46" s="1770"/>
      <c r="D46" s="1770"/>
      <c r="E46" s="1770"/>
      <c r="F46" s="1770"/>
      <c r="G46" s="1770"/>
      <c r="H46" s="1770"/>
      <c r="I46" s="1770"/>
      <c r="J46" s="1770"/>
      <c r="K46" s="1770"/>
      <c r="L46" s="1770"/>
      <c r="M46" s="1770"/>
      <c r="N46" s="1771"/>
    </row>
    <row r="47" spans="2:14" ht="13.5">
      <c r="B47" s="1826" t="s">
        <v>173</v>
      </c>
      <c r="C47" s="1851"/>
      <c r="D47" s="1851"/>
      <c r="E47" s="1851"/>
      <c r="F47" s="1851"/>
      <c r="G47" s="1851"/>
      <c r="H47" s="1851"/>
      <c r="I47" s="1832"/>
      <c r="J47" s="193" t="s">
        <v>38</v>
      </c>
      <c r="K47" s="178" t="s">
        <v>115</v>
      </c>
      <c r="L47" s="1829" t="s">
        <v>190</v>
      </c>
      <c r="M47" s="1832"/>
      <c r="N47" s="179" t="s">
        <v>191</v>
      </c>
    </row>
    <row r="48" spans="2:14">
      <c r="B48" s="1839"/>
      <c r="C48" s="1840"/>
      <c r="D48" s="1840"/>
      <c r="E48" s="1840"/>
      <c r="F48" s="1840"/>
      <c r="G48" s="1840"/>
      <c r="H48" s="1840"/>
      <c r="I48" s="1841"/>
      <c r="J48" s="129"/>
      <c r="K48" s="130"/>
      <c r="L48" s="1852"/>
      <c r="M48" s="1853"/>
      <c r="N48" s="89"/>
    </row>
    <row r="49" spans="2:14">
      <c r="B49" s="1839"/>
      <c r="C49" s="1840"/>
      <c r="D49" s="1840"/>
      <c r="E49" s="1840"/>
      <c r="F49" s="1840"/>
      <c r="G49" s="1840"/>
      <c r="H49" s="1840"/>
      <c r="I49" s="1841"/>
      <c r="J49" s="129"/>
      <c r="K49" s="130"/>
      <c r="L49" s="1852"/>
      <c r="M49" s="1853"/>
      <c r="N49" s="89"/>
    </row>
    <row r="50" spans="2:14">
      <c r="B50" s="1839"/>
      <c r="C50" s="1840"/>
      <c r="D50" s="1840"/>
      <c r="E50" s="1840"/>
      <c r="F50" s="1840"/>
      <c r="G50" s="1840"/>
      <c r="H50" s="1840"/>
      <c r="I50" s="1841"/>
      <c r="J50" s="129"/>
      <c r="K50" s="130"/>
      <c r="L50" s="1852"/>
      <c r="M50" s="1853"/>
      <c r="N50" s="89"/>
    </row>
    <row r="51" spans="2:14" ht="13.5" thickBot="1">
      <c r="B51" s="1839"/>
      <c r="C51" s="1840"/>
      <c r="D51" s="1840"/>
      <c r="E51" s="1840"/>
      <c r="F51" s="1840"/>
      <c r="G51" s="1840"/>
      <c r="H51" s="1840"/>
      <c r="I51" s="1841"/>
      <c r="J51" s="131"/>
      <c r="K51" s="132"/>
      <c r="L51" s="1852"/>
      <c r="M51" s="1853"/>
      <c r="N51" s="89"/>
    </row>
    <row r="52" spans="2:14" ht="14.25" thickBot="1">
      <c r="B52" s="1848" t="s">
        <v>188</v>
      </c>
      <c r="C52" s="1849"/>
      <c r="D52" s="1849"/>
      <c r="E52" s="1849"/>
      <c r="F52" s="1849"/>
      <c r="G52" s="1849"/>
      <c r="H52" s="1849"/>
      <c r="I52" s="1849"/>
      <c r="J52" s="1849"/>
      <c r="K52" s="1849"/>
      <c r="L52" s="1849"/>
      <c r="M52" s="1850"/>
      <c r="N52" s="99">
        <v>0</v>
      </c>
    </row>
    <row r="53" spans="2:14">
      <c r="B53" s="1766" t="s">
        <v>51</v>
      </c>
      <c r="C53" s="1767"/>
      <c r="D53" s="1767"/>
      <c r="E53" s="1767"/>
      <c r="F53" s="1767"/>
      <c r="G53" s="1767"/>
      <c r="H53" s="1767"/>
      <c r="I53" s="1767"/>
      <c r="J53" s="1767"/>
      <c r="K53" s="1767"/>
      <c r="L53" s="1767"/>
      <c r="M53" s="1767"/>
      <c r="N53" s="1768"/>
    </row>
    <row r="54" spans="2:14">
      <c r="B54" s="1766"/>
      <c r="C54" s="1767"/>
      <c r="D54" s="1767"/>
      <c r="E54" s="1767"/>
      <c r="F54" s="1767"/>
      <c r="G54" s="1767"/>
      <c r="H54" s="1767"/>
      <c r="I54" s="1767"/>
      <c r="J54" s="1767"/>
      <c r="K54" s="1767"/>
      <c r="L54" s="1767"/>
      <c r="M54" s="1767"/>
      <c r="N54" s="1768"/>
    </row>
    <row r="55" spans="2:14" ht="13.5" thickBot="1">
      <c r="B55" s="1769"/>
      <c r="C55" s="1770"/>
      <c r="D55" s="1770"/>
      <c r="E55" s="1770"/>
      <c r="F55" s="1770"/>
      <c r="G55" s="1770"/>
      <c r="H55" s="1770"/>
      <c r="I55" s="1770"/>
      <c r="J55" s="1770"/>
      <c r="K55" s="1770"/>
      <c r="L55" s="1770"/>
      <c r="M55" s="1770"/>
      <c r="N55" s="1771"/>
    </row>
    <row r="56" spans="2:14" ht="13.5">
      <c r="B56" s="1826" t="s">
        <v>192</v>
      </c>
      <c r="C56" s="1851"/>
      <c r="D56" s="1851"/>
      <c r="E56" s="1851"/>
      <c r="F56" s="1851"/>
      <c r="G56" s="1851"/>
      <c r="H56" s="1851"/>
      <c r="I56" s="178" t="s">
        <v>193</v>
      </c>
      <c r="J56" s="196" t="s">
        <v>194</v>
      </c>
      <c r="K56" s="182" t="s">
        <v>310</v>
      </c>
      <c r="L56" s="1829" t="s">
        <v>39</v>
      </c>
      <c r="M56" s="1832"/>
      <c r="N56" s="179" t="s">
        <v>191</v>
      </c>
    </row>
    <row r="57" spans="2:14">
      <c r="B57" s="1839"/>
      <c r="C57" s="1840"/>
      <c r="D57" s="1840"/>
      <c r="E57" s="1840"/>
      <c r="F57" s="1840"/>
      <c r="G57" s="1840"/>
      <c r="H57" s="1840"/>
      <c r="I57" s="96"/>
      <c r="J57" s="133"/>
      <c r="K57" s="134"/>
      <c r="L57" s="1859"/>
      <c r="M57" s="1860"/>
      <c r="N57" s="135"/>
    </row>
    <row r="58" spans="2:14">
      <c r="B58" s="1839"/>
      <c r="C58" s="1840"/>
      <c r="D58" s="1840"/>
      <c r="E58" s="1840"/>
      <c r="F58" s="1840"/>
      <c r="G58" s="1840"/>
      <c r="H58" s="1840"/>
      <c r="I58" s="96"/>
      <c r="J58" s="133"/>
      <c r="K58" s="134"/>
      <c r="L58" s="1859"/>
      <c r="M58" s="1860"/>
      <c r="N58" s="135"/>
    </row>
    <row r="59" spans="2:14" ht="13.5" thickBot="1">
      <c r="B59" s="1834"/>
      <c r="C59" s="1835"/>
      <c r="D59" s="1835"/>
      <c r="E59" s="1835"/>
      <c r="F59" s="1835"/>
      <c r="G59" s="1835"/>
      <c r="H59" s="1835"/>
      <c r="I59" s="136"/>
      <c r="J59" s="137"/>
      <c r="K59" s="100"/>
      <c r="L59" s="1837"/>
      <c r="M59" s="1838"/>
      <c r="N59" s="135"/>
    </row>
    <row r="60" spans="2:14" ht="14.25" thickBot="1">
      <c r="B60" s="1848" t="s">
        <v>188</v>
      </c>
      <c r="C60" s="1849"/>
      <c r="D60" s="1849"/>
      <c r="E60" s="1849"/>
      <c r="F60" s="1849"/>
      <c r="G60" s="1849"/>
      <c r="H60" s="1849"/>
      <c r="I60" s="1849"/>
      <c r="J60" s="1849"/>
      <c r="K60" s="1849"/>
      <c r="L60" s="1849"/>
      <c r="M60" s="1850"/>
      <c r="N60" s="112">
        <v>0</v>
      </c>
    </row>
    <row r="61" spans="2:14">
      <c r="B61" s="1766" t="s">
        <v>52</v>
      </c>
      <c r="C61" s="1767"/>
      <c r="D61" s="1767"/>
      <c r="E61" s="1767"/>
      <c r="F61" s="1767"/>
      <c r="G61" s="1767"/>
      <c r="H61" s="1767"/>
      <c r="I61" s="1767"/>
      <c r="J61" s="1767"/>
      <c r="K61" s="1767"/>
      <c r="L61" s="1767"/>
      <c r="M61" s="1767"/>
      <c r="N61" s="1768"/>
    </row>
    <row r="62" spans="2:14">
      <c r="B62" s="1766"/>
      <c r="C62" s="1767"/>
      <c r="D62" s="1767"/>
      <c r="E62" s="1767"/>
      <c r="F62" s="1767"/>
      <c r="G62" s="1767"/>
      <c r="H62" s="1767"/>
      <c r="I62" s="1767"/>
      <c r="J62" s="1767"/>
      <c r="K62" s="1767"/>
      <c r="L62" s="1767"/>
      <c r="M62" s="1767"/>
      <c r="N62" s="1768"/>
    </row>
    <row r="63" spans="2:14" ht="13.5" thickBot="1">
      <c r="B63" s="1769"/>
      <c r="C63" s="1770"/>
      <c r="D63" s="1770"/>
      <c r="E63" s="1770"/>
      <c r="F63" s="1770"/>
      <c r="G63" s="1770"/>
      <c r="H63" s="1770"/>
      <c r="I63" s="1770"/>
      <c r="J63" s="1770"/>
      <c r="K63" s="1770"/>
      <c r="L63" s="1770"/>
      <c r="M63" s="1770"/>
      <c r="N63" s="1771"/>
    </row>
    <row r="64" spans="2:14" ht="13.5">
      <c r="B64" s="1826" t="s">
        <v>195</v>
      </c>
      <c r="C64" s="1851"/>
      <c r="D64" s="1851"/>
      <c r="E64" s="1851"/>
      <c r="F64" s="1851"/>
      <c r="G64" s="1851"/>
      <c r="H64" s="1851"/>
      <c r="I64" s="178" t="s">
        <v>196</v>
      </c>
      <c r="J64" s="196" t="s">
        <v>46</v>
      </c>
      <c r="K64" s="182" t="s">
        <v>197</v>
      </c>
      <c r="L64" s="1829" t="s">
        <v>186</v>
      </c>
      <c r="M64" s="1832"/>
      <c r="N64" s="179" t="s">
        <v>191</v>
      </c>
    </row>
    <row r="65" spans="2:14">
      <c r="B65" s="198"/>
      <c r="C65" s="199"/>
      <c r="D65" s="199"/>
      <c r="E65" s="199"/>
      <c r="F65" s="199"/>
      <c r="G65" s="199"/>
      <c r="H65" s="199"/>
      <c r="I65" s="107"/>
      <c r="J65" s="108"/>
      <c r="K65" s="109"/>
      <c r="L65" s="1861"/>
      <c r="M65" s="1862"/>
      <c r="N65" s="110"/>
    </row>
    <row r="66" spans="2:14">
      <c r="B66" s="198"/>
      <c r="C66" s="199"/>
      <c r="D66" s="199"/>
      <c r="E66" s="199"/>
      <c r="F66" s="199"/>
      <c r="G66" s="199"/>
      <c r="H66" s="199"/>
      <c r="I66" s="107"/>
      <c r="J66" s="108"/>
      <c r="K66" s="109"/>
      <c r="L66" s="1861"/>
      <c r="M66" s="1862"/>
      <c r="N66" s="110"/>
    </row>
    <row r="67" spans="2:14">
      <c r="B67" s="198"/>
      <c r="C67" s="199"/>
      <c r="D67" s="199"/>
      <c r="E67" s="199"/>
      <c r="F67" s="199"/>
      <c r="G67" s="199"/>
      <c r="H67" s="199"/>
      <c r="I67" s="107"/>
      <c r="J67" s="108"/>
      <c r="K67" s="109"/>
      <c r="L67" s="1859"/>
      <c r="M67" s="1860"/>
      <c r="N67" s="110"/>
    </row>
    <row r="68" spans="2:14" ht="13.5" thickBot="1">
      <c r="B68" s="1834"/>
      <c r="C68" s="1835"/>
      <c r="D68" s="1835"/>
      <c r="E68" s="1835"/>
      <c r="F68" s="1835"/>
      <c r="G68" s="1835"/>
      <c r="H68" s="1835"/>
      <c r="I68" s="102"/>
      <c r="J68" s="87"/>
      <c r="K68" s="102"/>
      <c r="L68" s="1837"/>
      <c r="M68" s="1838"/>
      <c r="N68" s="111"/>
    </row>
    <row r="69" spans="2:14" ht="14.25" thickBot="1">
      <c r="B69" s="1848" t="s">
        <v>188</v>
      </c>
      <c r="C69" s="1849"/>
      <c r="D69" s="1849"/>
      <c r="E69" s="1849"/>
      <c r="F69" s="1849"/>
      <c r="G69" s="1849"/>
      <c r="H69" s="1849"/>
      <c r="I69" s="1849"/>
      <c r="J69" s="1849"/>
      <c r="K69" s="1849"/>
      <c r="L69" s="1849"/>
      <c r="M69" s="1850"/>
      <c r="N69" s="112">
        <v>0</v>
      </c>
    </row>
    <row r="70" spans="2:14" ht="13.5" thickBot="1">
      <c r="B70" s="85"/>
      <c r="C70" s="66"/>
      <c r="D70" s="66"/>
      <c r="E70" s="66"/>
      <c r="F70" s="66"/>
      <c r="G70" s="66"/>
      <c r="H70" s="66"/>
      <c r="I70" s="66"/>
      <c r="J70" s="66"/>
      <c r="K70" s="66"/>
      <c r="L70" s="66"/>
      <c r="M70" s="66"/>
      <c r="N70" s="73"/>
    </row>
    <row r="71" spans="2:14" ht="13.5" thickBot="1">
      <c r="B71" s="1854" t="s">
        <v>198</v>
      </c>
      <c r="C71" s="1855"/>
      <c r="D71" s="1855"/>
      <c r="E71" s="1855"/>
      <c r="F71" s="1855"/>
      <c r="G71" s="1855"/>
      <c r="H71" s="1855"/>
      <c r="I71" s="1855"/>
      <c r="J71" s="1855"/>
      <c r="K71" s="1855"/>
      <c r="L71" s="1855"/>
      <c r="M71" s="1856"/>
      <c r="N71" s="186">
        <v>852.17391304347825</v>
      </c>
    </row>
    <row r="72" spans="2:14">
      <c r="B72" s="1766" t="s">
        <v>53</v>
      </c>
      <c r="C72" s="1767"/>
      <c r="D72" s="1767"/>
      <c r="E72" s="1767"/>
      <c r="F72" s="1767"/>
      <c r="G72" s="1767"/>
      <c r="H72" s="1767"/>
      <c r="I72" s="1767"/>
      <c r="J72" s="1767"/>
      <c r="K72" s="1767"/>
      <c r="L72" s="1767"/>
      <c r="M72" s="1767"/>
      <c r="N72" s="1768"/>
    </row>
    <row r="73" spans="2:14">
      <c r="B73" s="1766"/>
      <c r="C73" s="1767"/>
      <c r="D73" s="1767"/>
      <c r="E73" s="1767"/>
      <c r="F73" s="1767"/>
      <c r="G73" s="1767"/>
      <c r="H73" s="1767"/>
      <c r="I73" s="1767"/>
      <c r="J73" s="1767"/>
      <c r="K73" s="1767"/>
      <c r="L73" s="1767"/>
      <c r="M73" s="1767"/>
      <c r="N73" s="1768"/>
    </row>
    <row r="74" spans="2:14" ht="13.5" thickBot="1">
      <c r="B74" s="1769"/>
      <c r="C74" s="1770"/>
      <c r="D74" s="1770"/>
      <c r="E74" s="1770"/>
      <c r="F74" s="1770"/>
      <c r="G74" s="1770"/>
      <c r="H74" s="1770"/>
      <c r="I74" s="1770"/>
      <c r="J74" s="1770"/>
      <c r="K74" s="1770"/>
      <c r="L74" s="1770"/>
      <c r="M74" s="1770"/>
      <c r="N74" s="1771"/>
    </row>
    <row r="75" spans="2:14" ht="13.5">
      <c r="B75" s="1826" t="s">
        <v>50</v>
      </c>
      <c r="C75" s="1851"/>
      <c r="D75" s="1851"/>
      <c r="E75" s="1851"/>
      <c r="F75" s="1851"/>
      <c r="G75" s="1851"/>
      <c r="H75" s="1851"/>
      <c r="I75" s="196"/>
      <c r="J75" s="197"/>
      <c r="K75" s="184" t="s">
        <v>54</v>
      </c>
      <c r="L75" s="1857" t="s">
        <v>55</v>
      </c>
      <c r="M75" s="1858"/>
      <c r="N75" s="185"/>
    </row>
    <row r="76" spans="2:14">
      <c r="B76" s="1839" t="s">
        <v>44</v>
      </c>
      <c r="C76" s="1840"/>
      <c r="D76" s="1840"/>
      <c r="E76" s="1840"/>
      <c r="F76" s="1840"/>
      <c r="G76" s="1840"/>
      <c r="H76" s="1840"/>
      <c r="I76" s="113"/>
      <c r="J76" s="114"/>
      <c r="K76" s="192">
        <v>0.22</v>
      </c>
      <c r="L76" s="1877">
        <v>187.47826086956522</v>
      </c>
      <c r="M76" s="1878"/>
      <c r="N76" s="115"/>
    </row>
    <row r="77" spans="2:14">
      <c r="B77" s="116" t="s">
        <v>56</v>
      </c>
      <c r="C77" s="117"/>
      <c r="D77" s="117"/>
      <c r="E77" s="117"/>
      <c r="F77" s="117"/>
      <c r="G77" s="117"/>
      <c r="H77" s="117"/>
      <c r="I77" s="113"/>
      <c r="J77" s="114"/>
      <c r="K77" s="192">
        <v>0.05</v>
      </c>
      <c r="L77" s="1877">
        <v>42.608695652173914</v>
      </c>
      <c r="M77" s="1878"/>
      <c r="N77" s="115"/>
    </row>
    <row r="78" spans="2:14" ht="13.5" thickBot="1">
      <c r="B78" s="194" t="s">
        <v>45</v>
      </c>
      <c r="C78" s="195"/>
      <c r="D78" s="195"/>
      <c r="E78" s="195"/>
      <c r="F78" s="195"/>
      <c r="G78" s="195"/>
      <c r="H78" s="195"/>
      <c r="I78" s="120"/>
      <c r="J78" s="121"/>
      <c r="K78" s="192">
        <v>0.05</v>
      </c>
      <c r="L78" s="1879">
        <v>42.608695652173914</v>
      </c>
      <c r="M78" s="1880"/>
      <c r="N78" s="115"/>
    </row>
    <row r="79" spans="2:14" ht="14.25" thickBot="1">
      <c r="B79" s="1848" t="s">
        <v>188</v>
      </c>
      <c r="C79" s="1849"/>
      <c r="D79" s="1849"/>
      <c r="E79" s="1849"/>
      <c r="F79" s="1849"/>
      <c r="G79" s="1849"/>
      <c r="H79" s="1849"/>
      <c r="I79" s="1849"/>
      <c r="J79" s="1849"/>
      <c r="K79" s="1849"/>
      <c r="L79" s="1849"/>
      <c r="M79" s="1850"/>
      <c r="N79" s="122">
        <v>272.69565217391306</v>
      </c>
    </row>
    <row r="80" spans="2:14" ht="13.5" thickBot="1">
      <c r="B80" s="85"/>
      <c r="C80" s="66"/>
      <c r="D80" s="66"/>
      <c r="E80" s="66"/>
      <c r="F80" s="66"/>
      <c r="G80" s="66"/>
      <c r="H80" s="66"/>
      <c r="I80" s="66"/>
      <c r="J80" s="66"/>
      <c r="K80" s="66"/>
      <c r="L80" s="66"/>
      <c r="M80" s="66"/>
      <c r="N80" s="73"/>
    </row>
    <row r="81" spans="2:14" ht="13.5" thickBot="1">
      <c r="B81" s="1854" t="s">
        <v>199</v>
      </c>
      <c r="C81" s="1855"/>
      <c r="D81" s="1855"/>
      <c r="E81" s="1855"/>
      <c r="F81" s="1855"/>
      <c r="G81" s="1855"/>
      <c r="H81" s="1855"/>
      <c r="I81" s="1855"/>
      <c r="J81" s="1855"/>
      <c r="K81" s="1855"/>
      <c r="L81" s="1855"/>
      <c r="M81" s="1856"/>
      <c r="N81" s="188">
        <v>1125</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249</v>
      </c>
      <c r="H85" s="71"/>
      <c r="I85" s="71"/>
      <c r="J85" s="71"/>
      <c r="K85" s="66"/>
      <c r="L85" s="66"/>
      <c r="M85" s="66"/>
      <c r="N85" s="73"/>
    </row>
    <row r="86" spans="2:14" ht="13.5">
      <c r="B86" s="123"/>
      <c r="C86" s="124"/>
      <c r="D86" s="124"/>
      <c r="E86" s="124"/>
      <c r="F86" s="124"/>
      <c r="G86" s="71" t="s">
        <v>250</v>
      </c>
      <c r="H86" s="124"/>
      <c r="I86" s="124"/>
      <c r="J86" s="124"/>
      <c r="K86" s="124"/>
      <c r="L86" s="124"/>
      <c r="M86" s="124"/>
      <c r="N86" s="125"/>
    </row>
    <row r="87" spans="2:14" ht="13.5">
      <c r="B87" s="123"/>
      <c r="C87" s="124"/>
      <c r="D87" s="124"/>
      <c r="E87" s="124"/>
      <c r="F87" s="124"/>
      <c r="G87" s="71" t="s">
        <v>251</v>
      </c>
      <c r="J87" s="124"/>
      <c r="K87" s="124"/>
      <c r="L87" s="124"/>
      <c r="M87" s="124"/>
      <c r="N87" s="125"/>
    </row>
    <row r="88" spans="2:14">
      <c r="B88" s="49"/>
      <c r="C88" s="81"/>
      <c r="D88" s="81"/>
      <c r="E88" s="81"/>
      <c r="F88" s="81"/>
      <c r="G88" s="71" t="s">
        <v>252</v>
      </c>
      <c r="H88" s="81"/>
      <c r="I88" s="81"/>
      <c r="J88" s="81"/>
      <c r="K88" s="81"/>
      <c r="L88" s="81"/>
      <c r="M88" s="81"/>
      <c r="N88" s="79"/>
    </row>
    <row r="89" spans="2:14">
      <c r="B89" s="85"/>
      <c r="C89" s="66"/>
      <c r="D89" s="66"/>
      <c r="E89" s="66"/>
      <c r="F89" s="66"/>
      <c r="G89" s="66" t="s">
        <v>253</v>
      </c>
      <c r="H89" s="66"/>
      <c r="I89" s="66"/>
      <c r="J89" s="66"/>
      <c r="K89" s="66"/>
      <c r="L89" s="66"/>
      <c r="M89" s="66"/>
      <c r="N89" s="73"/>
    </row>
    <row r="90" spans="2:14" ht="13.5">
      <c r="B90" s="92" t="s">
        <v>254</v>
      </c>
      <c r="C90" s="93"/>
      <c r="D90" s="93"/>
      <c r="E90" s="93"/>
      <c r="F90" s="93"/>
      <c r="G90" s="93"/>
      <c r="H90" s="93"/>
      <c r="I90" s="93"/>
      <c r="J90" s="93"/>
      <c r="K90" s="93"/>
      <c r="L90" s="93"/>
      <c r="M90" s="93"/>
      <c r="N90" s="94"/>
    </row>
    <row r="91" spans="2:14">
      <c r="B91" s="1874"/>
      <c r="C91" s="1875"/>
      <c r="D91" s="1875"/>
      <c r="E91" s="1875"/>
      <c r="F91" s="1875"/>
      <c r="G91" s="1875"/>
      <c r="H91" s="1875"/>
      <c r="I91" s="1875"/>
      <c r="J91" s="1875"/>
      <c r="K91" s="1875"/>
      <c r="L91" s="1875"/>
      <c r="M91" s="1875"/>
      <c r="N91" s="1876"/>
    </row>
    <row r="92" spans="2:14">
      <c r="B92" s="1874"/>
      <c r="C92" s="1875"/>
      <c r="D92" s="1875"/>
      <c r="E92" s="1875"/>
      <c r="F92" s="1875"/>
      <c r="G92" s="1875"/>
      <c r="H92" s="1875"/>
      <c r="I92" s="1875"/>
      <c r="J92" s="1875"/>
      <c r="K92" s="1875"/>
      <c r="L92" s="1875"/>
      <c r="M92" s="1875"/>
      <c r="N92" s="1876"/>
    </row>
    <row r="93" spans="2:14">
      <c r="B93" s="49"/>
      <c r="C93" s="81"/>
      <c r="D93" s="81"/>
      <c r="E93" s="81"/>
      <c r="F93" s="81"/>
      <c r="G93" s="81"/>
      <c r="H93" s="81"/>
      <c r="I93" s="81"/>
      <c r="J93" s="81"/>
      <c r="K93" s="81"/>
      <c r="L93" s="81"/>
      <c r="M93" s="81"/>
      <c r="N93" s="79"/>
    </row>
    <row r="94" spans="2:14">
      <c r="B94" s="406" t="s">
        <v>719</v>
      </c>
      <c r="C94" s="81"/>
      <c r="D94" s="81"/>
      <c r="E94" s="81"/>
      <c r="F94" s="81"/>
      <c r="G94" s="81"/>
      <c r="H94" s="81"/>
      <c r="I94" s="81"/>
      <c r="J94" s="81"/>
      <c r="K94" s="81"/>
      <c r="L94" s="81"/>
      <c r="M94" s="81"/>
      <c r="N94" s="79"/>
    </row>
    <row r="95" spans="2:14" ht="12.75" customHeight="1">
      <c r="B95" s="1871" t="s">
        <v>720</v>
      </c>
      <c r="C95" s="1872"/>
      <c r="D95" s="1872"/>
      <c r="E95" s="1872"/>
      <c r="F95" s="1872"/>
      <c r="G95" s="1872"/>
      <c r="H95" s="1872"/>
      <c r="I95" s="1872"/>
      <c r="J95" s="1872"/>
      <c r="K95" s="1872"/>
      <c r="L95" s="1872"/>
      <c r="M95" s="1872"/>
      <c r="N95" s="1873"/>
    </row>
    <row r="96" spans="2:14">
      <c r="B96" s="1871"/>
      <c r="C96" s="1872"/>
      <c r="D96" s="1872"/>
      <c r="E96" s="1872"/>
      <c r="F96" s="1872"/>
      <c r="G96" s="1872"/>
      <c r="H96" s="1872"/>
      <c r="I96" s="1872"/>
      <c r="J96" s="1872"/>
      <c r="K96" s="1872"/>
      <c r="L96" s="1872"/>
      <c r="M96" s="1872"/>
      <c r="N96" s="1873"/>
    </row>
    <row r="97" spans="2:14">
      <c r="B97" s="1871" t="s">
        <v>721</v>
      </c>
      <c r="C97" s="1872"/>
      <c r="D97" s="1872"/>
      <c r="E97" s="1872"/>
      <c r="F97" s="1872"/>
      <c r="G97" s="1872"/>
      <c r="H97" s="1872"/>
      <c r="I97" s="1872"/>
      <c r="J97" s="1872"/>
      <c r="K97" s="1872"/>
      <c r="L97" s="1872"/>
      <c r="M97" s="1872"/>
      <c r="N97" s="1873"/>
    </row>
    <row r="98" spans="2:14">
      <c r="B98" s="1871"/>
      <c r="C98" s="1872"/>
      <c r="D98" s="1872"/>
      <c r="E98" s="1872"/>
      <c r="F98" s="1872"/>
      <c r="G98" s="1872"/>
      <c r="H98" s="1872"/>
      <c r="I98" s="1872"/>
      <c r="J98" s="1872"/>
      <c r="K98" s="1872"/>
      <c r="L98" s="1872"/>
      <c r="M98" s="1872"/>
      <c r="N98" s="1873"/>
    </row>
    <row r="99" spans="2:14">
      <c r="B99" s="49"/>
      <c r="C99" s="81"/>
      <c r="D99" s="81"/>
      <c r="E99" s="81"/>
      <c r="F99" s="81"/>
      <c r="G99" s="81"/>
      <c r="H99" s="81"/>
      <c r="I99" s="81"/>
      <c r="J99" s="81"/>
      <c r="K99" s="81"/>
      <c r="L99" s="81"/>
      <c r="M99" s="81"/>
      <c r="N99" s="79"/>
    </row>
    <row r="100" spans="2:14">
      <c r="B100" s="85"/>
      <c r="C100" s="66"/>
      <c r="D100" s="66"/>
      <c r="E100" s="66"/>
      <c r="F100" s="66"/>
      <c r="G100" s="71" t="s">
        <v>249</v>
      </c>
      <c r="H100" s="66"/>
      <c r="I100" s="66"/>
      <c r="J100" s="66"/>
      <c r="K100" s="66"/>
      <c r="L100" s="66"/>
      <c r="M100" s="66"/>
      <c r="N100" s="73"/>
    </row>
    <row r="101" spans="2:14">
      <c r="B101" s="85"/>
      <c r="C101" s="66"/>
      <c r="D101" s="66"/>
      <c r="E101" s="66"/>
      <c r="F101" s="66"/>
      <c r="G101" s="66" t="s">
        <v>250</v>
      </c>
      <c r="H101" s="86"/>
      <c r="I101" s="86"/>
      <c r="J101" s="86"/>
      <c r="K101" s="66"/>
      <c r="L101" s="66"/>
      <c r="M101" s="66"/>
      <c r="N101" s="73"/>
    </row>
    <row r="102" spans="2:14">
      <c r="B102" s="85"/>
      <c r="C102" s="66"/>
      <c r="D102" s="66"/>
      <c r="E102" s="66"/>
      <c r="F102" s="66"/>
      <c r="G102" s="66" t="s">
        <v>255</v>
      </c>
      <c r="H102" s="80"/>
      <c r="I102" s="80"/>
      <c r="J102" s="80"/>
      <c r="M102" s="66"/>
      <c r="N102" s="73"/>
    </row>
    <row r="103" spans="2:14">
      <c r="B103" s="127"/>
      <c r="C103" s="81"/>
      <c r="D103" s="81"/>
      <c r="E103" s="81"/>
      <c r="F103" s="81"/>
      <c r="G103" s="66" t="s">
        <v>252</v>
      </c>
      <c r="K103" s="81"/>
      <c r="L103" s="81"/>
      <c r="M103" s="81"/>
      <c r="N103" s="79"/>
    </row>
    <row r="104" spans="2:14" ht="17.25" customHeight="1">
      <c r="B104" s="138" t="s">
        <v>722</v>
      </c>
      <c r="C104" s="128"/>
      <c r="D104" s="128"/>
      <c r="E104" s="66"/>
      <c r="F104" s="66"/>
      <c r="G104" s="66"/>
      <c r="H104" s="66"/>
      <c r="I104" s="66"/>
      <c r="J104" s="1863"/>
      <c r="K104" s="1863"/>
      <c r="L104" s="1863"/>
      <c r="M104" s="1863"/>
      <c r="N104" s="1864"/>
    </row>
    <row r="105" spans="2:14" ht="18.75" customHeight="1" thickBot="1">
      <c r="B105" s="1867" t="s">
        <v>723</v>
      </c>
      <c r="C105" s="1868"/>
      <c r="D105" s="1868"/>
      <c r="E105" s="87"/>
      <c r="F105" s="87"/>
      <c r="G105" s="87"/>
      <c r="H105" s="87"/>
      <c r="I105" s="87"/>
      <c r="J105" s="1865"/>
      <c r="K105" s="1865"/>
      <c r="L105" s="1865"/>
      <c r="M105" s="1865"/>
      <c r="N105" s="1866"/>
    </row>
  </sheetData>
  <mergeCells count="99">
    <mergeCell ref="J104:N105"/>
    <mergeCell ref="B105:D105"/>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 ref="B72:N74"/>
    <mergeCell ref="L67:M67"/>
    <mergeCell ref="B57:H57"/>
    <mergeCell ref="L57:M57"/>
    <mergeCell ref="B58:H58"/>
    <mergeCell ref="L58:M58"/>
    <mergeCell ref="B59:H59"/>
    <mergeCell ref="L59:M59"/>
    <mergeCell ref="B60:M60"/>
    <mergeCell ref="B64:H64"/>
    <mergeCell ref="L64:M64"/>
    <mergeCell ref="L65:M65"/>
    <mergeCell ref="L66:M66"/>
    <mergeCell ref="B61:N63"/>
    <mergeCell ref="B56:H56"/>
    <mergeCell ref="L56:M56"/>
    <mergeCell ref="B43:M43"/>
    <mergeCell ref="B47:I47"/>
    <mergeCell ref="L47:M47"/>
    <mergeCell ref="B48:I48"/>
    <mergeCell ref="L48:M48"/>
    <mergeCell ref="B49:I49"/>
    <mergeCell ref="L49:M49"/>
    <mergeCell ref="B50:I50"/>
    <mergeCell ref="L50:M50"/>
    <mergeCell ref="B51:I51"/>
    <mergeCell ref="L51:M51"/>
    <mergeCell ref="B52:M52"/>
    <mergeCell ref="B44:N46"/>
    <mergeCell ref="B53:N55"/>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4611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6113" r:id="rId3"/>
      </mc:Fallback>
    </mc:AlternateContent>
  </oleObjects>
  <mc:AlternateContent xmlns:mc="http://schemas.openxmlformats.org/markup-compatibility/2006">
    <mc:Choice Requires="x14">
      <controls>
        <mc:AlternateContent xmlns:mc="http://schemas.openxmlformats.org/markup-compatibility/2006">
          <mc:Choice Requires="x14">
            <control shapeId="34611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4611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67</vt:i4>
      </vt:variant>
      <vt:variant>
        <vt:lpstr>Rangos con nombre</vt:lpstr>
      </vt:variant>
      <vt:variant>
        <vt:i4>16</vt:i4>
      </vt:variant>
    </vt:vector>
  </HeadingPairs>
  <TitlesOfParts>
    <vt:vector size="83" baseType="lpstr">
      <vt:lpstr>PRESUPUESTO OFICIAL</vt:lpstr>
      <vt:lpstr>PPTO CONSTRUCCION</vt:lpstr>
      <vt:lpstr>PRESUPUESTO ACUMULADO</vt:lpstr>
      <vt:lpstr>CANTIDADES Fase II todo</vt:lpstr>
      <vt:lpstr>Acarreos Tramo 2 Fase I</vt:lpstr>
      <vt:lpstr>Acarreos Tramo 7 Fase I</vt:lpstr>
      <vt:lpstr>Acarreos Tramo 2 Fase II</vt:lpstr>
      <vt:lpstr>Acarreos Tramo 7 Fase II</vt:lpstr>
      <vt:lpstr>CANTIDADES TOTALIZADAS</vt:lpstr>
      <vt:lpstr>OBRAS PUNTUALES TRANSVERSAL</vt:lpstr>
      <vt:lpstr>Acarreos Tramo 2</vt:lpstr>
      <vt:lpstr>Acarreos Tramo 7</vt:lpstr>
      <vt:lpstr>FACTORES</vt:lpstr>
      <vt:lpstr>RESUMEN PRESUPUESTO</vt:lpstr>
      <vt:lpstr>200.2</vt:lpstr>
      <vt:lpstr>210.2.1</vt:lpstr>
      <vt:lpstr>210.2.2</vt:lpstr>
      <vt:lpstr>220.1</vt:lpstr>
      <vt:lpstr>220.1 P</vt:lpstr>
      <vt:lpstr>221.1P</vt:lpstr>
      <vt:lpstr>230.1P</vt:lpstr>
      <vt:lpstr>200P</vt:lpstr>
      <vt:lpstr>A BASE</vt:lpstr>
      <vt:lpstr>351.10</vt:lpstr>
      <vt:lpstr>aux base </vt:lpstr>
      <vt:lpstr>A BSBACH</vt:lpstr>
      <vt:lpstr>351.12</vt:lpstr>
      <vt:lpstr>420.2</vt:lpstr>
      <vt:lpstr>421.1</vt:lpstr>
      <vt:lpstr>450.2P</vt:lpstr>
      <vt:lpstr>A MDC19</vt:lpstr>
      <vt:lpstr>450.2.1P</vt:lpstr>
      <vt:lpstr>450.9 P</vt:lpstr>
      <vt:lpstr>460.1P</vt:lpstr>
      <vt:lpstr>466.1P</vt:lpstr>
      <vt:lpstr>600.1.1</vt:lpstr>
      <vt:lpstr>600.2.1</vt:lpstr>
      <vt:lpstr>600.2.3</vt:lpstr>
      <vt:lpstr>610.1</vt:lpstr>
      <vt:lpstr>610.3</vt:lpstr>
      <vt:lpstr>621,1 CLASE C</vt:lpstr>
      <vt:lpstr>621,1 D=1,25 CLASE C (2)</vt:lpstr>
      <vt:lpstr>630.1.1P</vt:lpstr>
      <vt:lpstr>630.3.4P</vt:lpstr>
      <vt:lpstr>630.4</vt:lpstr>
      <vt:lpstr>640.1</vt:lpstr>
      <vt:lpstr>661.1</vt:lpstr>
      <vt:lpstr>671.1</vt:lpstr>
      <vt:lpstr>673.1</vt:lpstr>
      <vt:lpstr>673.2</vt:lpstr>
      <vt:lpstr>673.3</vt:lpstr>
      <vt:lpstr>673.3P</vt:lpstr>
      <vt:lpstr>1p.</vt:lpstr>
      <vt:lpstr>2p.</vt:lpstr>
      <vt:lpstr>4p.</vt:lpstr>
      <vt:lpstr>5p.</vt:lpstr>
      <vt:lpstr>7p.</vt:lpstr>
      <vt:lpstr>720.1</vt:lpstr>
      <vt:lpstr>730.1</vt:lpstr>
      <vt:lpstr>730.2</vt:lpstr>
      <vt:lpstr>740.1</vt:lpstr>
      <vt:lpstr>800.2</vt:lpstr>
      <vt:lpstr>810.1</vt:lpstr>
      <vt:lpstr>810.2</vt:lpstr>
      <vt:lpstr>820.1</vt:lpstr>
      <vt:lpstr>900.1</vt:lpstr>
      <vt:lpstr>900.2</vt:lpstr>
      <vt:lpstr>'351.10'!Área_de_impresión</vt:lpstr>
      <vt:lpstr>'450.2.1P'!Área_de_impresión</vt:lpstr>
      <vt:lpstr>'Acarreos Tramo 2'!Área_de_impresión</vt:lpstr>
      <vt:lpstr>'Acarreos Tramo 2 Fase I'!Área_de_impresión</vt:lpstr>
      <vt:lpstr>'Acarreos Tramo 2 Fase II'!Área_de_impresión</vt:lpstr>
      <vt:lpstr>'Acarreos Tramo 7'!Área_de_impresión</vt:lpstr>
      <vt:lpstr>'Acarreos Tramo 7 Fase I'!Área_de_impresión</vt:lpstr>
      <vt:lpstr>'Acarreos Tramo 7 Fase II'!Área_de_impresión</vt:lpstr>
      <vt:lpstr>'CANTIDADES Fase II todo'!Área_de_impresión</vt:lpstr>
      <vt:lpstr>'CANTIDADES TOTALIZADAS'!Área_de_impresión</vt:lpstr>
      <vt:lpstr>'OBRAS PUNTUALES TRANSVERSAL'!Área_de_impresión</vt:lpstr>
      <vt:lpstr>'PRESUPUESTO ACUMULADO'!Área_de_impresión</vt:lpstr>
      <vt:lpstr>'PRESUPUESTO OFICIAL'!Área_de_impresión</vt:lpstr>
      <vt:lpstr>'RESUMEN PRESUPUESTO'!Área_de_impresión</vt:lpstr>
      <vt:lpstr>'CANTIDADES TOTALIZADAS'!Títulos_a_imprimir</vt:lpstr>
      <vt:lpstr>'OBRAS PUNTUALES TRANSVERSAL'!Títulos_a_imprimir</vt:lpstr>
    </vt:vector>
  </TitlesOfParts>
  <Company>Insrtituto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cpaezc</cp:lastModifiedBy>
  <cp:lastPrinted>2018-03-16T16:32:24Z</cp:lastPrinted>
  <dcterms:created xsi:type="dcterms:W3CDTF">2006-06-27T16:47:25Z</dcterms:created>
  <dcterms:modified xsi:type="dcterms:W3CDTF">2018-03-24T06:13:25Z</dcterms:modified>
</cp:coreProperties>
</file>