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BACK UP 07.07.2022\2026\SAF\TRANSPORTE\EVALUACIÓN MULTIMODAL\"/>
    </mc:Choice>
  </mc:AlternateContent>
  <xr:revisionPtr revIDLastSave="0" documentId="8_{E0E1EFBD-D845-4294-9E81-A7B74940C7EE}" xr6:coauthVersionLast="47" xr6:coauthVersionMax="47" xr10:uidLastSave="{00000000-0000-0000-0000-000000000000}"/>
  <bookViews>
    <workbookView xWindow="-110" yWindow="-110" windowWidth="19420" windowHeight="11500" activeTab="1" xr2:uid="{027D9AED-0B9B-4BBD-A370-6B9A2FCE2430}"/>
  </bookViews>
  <sheets>
    <sheet name="LOTE 1." sheetId="3" r:id="rId1"/>
    <sheet name="LOTE 2.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2" l="1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" i="2"/>
  <c r="G8" i="2"/>
  <c r="G9" i="2"/>
  <c r="G10" i="2"/>
  <c r="G11" i="2"/>
  <c r="G12" i="2"/>
  <c r="G13" i="2"/>
  <c r="G14" i="2"/>
  <c r="G6" i="2"/>
  <c r="G5" i="2"/>
  <c r="G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K5" i="2"/>
  <c r="L5" i="2"/>
  <c r="M5" i="2"/>
  <c r="N5" i="2"/>
  <c r="O5" i="2"/>
  <c r="AC67" i="2"/>
  <c r="AC68" i="2" s="1"/>
  <c r="AE68" i="2" s="1"/>
  <c r="AF68" i="2" s="1"/>
  <c r="AC64" i="2"/>
  <c r="AC65" i="2" s="1"/>
  <c r="AE65" i="2" s="1"/>
  <c r="AF65" i="2" s="1"/>
  <c r="AC68" i="3"/>
  <c r="AE68" i="3" s="1"/>
  <c r="AC67" i="3"/>
  <c r="AC64" i="3"/>
  <c r="AE64" i="3" s="1"/>
  <c r="AE77" i="3"/>
  <c r="AC76" i="3"/>
  <c r="AE76" i="3" s="1"/>
  <c r="AE75" i="3"/>
  <c r="AC74" i="3"/>
  <c r="AE74" i="3" s="1"/>
  <c r="AE73" i="3"/>
  <c r="AC72" i="3"/>
  <c r="AE72" i="3" s="1"/>
  <c r="AE71" i="3"/>
  <c r="AC70" i="3"/>
  <c r="AE70" i="3" s="1"/>
  <c r="AG70" i="3" s="1"/>
  <c r="AE69" i="3"/>
  <c r="AE67" i="3"/>
  <c r="AF67" i="3" s="1"/>
  <c r="AH67" i="3" s="1"/>
  <c r="AE66" i="3"/>
  <c r="AE63" i="3"/>
  <c r="AC61" i="3"/>
  <c r="AE61" i="3" s="1"/>
  <c r="AE60" i="3"/>
  <c r="AC58" i="3"/>
  <c r="AE58" i="3" s="1"/>
  <c r="AG58" i="3" s="1"/>
  <c r="AF57" i="3"/>
  <c r="AE57" i="3"/>
  <c r="AC54" i="3"/>
  <c r="AB54" i="3"/>
  <c r="AA54" i="3"/>
  <c r="Z54" i="3"/>
  <c r="Y54" i="3"/>
  <c r="X54" i="3"/>
  <c r="W54" i="3"/>
  <c r="V54" i="3"/>
  <c r="U54" i="3"/>
  <c r="T54" i="3"/>
  <c r="S54" i="3"/>
  <c r="R54" i="3"/>
  <c r="Q54" i="3"/>
  <c r="P54" i="3"/>
  <c r="O54" i="3"/>
  <c r="N54" i="3"/>
  <c r="M54" i="3"/>
  <c r="L54" i="3"/>
  <c r="K54" i="3"/>
  <c r="AC53" i="3"/>
  <c r="AB53" i="3"/>
  <c r="Z53" i="3"/>
  <c r="Y53" i="3"/>
  <c r="X53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AC51" i="3"/>
  <c r="AB51" i="3"/>
  <c r="Z51" i="3"/>
  <c r="Y51" i="3"/>
  <c r="X51" i="3"/>
  <c r="W51" i="3"/>
  <c r="V51" i="3"/>
  <c r="U51" i="3"/>
  <c r="T51" i="3"/>
  <c r="S51" i="3"/>
  <c r="R51" i="3"/>
  <c r="Q51" i="3"/>
  <c r="P51" i="3"/>
  <c r="O51" i="3"/>
  <c r="N51" i="3"/>
  <c r="M51" i="3"/>
  <c r="L51" i="3"/>
  <c r="K51" i="3"/>
  <c r="AC50" i="3"/>
  <c r="AB50" i="3"/>
  <c r="AA50" i="3"/>
  <c r="Z50" i="3"/>
  <c r="Y50" i="3"/>
  <c r="X50" i="3"/>
  <c r="W50" i="3"/>
  <c r="V50" i="3"/>
  <c r="U50" i="3"/>
  <c r="T50" i="3"/>
  <c r="S50" i="3"/>
  <c r="R50" i="3"/>
  <c r="Q50" i="3"/>
  <c r="P50" i="3"/>
  <c r="O50" i="3"/>
  <c r="N50" i="3"/>
  <c r="M50" i="3"/>
  <c r="L50" i="3"/>
  <c r="K50" i="3"/>
  <c r="AC49" i="3"/>
  <c r="AB49" i="3"/>
  <c r="Z49" i="3"/>
  <c r="Y49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AE49" i="3" s="1"/>
  <c r="AC48" i="3"/>
  <c r="AB48" i="3"/>
  <c r="AA48" i="3"/>
  <c r="Z48" i="3"/>
  <c r="Y48" i="3"/>
  <c r="X48" i="3"/>
  <c r="W48" i="3"/>
  <c r="V48" i="3"/>
  <c r="U48" i="3"/>
  <c r="T48" i="3"/>
  <c r="S48" i="3"/>
  <c r="R48" i="3"/>
  <c r="Q48" i="3"/>
  <c r="P48" i="3"/>
  <c r="O48" i="3"/>
  <c r="N48" i="3"/>
  <c r="M48" i="3"/>
  <c r="L48" i="3"/>
  <c r="K48" i="3"/>
  <c r="AC47" i="3"/>
  <c r="AB47" i="3"/>
  <c r="Z47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AC46" i="3"/>
  <c r="AB46" i="3"/>
  <c r="AA46" i="3"/>
  <c r="Z46" i="3"/>
  <c r="Y46" i="3"/>
  <c r="X46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AC45" i="3"/>
  <c r="AB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AB44" i="3"/>
  <c r="AA44" i="3"/>
  <c r="Z44" i="3"/>
  <c r="Y44" i="3"/>
  <c r="X44" i="3"/>
  <c r="W44" i="3"/>
  <c r="V44" i="3"/>
  <c r="U44" i="3"/>
  <c r="T44" i="3"/>
  <c r="S44" i="3"/>
  <c r="R44" i="3"/>
  <c r="Q44" i="3"/>
  <c r="P44" i="3"/>
  <c r="O44" i="3"/>
  <c r="N44" i="3"/>
  <c r="M44" i="3"/>
  <c r="L44" i="3"/>
  <c r="K44" i="3"/>
  <c r="AC43" i="3"/>
  <c r="AB43" i="3"/>
  <c r="AA43" i="3"/>
  <c r="Z43" i="3"/>
  <c r="Y43" i="3"/>
  <c r="X43" i="3"/>
  <c r="W43" i="3"/>
  <c r="V43" i="3"/>
  <c r="U43" i="3"/>
  <c r="T43" i="3"/>
  <c r="S43" i="3"/>
  <c r="R43" i="3"/>
  <c r="Q43" i="3"/>
  <c r="P43" i="3"/>
  <c r="O43" i="3"/>
  <c r="N43" i="3"/>
  <c r="M43" i="3"/>
  <c r="L43" i="3"/>
  <c r="K43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AC41" i="3"/>
  <c r="AB41" i="3"/>
  <c r="AA41" i="3"/>
  <c r="Z41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AB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AC39" i="3"/>
  <c r="AB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AB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AC37" i="3"/>
  <c r="AB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AB36" i="3"/>
  <c r="Z36" i="3"/>
  <c r="Y36" i="3"/>
  <c r="X36" i="3"/>
  <c r="W36" i="3"/>
  <c r="V36" i="3"/>
  <c r="U36" i="3"/>
  <c r="T36" i="3"/>
  <c r="S36" i="3"/>
  <c r="R36" i="3"/>
  <c r="Q36" i="3"/>
  <c r="P36" i="3"/>
  <c r="O36" i="3"/>
  <c r="N36" i="3"/>
  <c r="M36" i="3"/>
  <c r="L36" i="3"/>
  <c r="K36" i="3"/>
  <c r="AC35" i="3"/>
  <c r="AB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AC34" i="3"/>
  <c r="AB34" i="3"/>
  <c r="AA34" i="3"/>
  <c r="AA38" i="3" s="1"/>
  <c r="Z34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AC33" i="3"/>
  <c r="AB33" i="3"/>
  <c r="Z33" i="3"/>
  <c r="Y33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K33" i="3"/>
  <c r="AB32" i="3"/>
  <c r="Z32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AB31" i="3"/>
  <c r="Z31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AB30" i="3"/>
  <c r="AA30" i="3"/>
  <c r="Z30" i="3"/>
  <c r="Y30" i="3"/>
  <c r="X30" i="3"/>
  <c r="W30" i="3"/>
  <c r="V30" i="3"/>
  <c r="U30" i="3"/>
  <c r="T30" i="3"/>
  <c r="S30" i="3"/>
  <c r="R30" i="3"/>
  <c r="Q30" i="3"/>
  <c r="P30" i="3"/>
  <c r="O30" i="3"/>
  <c r="N30" i="3"/>
  <c r="M30" i="3"/>
  <c r="AC29" i="3"/>
  <c r="AB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AB28" i="3"/>
  <c r="AA28" i="3"/>
  <c r="AA32" i="3" s="1"/>
  <c r="Z28" i="3"/>
  <c r="Y28" i="3"/>
  <c r="X28" i="3"/>
  <c r="W28" i="3"/>
  <c r="V28" i="3"/>
  <c r="U28" i="3"/>
  <c r="T28" i="3"/>
  <c r="S28" i="3"/>
  <c r="R28" i="3"/>
  <c r="Q28" i="3"/>
  <c r="P28" i="3"/>
  <c r="O28" i="3"/>
  <c r="N28" i="3"/>
  <c r="M28" i="3"/>
  <c r="K28" i="3"/>
  <c r="K30" i="3" s="1"/>
  <c r="AC27" i="3"/>
  <c r="AB27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K27" i="3"/>
  <c r="AC26" i="3"/>
  <c r="AB26" i="3"/>
  <c r="AA26" i="3"/>
  <c r="Z26" i="3"/>
  <c r="AC25" i="3"/>
  <c r="AB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L26" i="3" s="1"/>
  <c r="K25" i="3"/>
  <c r="K26" i="3" s="1"/>
  <c r="AB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AC23" i="3"/>
  <c r="AB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AC20" i="3"/>
  <c r="AB20" i="3"/>
  <c r="AA20" i="3"/>
  <c r="N20" i="3"/>
  <c r="AB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AB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AC17" i="3"/>
  <c r="AB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AC15" i="3"/>
  <c r="AB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AB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AC13" i="3"/>
  <c r="AB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AC12" i="3"/>
  <c r="AB12" i="3"/>
  <c r="AA12" i="3"/>
  <c r="AA23" i="3" s="1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AC10" i="3"/>
  <c r="AB10" i="3"/>
  <c r="AA10" i="3"/>
  <c r="W10" i="3"/>
  <c r="AB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AB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AC7" i="3"/>
  <c r="AB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AB6" i="3"/>
  <c r="AA6" i="3"/>
  <c r="AA7" i="3" s="1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J7" i="3" s="1"/>
  <c r="AC5" i="3"/>
  <c r="AB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U26" i="3" s="1"/>
  <c r="AC76" i="2"/>
  <c r="AE76" i="2" s="1"/>
  <c r="AF76" i="2" s="1"/>
  <c r="AC74" i="2"/>
  <c r="AE74" i="2" s="1"/>
  <c r="AF74" i="2" s="1"/>
  <c r="AC72" i="2"/>
  <c r="AE72" i="2" s="1"/>
  <c r="AF72" i="2" s="1"/>
  <c r="AC70" i="2"/>
  <c r="AE70" i="2" s="1"/>
  <c r="AF70" i="2" s="1"/>
  <c r="AC61" i="2"/>
  <c r="AC62" i="2" s="1"/>
  <c r="AE62" i="2" s="1"/>
  <c r="AF62" i="2" s="1"/>
  <c r="AC58" i="2"/>
  <c r="AE58" i="2" s="1"/>
  <c r="AF58" i="2" s="1"/>
  <c r="W54" i="2"/>
  <c r="W53" i="2"/>
  <c r="W52" i="2"/>
  <c r="W51" i="2"/>
  <c r="W50" i="2"/>
  <c r="W49" i="2"/>
  <c r="W48" i="2"/>
  <c r="W47" i="2"/>
  <c r="W46" i="2"/>
  <c r="W45" i="2"/>
  <c r="W44" i="2"/>
  <c r="W43" i="2"/>
  <c r="W42" i="2"/>
  <c r="W41" i="2"/>
  <c r="W40" i="2"/>
  <c r="W39" i="2"/>
  <c r="W38" i="2"/>
  <c r="W37" i="2"/>
  <c r="W36" i="2"/>
  <c r="W35" i="2"/>
  <c r="W34" i="2"/>
  <c r="W33" i="2"/>
  <c r="AA22" i="2"/>
  <c r="AA21" i="2"/>
  <c r="AA20" i="2"/>
  <c r="AA16" i="2"/>
  <c r="Y54" i="2"/>
  <c r="Y53" i="2"/>
  <c r="Y52" i="2"/>
  <c r="Y51" i="2"/>
  <c r="Y50" i="2"/>
  <c r="Y49" i="2"/>
  <c r="Y48" i="2"/>
  <c r="Y47" i="2"/>
  <c r="Y46" i="2"/>
  <c r="Y45" i="2"/>
  <c r="Y44" i="2"/>
  <c r="Y43" i="2"/>
  <c r="Y42" i="2"/>
  <c r="Y41" i="2"/>
  <c r="Y40" i="2"/>
  <c r="Y39" i="2"/>
  <c r="Y38" i="2"/>
  <c r="Y37" i="2"/>
  <c r="Y36" i="2"/>
  <c r="Y35" i="2"/>
  <c r="Y34" i="2"/>
  <c r="Y33" i="2"/>
  <c r="X54" i="2"/>
  <c r="X53" i="2"/>
  <c r="X52" i="2"/>
  <c r="X51" i="2"/>
  <c r="X50" i="2"/>
  <c r="X49" i="2"/>
  <c r="X48" i="2"/>
  <c r="X47" i="2"/>
  <c r="X46" i="2"/>
  <c r="X45" i="2"/>
  <c r="X44" i="2"/>
  <c r="X43" i="2"/>
  <c r="X42" i="2"/>
  <c r="X41" i="2"/>
  <c r="X40" i="2"/>
  <c r="X39" i="2"/>
  <c r="X38" i="2"/>
  <c r="X37" i="2"/>
  <c r="X36" i="2"/>
  <c r="X35" i="2"/>
  <c r="X34" i="2"/>
  <c r="X33" i="2"/>
  <c r="V54" i="2"/>
  <c r="V53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3" i="2"/>
  <c r="U54" i="2"/>
  <c r="U53" i="2"/>
  <c r="U52" i="2"/>
  <c r="U51" i="2"/>
  <c r="U50" i="2"/>
  <c r="U49" i="2"/>
  <c r="U48" i="2"/>
  <c r="U47" i="2"/>
  <c r="U46" i="2"/>
  <c r="U45" i="2"/>
  <c r="U44" i="2"/>
  <c r="U43" i="2"/>
  <c r="U42" i="2"/>
  <c r="U41" i="2"/>
  <c r="U40" i="2"/>
  <c r="U39" i="2"/>
  <c r="U38" i="2"/>
  <c r="U37" i="2"/>
  <c r="U36" i="2"/>
  <c r="U35" i="2"/>
  <c r="U34" i="2"/>
  <c r="U33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S54" i="2"/>
  <c r="S53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R5" i="2"/>
  <c r="R6" i="2"/>
  <c r="R7" i="2"/>
  <c r="R8" i="2"/>
  <c r="R9" i="2"/>
  <c r="R11" i="2"/>
  <c r="R12" i="2"/>
  <c r="R13" i="2"/>
  <c r="R14" i="2"/>
  <c r="R15" i="2"/>
  <c r="R16" i="2"/>
  <c r="R17" i="2"/>
  <c r="R18" i="2"/>
  <c r="R19" i="2"/>
  <c r="R21" i="2"/>
  <c r="R22" i="2"/>
  <c r="R23" i="2"/>
  <c r="R24" i="2"/>
  <c r="R25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S5" i="2"/>
  <c r="S6" i="2"/>
  <c r="S7" i="2"/>
  <c r="S8" i="2"/>
  <c r="S9" i="2"/>
  <c r="S11" i="2"/>
  <c r="S12" i="2"/>
  <c r="S13" i="2"/>
  <c r="S14" i="2"/>
  <c r="S15" i="2"/>
  <c r="S16" i="2"/>
  <c r="S17" i="2"/>
  <c r="S18" i="2"/>
  <c r="S19" i="2"/>
  <c r="S21" i="2"/>
  <c r="S22" i="2"/>
  <c r="S23" i="2"/>
  <c r="S24" i="2"/>
  <c r="S25" i="2"/>
  <c r="S27" i="2"/>
  <c r="S28" i="2"/>
  <c r="S29" i="2"/>
  <c r="S30" i="2"/>
  <c r="S31" i="2"/>
  <c r="S32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K54" i="2"/>
  <c r="K53" i="2"/>
  <c r="K52" i="2"/>
  <c r="K51" i="2"/>
  <c r="K50" i="2"/>
  <c r="K49" i="2"/>
  <c r="K48" i="2"/>
  <c r="K47" i="2"/>
  <c r="K46" i="2"/>
  <c r="K45" i="2"/>
  <c r="K44" i="2"/>
  <c r="K43" i="2"/>
  <c r="K41" i="2"/>
  <c r="K40" i="2"/>
  <c r="K39" i="2"/>
  <c r="K38" i="2"/>
  <c r="K37" i="2"/>
  <c r="K36" i="2"/>
  <c r="K35" i="2"/>
  <c r="K42" i="2"/>
  <c r="K34" i="2"/>
  <c r="K33" i="2"/>
  <c r="Z54" i="2"/>
  <c r="Z53" i="2"/>
  <c r="Z52" i="2"/>
  <c r="Z51" i="2"/>
  <c r="Z50" i="2"/>
  <c r="Z49" i="2"/>
  <c r="Z48" i="2"/>
  <c r="Z47" i="2"/>
  <c r="Z46" i="2"/>
  <c r="Z45" i="2"/>
  <c r="Z44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19" i="2"/>
  <c r="Z18" i="2"/>
  <c r="Z17" i="2"/>
  <c r="Z16" i="2"/>
  <c r="Z15" i="2"/>
  <c r="Z14" i="2"/>
  <c r="Z13" i="2"/>
  <c r="Z12" i="2"/>
  <c r="Z11" i="2"/>
  <c r="Z8" i="2"/>
  <c r="Z7" i="2"/>
  <c r="Z6" i="2"/>
  <c r="Z5" i="2"/>
  <c r="AA54" i="2"/>
  <c r="AA52" i="2"/>
  <c r="AA50" i="2"/>
  <c r="AA48" i="2"/>
  <c r="AA46" i="2"/>
  <c r="AA42" i="2"/>
  <c r="AA43" i="2"/>
  <c r="AA44" i="2"/>
  <c r="AA41" i="2"/>
  <c r="AA34" i="2"/>
  <c r="AA38" i="2" s="1"/>
  <c r="AA28" i="2"/>
  <c r="AA30" i="2" s="1"/>
  <c r="AA27" i="2"/>
  <c r="AA26" i="2"/>
  <c r="AA12" i="2"/>
  <c r="AA14" i="2" s="1"/>
  <c r="AA11" i="2"/>
  <c r="AA10" i="2"/>
  <c r="AA6" i="2"/>
  <c r="AA8" i="2" s="1"/>
  <c r="AE60" i="2"/>
  <c r="AF60" i="2" s="1"/>
  <c r="AE63" i="2"/>
  <c r="AF63" i="2" s="1"/>
  <c r="AE66" i="2"/>
  <c r="AF66" i="2" s="1"/>
  <c r="AE67" i="2"/>
  <c r="AF67" i="2" s="1"/>
  <c r="AE69" i="2"/>
  <c r="AF69" i="2" s="1"/>
  <c r="AE71" i="2"/>
  <c r="AF71" i="2" s="1"/>
  <c r="AE73" i="2"/>
  <c r="AF73" i="2" s="1"/>
  <c r="AE75" i="2"/>
  <c r="AF75" i="2" s="1"/>
  <c r="AE77" i="2"/>
  <c r="AF77" i="2" s="1"/>
  <c r="AE57" i="2"/>
  <c r="AF57" i="2" s="1"/>
  <c r="AE61" i="2" l="1"/>
  <c r="AF61" i="2" s="1"/>
  <c r="L27" i="3"/>
  <c r="L28" i="3"/>
  <c r="L29" i="3" s="1"/>
  <c r="AE12" i="3"/>
  <c r="X26" i="3"/>
  <c r="AG75" i="3"/>
  <c r="AE50" i="3"/>
  <c r="AF50" i="3" s="1"/>
  <c r="AH50" i="3" s="1"/>
  <c r="AE52" i="3"/>
  <c r="AG52" i="3" s="1"/>
  <c r="AG67" i="3"/>
  <c r="AF75" i="3"/>
  <c r="AH75" i="3" s="1"/>
  <c r="AF77" i="3"/>
  <c r="AH77" i="3" s="1"/>
  <c r="AE6" i="3"/>
  <c r="AG6" i="3" s="1"/>
  <c r="AE47" i="3"/>
  <c r="AA36" i="2"/>
  <c r="AE64" i="2"/>
  <c r="AF64" i="2" s="1"/>
  <c r="AA37" i="2"/>
  <c r="AG77" i="2"/>
  <c r="P20" i="3"/>
  <c r="AA17" i="2"/>
  <c r="AA23" i="2"/>
  <c r="M10" i="3"/>
  <c r="V20" i="3"/>
  <c r="AE21" i="3"/>
  <c r="AG21" i="3" s="1"/>
  <c r="AE22" i="3"/>
  <c r="AG22" i="3" s="1"/>
  <c r="AA36" i="3"/>
  <c r="AE36" i="3" s="1"/>
  <c r="AA37" i="3"/>
  <c r="AE37" i="3" s="1"/>
  <c r="AE7" i="3"/>
  <c r="K10" i="3"/>
  <c r="AE15" i="3"/>
  <c r="AG15" i="3" s="1"/>
  <c r="AA18" i="2"/>
  <c r="AA24" i="2"/>
  <c r="S10" i="3"/>
  <c r="X20" i="3"/>
  <c r="AE25" i="3"/>
  <c r="AF25" i="3" s="1"/>
  <c r="AH25" i="3" s="1"/>
  <c r="AE33" i="3"/>
  <c r="AE34" i="3"/>
  <c r="AG34" i="3" s="1"/>
  <c r="AE41" i="3"/>
  <c r="AG41" i="3" s="1"/>
  <c r="AE44" i="3"/>
  <c r="AG44" i="3" s="1"/>
  <c r="AE51" i="3"/>
  <c r="AF51" i="3" s="1"/>
  <c r="AH51" i="3" s="1"/>
  <c r="AE53" i="3"/>
  <c r="AG53" i="3" s="1"/>
  <c r="AE54" i="3"/>
  <c r="AC59" i="3"/>
  <c r="AE59" i="3" s="1"/>
  <c r="AA13" i="2"/>
  <c r="AA35" i="2"/>
  <c r="AA19" i="2"/>
  <c r="AC59" i="2"/>
  <c r="AE59" i="2" s="1"/>
  <c r="AF59" i="2" s="1"/>
  <c r="T10" i="3"/>
  <c r="Z20" i="3"/>
  <c r="AE23" i="3"/>
  <c r="T26" i="3"/>
  <c r="AA31" i="3"/>
  <c r="AE39" i="3"/>
  <c r="AF39" i="3" s="1"/>
  <c r="AH39" i="3" s="1"/>
  <c r="AE40" i="3"/>
  <c r="AE42" i="3"/>
  <c r="AH57" i="3"/>
  <c r="Y10" i="3"/>
  <c r="U10" i="3"/>
  <c r="AE11" i="3"/>
  <c r="AF11" i="3" s="1"/>
  <c r="AH11" i="3" s="1"/>
  <c r="AA14" i="3"/>
  <c r="AE14" i="3" s="1"/>
  <c r="L20" i="3"/>
  <c r="V26" i="3"/>
  <c r="AE27" i="3"/>
  <c r="AF27" i="3" s="1"/>
  <c r="AH27" i="3" s="1"/>
  <c r="K29" i="3"/>
  <c r="AE38" i="3"/>
  <c r="AF38" i="3" s="1"/>
  <c r="AE43" i="3"/>
  <c r="AG43" i="3" s="1"/>
  <c r="AE45" i="3"/>
  <c r="AG45" i="3" s="1"/>
  <c r="AE46" i="3"/>
  <c r="AE48" i="3"/>
  <c r="AC62" i="3"/>
  <c r="AE62" i="3" s="1"/>
  <c r="AF69" i="3"/>
  <c r="AH69" i="3" s="1"/>
  <c r="AF73" i="3"/>
  <c r="AH73" i="3" s="1"/>
  <c r="AE16" i="3"/>
  <c r="AF16" i="3" s="1"/>
  <c r="AF64" i="3"/>
  <c r="AH64" i="3" s="1"/>
  <c r="AG64" i="3"/>
  <c r="AF68" i="3"/>
  <c r="AH68" i="3" s="1"/>
  <c r="AF66" i="3"/>
  <c r="AH66" i="3" s="1"/>
  <c r="AC65" i="3"/>
  <c r="AE65" i="3" s="1"/>
  <c r="AG65" i="3" s="1"/>
  <c r="AF63" i="3"/>
  <c r="AH63" i="3" s="1"/>
  <c r="AF33" i="3"/>
  <c r="AF59" i="3"/>
  <c r="AH59" i="3" s="1"/>
  <c r="AG59" i="3"/>
  <c r="AG72" i="3"/>
  <c r="AF72" i="3"/>
  <c r="AH72" i="3"/>
  <c r="AH60" i="3"/>
  <c r="AG11" i="3"/>
  <c r="AF61" i="3"/>
  <c r="AH61" i="3"/>
  <c r="AG61" i="3"/>
  <c r="AG47" i="3"/>
  <c r="AF47" i="3"/>
  <c r="AH47" i="3" s="1"/>
  <c r="AG62" i="3"/>
  <c r="AF62" i="3"/>
  <c r="AH62" i="3" s="1"/>
  <c r="AG74" i="3"/>
  <c r="AF74" i="3"/>
  <c r="AH74" i="3" s="1"/>
  <c r="AG7" i="3"/>
  <c r="AF7" i="3"/>
  <c r="AH7" i="3" s="1"/>
  <c r="AG49" i="3"/>
  <c r="AF49" i="3"/>
  <c r="AH49" i="3" s="1"/>
  <c r="AF23" i="3"/>
  <c r="AH23" i="3" s="1"/>
  <c r="AG23" i="3"/>
  <c r="AG40" i="3"/>
  <c r="AF40" i="3"/>
  <c r="AH40" i="3" s="1"/>
  <c r="AG42" i="3"/>
  <c r="AF42" i="3"/>
  <c r="AH42" i="3" s="1"/>
  <c r="AG76" i="3"/>
  <c r="AF76" i="3"/>
  <c r="AH76" i="3" s="1"/>
  <c r="AG12" i="3"/>
  <c r="AF12" i="3"/>
  <c r="AH12" i="3" s="1"/>
  <c r="AG48" i="3"/>
  <c r="AF48" i="3"/>
  <c r="AH48" i="3" s="1"/>
  <c r="AG50" i="3"/>
  <c r="AE5" i="3"/>
  <c r="L10" i="3"/>
  <c r="X10" i="3"/>
  <c r="AA13" i="3"/>
  <c r="AE13" i="3" s="1"/>
  <c r="O20" i="3"/>
  <c r="W26" i="3"/>
  <c r="AA29" i="3"/>
  <c r="AE29" i="3" s="1"/>
  <c r="AF70" i="3"/>
  <c r="AH70" i="3" s="1"/>
  <c r="N10" i="3"/>
  <c r="Z10" i="3"/>
  <c r="AA19" i="3"/>
  <c r="AE19" i="3" s="1"/>
  <c r="Q20" i="3"/>
  <c r="M26" i="3"/>
  <c r="Y26" i="3"/>
  <c r="AA35" i="3"/>
  <c r="AE35" i="3" s="1"/>
  <c r="AG73" i="3"/>
  <c r="O10" i="3"/>
  <c r="R20" i="3"/>
  <c r="N26" i="3"/>
  <c r="K32" i="3"/>
  <c r="P10" i="3"/>
  <c r="AA18" i="3"/>
  <c r="AE18" i="3" s="1"/>
  <c r="S20" i="3"/>
  <c r="O26" i="3"/>
  <c r="AE28" i="3"/>
  <c r="AG57" i="3"/>
  <c r="AG68" i="3"/>
  <c r="AF71" i="3"/>
  <c r="AH71" i="3" s="1"/>
  <c r="AA9" i="3"/>
  <c r="AE9" i="3" s="1"/>
  <c r="Q10" i="3"/>
  <c r="AA17" i="3"/>
  <c r="AE17" i="3" s="1"/>
  <c r="T20" i="3"/>
  <c r="P26" i="3"/>
  <c r="K31" i="3"/>
  <c r="AF60" i="3"/>
  <c r="AG71" i="3"/>
  <c r="R10" i="3"/>
  <c r="U20" i="3"/>
  <c r="Q26" i="3"/>
  <c r="L31" i="3"/>
  <c r="AG60" i="3"/>
  <c r="AA8" i="3"/>
  <c r="AE8" i="3" s="1"/>
  <c r="R26" i="3"/>
  <c r="K20" i="3"/>
  <c r="W20" i="3"/>
  <c r="AA24" i="3"/>
  <c r="AE24" i="3" s="1"/>
  <c r="S26" i="3"/>
  <c r="L30" i="3"/>
  <c r="AE30" i="3" s="1"/>
  <c r="AF58" i="3"/>
  <c r="AH58" i="3" s="1"/>
  <c r="AG63" i="3"/>
  <c r="AG66" i="3"/>
  <c r="AG69" i="3"/>
  <c r="AG77" i="3"/>
  <c r="V10" i="3"/>
  <c r="M20" i="3"/>
  <c r="Y20" i="3"/>
  <c r="AA29" i="2"/>
  <c r="AA32" i="2"/>
  <c r="AA31" i="2"/>
  <c r="AA7" i="2"/>
  <c r="AA9" i="2"/>
  <c r="AG57" i="2"/>
  <c r="AG37" i="3" l="1"/>
  <c r="AF37" i="3"/>
  <c r="AH37" i="3" s="1"/>
  <c r="AF36" i="3"/>
  <c r="AH36" i="3" s="1"/>
  <c r="AG36" i="3"/>
  <c r="AG39" i="3"/>
  <c r="AH33" i="3"/>
  <c r="AF46" i="3"/>
  <c r="AH46" i="3" s="1"/>
  <c r="AG38" i="3"/>
  <c r="AF6" i="3"/>
  <c r="AH6" i="3" s="1"/>
  <c r="AH38" i="3"/>
  <c r="AF52" i="3"/>
  <c r="AH52" i="3" s="1"/>
  <c r="AF44" i="3"/>
  <c r="AH44" i="3" s="1"/>
  <c r="AF34" i="3"/>
  <c r="AH34" i="3" s="1"/>
  <c r="AF22" i="3"/>
  <c r="AH22" i="3" s="1"/>
  <c r="AF43" i="3"/>
  <c r="AH43" i="3" s="1"/>
  <c r="AG27" i="3"/>
  <c r="AF41" i="3"/>
  <c r="AH41" i="3" s="1"/>
  <c r="L32" i="3"/>
  <c r="AG14" i="3"/>
  <c r="AF14" i="3"/>
  <c r="AH14" i="3" s="1"/>
  <c r="AG33" i="3"/>
  <c r="AG46" i="3"/>
  <c r="AE26" i="3"/>
  <c r="AG26" i="3" s="1"/>
  <c r="AF15" i="3"/>
  <c r="AH15" i="3" s="1"/>
  <c r="AF45" i="3"/>
  <c r="AH45" i="3" s="1"/>
  <c r="AG51" i="3"/>
  <c r="AF21" i="3"/>
  <c r="AH21" i="3" s="1"/>
  <c r="AF53" i="3"/>
  <c r="AH53" i="3" s="1"/>
  <c r="AG25" i="3"/>
  <c r="AF54" i="3"/>
  <c r="AH54" i="3" s="1"/>
  <c r="AG54" i="3"/>
  <c r="AE10" i="3"/>
  <c r="AF10" i="3" s="1"/>
  <c r="AH10" i="3" s="1"/>
  <c r="AE31" i="3"/>
  <c r="AG31" i="3" s="1"/>
  <c r="AH16" i="3"/>
  <c r="AG16" i="3"/>
  <c r="AF65" i="3"/>
  <c r="AH65" i="3" s="1"/>
  <c r="AG9" i="3"/>
  <c r="AF9" i="3"/>
  <c r="AH9" i="3" s="1"/>
  <c r="AG35" i="3"/>
  <c r="AF35" i="3"/>
  <c r="AH35" i="3" s="1"/>
  <c r="AF8" i="3"/>
  <c r="AG8" i="3"/>
  <c r="AH8" i="3"/>
  <c r="AG13" i="3"/>
  <c r="AF13" i="3"/>
  <c r="AH13" i="3" s="1"/>
  <c r="AG30" i="3"/>
  <c r="AF30" i="3"/>
  <c r="AH30" i="3" s="1"/>
  <c r="AF24" i="3"/>
  <c r="AH24" i="3" s="1"/>
  <c r="AG24" i="3"/>
  <c r="AG10" i="3"/>
  <c r="AG19" i="3"/>
  <c r="AF19" i="3"/>
  <c r="AH19" i="3" s="1"/>
  <c r="AG18" i="3"/>
  <c r="AF18" i="3"/>
  <c r="AH18" i="3" s="1"/>
  <c r="AG17" i="3"/>
  <c r="AF17" i="3"/>
  <c r="AH17" i="3"/>
  <c r="AE20" i="3"/>
  <c r="AF5" i="3"/>
  <c r="AH5" i="3"/>
  <c r="AG5" i="3"/>
  <c r="AE32" i="3"/>
  <c r="AG29" i="3"/>
  <c r="AF29" i="3"/>
  <c r="AH29" i="3" s="1"/>
  <c r="AG28" i="3"/>
  <c r="AF28" i="3"/>
  <c r="AH28" i="3" s="1"/>
  <c r="AF26" i="3" l="1"/>
  <c r="AH26" i="3" s="1"/>
  <c r="AF31" i="3"/>
  <c r="AH31" i="3" s="1"/>
  <c r="AG20" i="3"/>
  <c r="AF20" i="3"/>
  <c r="AH20" i="3" s="1"/>
  <c r="AF32" i="3"/>
  <c r="AH32" i="3"/>
  <c r="AG32" i="3"/>
  <c r="AG79" i="3"/>
  <c r="AC43" i="2" l="1"/>
  <c r="AC41" i="2"/>
  <c r="AC37" i="2"/>
  <c r="AC35" i="2"/>
  <c r="AC23" i="2"/>
  <c r="AC22" i="2"/>
  <c r="AC21" i="2"/>
  <c r="AC20" i="2"/>
  <c r="AC17" i="2"/>
  <c r="AH66" i="2"/>
  <c r="AH60" i="2"/>
  <c r="AG60" i="2"/>
  <c r="AG63" i="2"/>
  <c r="AG66" i="2"/>
  <c r="AH63" i="2"/>
  <c r="AH77" i="2"/>
  <c r="AH57" i="2"/>
  <c r="L25" i="2"/>
  <c r="K28" i="2"/>
  <c r="K30" i="2" s="1"/>
  <c r="K27" i="2"/>
  <c r="K25" i="2"/>
  <c r="K26" i="2" s="1"/>
  <c r="L26" i="2" l="1"/>
  <c r="L27" i="2" s="1"/>
  <c r="K29" i="2"/>
  <c r="K32" i="2"/>
  <c r="K31" i="2"/>
  <c r="AC26" i="2"/>
  <c r="AB26" i="2"/>
  <c r="AB20" i="2"/>
  <c r="AC54" i="2"/>
  <c r="AB54" i="2"/>
  <c r="P54" i="2"/>
  <c r="L54" i="2"/>
  <c r="AC52" i="2"/>
  <c r="AB52" i="2"/>
  <c r="P52" i="2"/>
  <c r="L52" i="2"/>
  <c r="AC50" i="2"/>
  <c r="AB50" i="2"/>
  <c r="P50" i="2"/>
  <c r="L50" i="2"/>
  <c r="AC48" i="2"/>
  <c r="AB48" i="2"/>
  <c r="P48" i="2"/>
  <c r="L48" i="2"/>
  <c r="AC46" i="2"/>
  <c r="AB46" i="2"/>
  <c r="P46" i="2"/>
  <c r="L46" i="2"/>
  <c r="AB44" i="2"/>
  <c r="P44" i="2"/>
  <c r="L44" i="2"/>
  <c r="AB43" i="2"/>
  <c r="P43" i="2"/>
  <c r="L43" i="2"/>
  <c r="AB42" i="2"/>
  <c r="P42" i="2"/>
  <c r="L42" i="2"/>
  <c r="AB41" i="2"/>
  <c r="P41" i="2"/>
  <c r="L41" i="2"/>
  <c r="AB38" i="2"/>
  <c r="Q38" i="2"/>
  <c r="P38" i="2"/>
  <c r="N38" i="2"/>
  <c r="L38" i="2"/>
  <c r="AB37" i="2"/>
  <c r="Q37" i="2"/>
  <c r="P37" i="2"/>
  <c r="N37" i="2"/>
  <c r="L37" i="2"/>
  <c r="AB36" i="2"/>
  <c r="Q36" i="2"/>
  <c r="P36" i="2"/>
  <c r="N36" i="2"/>
  <c r="L36" i="2"/>
  <c r="AB35" i="2"/>
  <c r="Q35" i="2"/>
  <c r="P35" i="2"/>
  <c r="N35" i="2"/>
  <c r="L35" i="2"/>
  <c r="AB32" i="2"/>
  <c r="Y32" i="2"/>
  <c r="X32" i="2"/>
  <c r="W32" i="2"/>
  <c r="V32" i="2"/>
  <c r="U32" i="2"/>
  <c r="T32" i="2"/>
  <c r="Q32" i="2"/>
  <c r="P32" i="2"/>
  <c r="O32" i="2"/>
  <c r="N32" i="2"/>
  <c r="M32" i="2"/>
  <c r="AB31" i="2"/>
  <c r="Y31" i="2"/>
  <c r="X31" i="2"/>
  <c r="W31" i="2"/>
  <c r="V31" i="2"/>
  <c r="U31" i="2"/>
  <c r="T31" i="2"/>
  <c r="Q31" i="2"/>
  <c r="P31" i="2"/>
  <c r="O31" i="2"/>
  <c r="N31" i="2"/>
  <c r="M31" i="2"/>
  <c r="AB30" i="2"/>
  <c r="Y30" i="2"/>
  <c r="X30" i="2"/>
  <c r="W30" i="2"/>
  <c r="V30" i="2"/>
  <c r="U30" i="2"/>
  <c r="T30" i="2"/>
  <c r="Q30" i="2"/>
  <c r="P30" i="2"/>
  <c r="O30" i="2"/>
  <c r="N30" i="2"/>
  <c r="M30" i="2"/>
  <c r="AC29" i="2"/>
  <c r="AB29" i="2"/>
  <c r="Y29" i="2"/>
  <c r="X29" i="2"/>
  <c r="W29" i="2"/>
  <c r="V29" i="2"/>
  <c r="U29" i="2"/>
  <c r="T29" i="2"/>
  <c r="Q29" i="2"/>
  <c r="P29" i="2"/>
  <c r="O29" i="2"/>
  <c r="N29" i="2"/>
  <c r="M29" i="2"/>
  <c r="AB24" i="2"/>
  <c r="Y24" i="2"/>
  <c r="X24" i="2"/>
  <c r="W24" i="2"/>
  <c r="V24" i="2"/>
  <c r="U24" i="2"/>
  <c r="T24" i="2"/>
  <c r="Q24" i="2"/>
  <c r="P24" i="2"/>
  <c r="O24" i="2"/>
  <c r="N24" i="2"/>
  <c r="M24" i="2"/>
  <c r="L24" i="2"/>
  <c r="K24" i="2"/>
  <c r="AB23" i="2"/>
  <c r="Y23" i="2"/>
  <c r="X23" i="2"/>
  <c r="W23" i="2"/>
  <c r="V23" i="2"/>
  <c r="U23" i="2"/>
  <c r="T23" i="2"/>
  <c r="Q23" i="2"/>
  <c r="P23" i="2"/>
  <c r="O23" i="2"/>
  <c r="N23" i="2"/>
  <c r="M23" i="2"/>
  <c r="L23" i="2"/>
  <c r="K23" i="2"/>
  <c r="AB19" i="2"/>
  <c r="Y19" i="2"/>
  <c r="X19" i="2"/>
  <c r="W19" i="2"/>
  <c r="V19" i="2"/>
  <c r="U19" i="2"/>
  <c r="T19" i="2"/>
  <c r="Q19" i="2"/>
  <c r="P19" i="2"/>
  <c r="O19" i="2"/>
  <c r="N19" i="2"/>
  <c r="M19" i="2"/>
  <c r="L19" i="2"/>
  <c r="K19" i="2"/>
  <c r="AB18" i="2"/>
  <c r="Y18" i="2"/>
  <c r="X18" i="2"/>
  <c r="W18" i="2"/>
  <c r="V18" i="2"/>
  <c r="U18" i="2"/>
  <c r="T18" i="2"/>
  <c r="Q18" i="2"/>
  <c r="P18" i="2"/>
  <c r="O18" i="2"/>
  <c r="N18" i="2"/>
  <c r="M18" i="2"/>
  <c r="L18" i="2"/>
  <c r="K18" i="2"/>
  <c r="AB17" i="2"/>
  <c r="Y17" i="2"/>
  <c r="X17" i="2"/>
  <c r="W17" i="2"/>
  <c r="V17" i="2"/>
  <c r="U17" i="2"/>
  <c r="T17" i="2"/>
  <c r="Q17" i="2"/>
  <c r="P17" i="2"/>
  <c r="O17" i="2"/>
  <c r="N17" i="2"/>
  <c r="M17" i="2"/>
  <c r="L17" i="2"/>
  <c r="K17" i="2"/>
  <c r="AB14" i="2"/>
  <c r="Y14" i="2"/>
  <c r="X14" i="2"/>
  <c r="W14" i="2"/>
  <c r="V14" i="2"/>
  <c r="U14" i="2"/>
  <c r="T14" i="2"/>
  <c r="Q14" i="2"/>
  <c r="P14" i="2"/>
  <c r="O14" i="2"/>
  <c r="N14" i="2"/>
  <c r="M14" i="2"/>
  <c r="L14" i="2"/>
  <c r="K14" i="2"/>
  <c r="AC13" i="2"/>
  <c r="AB13" i="2"/>
  <c r="Y13" i="2"/>
  <c r="X13" i="2"/>
  <c r="W13" i="2"/>
  <c r="V13" i="2"/>
  <c r="U13" i="2"/>
  <c r="T13" i="2"/>
  <c r="Q13" i="2"/>
  <c r="P13" i="2"/>
  <c r="O13" i="2"/>
  <c r="N13" i="2"/>
  <c r="M13" i="2"/>
  <c r="L13" i="2"/>
  <c r="K13" i="2"/>
  <c r="AB9" i="2"/>
  <c r="Z9" i="2"/>
  <c r="Y9" i="2"/>
  <c r="X9" i="2"/>
  <c r="W9" i="2"/>
  <c r="V9" i="2"/>
  <c r="U9" i="2"/>
  <c r="T9" i="2"/>
  <c r="Q9" i="2"/>
  <c r="P9" i="2"/>
  <c r="O9" i="2"/>
  <c r="N9" i="2"/>
  <c r="M9" i="2"/>
  <c r="L9" i="2"/>
  <c r="K9" i="2"/>
  <c r="AB8" i="2"/>
  <c r="Y8" i="2"/>
  <c r="X8" i="2"/>
  <c r="W8" i="2"/>
  <c r="V8" i="2"/>
  <c r="U8" i="2"/>
  <c r="T8" i="2"/>
  <c r="Q8" i="2"/>
  <c r="P8" i="2"/>
  <c r="O8" i="2"/>
  <c r="N8" i="2"/>
  <c r="M8" i="2"/>
  <c r="L8" i="2"/>
  <c r="K8" i="2"/>
  <c r="AC53" i="2"/>
  <c r="AB53" i="2"/>
  <c r="P53" i="2"/>
  <c r="L53" i="2"/>
  <c r="AC51" i="2"/>
  <c r="AB51" i="2"/>
  <c r="P51" i="2"/>
  <c r="L51" i="2"/>
  <c r="AC49" i="2"/>
  <c r="AB49" i="2"/>
  <c r="P49" i="2"/>
  <c r="L49" i="2"/>
  <c r="AC47" i="2"/>
  <c r="AB47" i="2"/>
  <c r="P47" i="2"/>
  <c r="L47" i="2"/>
  <c r="AC45" i="2"/>
  <c r="AB45" i="2"/>
  <c r="P45" i="2"/>
  <c r="L45" i="2"/>
  <c r="AB40" i="2"/>
  <c r="P40" i="2"/>
  <c r="L40" i="2"/>
  <c r="AC39" i="2"/>
  <c r="AB39" i="2"/>
  <c r="Q39" i="2"/>
  <c r="P39" i="2"/>
  <c r="L39" i="2"/>
  <c r="AC34" i="2"/>
  <c r="AB34" i="2"/>
  <c r="Q34" i="2"/>
  <c r="P34" i="2"/>
  <c r="N34" i="2"/>
  <c r="L34" i="2"/>
  <c r="AC33" i="2"/>
  <c r="AB33" i="2"/>
  <c r="Q33" i="2"/>
  <c r="P33" i="2"/>
  <c r="N33" i="2"/>
  <c r="L33" i="2"/>
  <c r="AB28" i="2"/>
  <c r="Y28" i="2"/>
  <c r="X28" i="2"/>
  <c r="W28" i="2"/>
  <c r="V28" i="2"/>
  <c r="U28" i="2"/>
  <c r="T28" i="2"/>
  <c r="Q28" i="2"/>
  <c r="P28" i="2"/>
  <c r="O28" i="2"/>
  <c r="N28" i="2"/>
  <c r="M28" i="2"/>
  <c r="AC27" i="2"/>
  <c r="AB27" i="2"/>
  <c r="Y27" i="2"/>
  <c r="X27" i="2"/>
  <c r="W27" i="2"/>
  <c r="V27" i="2"/>
  <c r="U27" i="2"/>
  <c r="T27" i="2"/>
  <c r="Q27" i="2"/>
  <c r="P27" i="2"/>
  <c r="O27" i="2"/>
  <c r="N27" i="2"/>
  <c r="M27" i="2"/>
  <c r="AB22" i="2"/>
  <c r="Y22" i="2"/>
  <c r="X22" i="2"/>
  <c r="W22" i="2"/>
  <c r="V22" i="2"/>
  <c r="U22" i="2"/>
  <c r="T22" i="2"/>
  <c r="Q22" i="2"/>
  <c r="P22" i="2"/>
  <c r="O22" i="2"/>
  <c r="N22" i="2"/>
  <c r="M22" i="2"/>
  <c r="L22" i="2"/>
  <c r="K22" i="2"/>
  <c r="AB21" i="2"/>
  <c r="Y21" i="2"/>
  <c r="X21" i="2"/>
  <c r="W21" i="2"/>
  <c r="V21" i="2"/>
  <c r="U21" i="2"/>
  <c r="T21" i="2"/>
  <c r="Q21" i="2"/>
  <c r="P21" i="2"/>
  <c r="O21" i="2"/>
  <c r="N21" i="2"/>
  <c r="M21" i="2"/>
  <c r="L21" i="2"/>
  <c r="K21" i="2"/>
  <c r="AB16" i="2"/>
  <c r="Y16" i="2"/>
  <c r="X16" i="2"/>
  <c r="W16" i="2"/>
  <c r="V16" i="2"/>
  <c r="U16" i="2"/>
  <c r="T16" i="2"/>
  <c r="Q16" i="2"/>
  <c r="P16" i="2"/>
  <c r="O16" i="2"/>
  <c r="N16" i="2"/>
  <c r="M16" i="2"/>
  <c r="L16" i="2"/>
  <c r="K16" i="2"/>
  <c r="AC12" i="2"/>
  <c r="AB12" i="2"/>
  <c r="Y12" i="2"/>
  <c r="X12" i="2"/>
  <c r="W12" i="2"/>
  <c r="V12" i="2"/>
  <c r="U12" i="2"/>
  <c r="T12" i="2"/>
  <c r="Q12" i="2"/>
  <c r="P12" i="2"/>
  <c r="O12" i="2"/>
  <c r="N12" i="2"/>
  <c r="M12" i="2"/>
  <c r="L12" i="2"/>
  <c r="K12" i="2"/>
  <c r="AC11" i="2"/>
  <c r="AB11" i="2"/>
  <c r="Y11" i="2"/>
  <c r="X11" i="2"/>
  <c r="W11" i="2"/>
  <c r="V11" i="2"/>
  <c r="U11" i="2"/>
  <c r="T11" i="2"/>
  <c r="Q11" i="2"/>
  <c r="P11" i="2"/>
  <c r="O11" i="2"/>
  <c r="N11" i="2"/>
  <c r="M11" i="2"/>
  <c r="L11" i="2"/>
  <c r="K11" i="2"/>
  <c r="AB6" i="2"/>
  <c r="Y6" i="2"/>
  <c r="X6" i="2"/>
  <c r="W6" i="2"/>
  <c r="V6" i="2"/>
  <c r="U6" i="2"/>
  <c r="T6" i="2"/>
  <c r="Q6" i="2"/>
  <c r="P6" i="2"/>
  <c r="O6" i="2"/>
  <c r="N6" i="2"/>
  <c r="M6" i="2"/>
  <c r="L6" i="2"/>
  <c r="K6" i="2"/>
  <c r="J6" i="2"/>
  <c r="J7" i="2" s="1"/>
  <c r="AC25" i="2"/>
  <c r="AB25" i="2"/>
  <c r="Y25" i="2"/>
  <c r="X25" i="2"/>
  <c r="W25" i="2"/>
  <c r="V25" i="2"/>
  <c r="U25" i="2"/>
  <c r="T25" i="2"/>
  <c r="Q25" i="2"/>
  <c r="P25" i="2"/>
  <c r="O25" i="2"/>
  <c r="N25" i="2"/>
  <c r="M25" i="2"/>
  <c r="AC15" i="2"/>
  <c r="AB15" i="2"/>
  <c r="Y15" i="2"/>
  <c r="X15" i="2"/>
  <c r="W15" i="2"/>
  <c r="V15" i="2"/>
  <c r="U15" i="2"/>
  <c r="T15" i="2"/>
  <c r="Q15" i="2"/>
  <c r="P15" i="2"/>
  <c r="O15" i="2"/>
  <c r="N15" i="2"/>
  <c r="M15" i="2"/>
  <c r="L15" i="2"/>
  <c r="K15" i="2"/>
  <c r="O7" i="2"/>
  <c r="AB10" i="2"/>
  <c r="AC10" i="2"/>
  <c r="AC7" i="2"/>
  <c r="AB7" i="2"/>
  <c r="Y7" i="2"/>
  <c r="X7" i="2"/>
  <c r="W7" i="2"/>
  <c r="V7" i="2"/>
  <c r="U7" i="2"/>
  <c r="T7" i="2"/>
  <c r="Q7" i="2"/>
  <c r="P7" i="2"/>
  <c r="N7" i="2"/>
  <c r="M7" i="2"/>
  <c r="L7" i="2"/>
  <c r="K7" i="2"/>
  <c r="AC5" i="2"/>
  <c r="AB5" i="2"/>
  <c r="Y5" i="2"/>
  <c r="X5" i="2"/>
  <c r="W5" i="2"/>
  <c r="V5" i="2"/>
  <c r="U5" i="2"/>
  <c r="T5" i="2"/>
  <c r="Q5" i="2"/>
  <c r="P5" i="2"/>
  <c r="L28" i="2" l="1"/>
  <c r="Q10" i="2"/>
  <c r="S10" i="2"/>
  <c r="R10" i="2"/>
  <c r="S26" i="2"/>
  <c r="Z10" i="2"/>
  <c r="R20" i="2"/>
  <c r="R26" i="2"/>
  <c r="S20" i="2"/>
  <c r="AE54" i="2"/>
  <c r="AF54" i="2" s="1"/>
  <c r="Y20" i="2"/>
  <c r="AG75" i="2"/>
  <c r="AH70" i="2"/>
  <c r="T26" i="2"/>
  <c r="AH58" i="2"/>
  <c r="AE50" i="2"/>
  <c r="AG50" i="2" s="1"/>
  <c r="AE48" i="2"/>
  <c r="AF48" i="2" s="1"/>
  <c r="AH48" i="2" s="1"/>
  <c r="AG68" i="2"/>
  <c r="Q26" i="2"/>
  <c r="K10" i="2"/>
  <c r="AE21" i="2"/>
  <c r="AG21" i="2" s="1"/>
  <c r="AE22" i="2"/>
  <c r="AG22" i="2" s="1"/>
  <c r="AE28" i="2"/>
  <c r="AG28" i="2" s="1"/>
  <c r="AE17" i="2"/>
  <c r="AF17" i="2" s="1"/>
  <c r="AH17" i="2" s="1"/>
  <c r="N20" i="2"/>
  <c r="P20" i="2"/>
  <c r="L30" i="2"/>
  <c r="AE30" i="2" s="1"/>
  <c r="AG30" i="2" s="1"/>
  <c r="L31" i="2"/>
  <c r="AE31" i="2" s="1"/>
  <c r="AF31" i="2" s="1"/>
  <c r="AH31" i="2" s="1"/>
  <c r="L32" i="2"/>
  <c r="AE32" i="2" s="1"/>
  <c r="AG32" i="2" s="1"/>
  <c r="L29" i="2"/>
  <c r="AE29" i="2" s="1"/>
  <c r="AF29" i="2" s="1"/>
  <c r="AE42" i="2"/>
  <c r="AF42" i="2" s="1"/>
  <c r="AH42" i="2" s="1"/>
  <c r="AE40" i="2"/>
  <c r="AF40" i="2" s="1"/>
  <c r="AH40" i="2" s="1"/>
  <c r="AE53" i="2"/>
  <c r="AG53" i="2" s="1"/>
  <c r="AG61" i="2"/>
  <c r="AG67" i="2"/>
  <c r="AH69" i="2"/>
  <c r="AE46" i="2"/>
  <c r="AF46" i="2" s="1"/>
  <c r="AH46" i="2" s="1"/>
  <c r="O20" i="2"/>
  <c r="Z20" i="2"/>
  <c r="AE45" i="2"/>
  <c r="AG45" i="2" s="1"/>
  <c r="U26" i="2"/>
  <c r="AE36" i="2"/>
  <c r="AG36" i="2" s="1"/>
  <c r="AE43" i="2"/>
  <c r="AG43" i="2" s="1"/>
  <c r="AE52" i="2"/>
  <c r="AG52" i="2" s="1"/>
  <c r="AG65" i="2"/>
  <c r="AG76" i="2"/>
  <c r="P10" i="2"/>
  <c r="Q20" i="2"/>
  <c r="V26" i="2"/>
  <c r="AE9" i="2"/>
  <c r="AF9" i="2" s="1"/>
  <c r="AH9" i="2" s="1"/>
  <c r="AE6" i="2"/>
  <c r="AG6" i="2" s="1"/>
  <c r="AE11" i="2"/>
  <c r="AF11" i="2" s="1"/>
  <c r="AH11" i="2" s="1"/>
  <c r="AE12" i="2"/>
  <c r="AF12" i="2" s="1"/>
  <c r="AH12" i="2" s="1"/>
  <c r="AE27" i="2"/>
  <c r="AG27" i="2" s="1"/>
  <c r="AE23" i="2"/>
  <c r="AF23" i="2" s="1"/>
  <c r="AH23" i="2" s="1"/>
  <c r="AE35" i="2"/>
  <c r="AG35" i="2" s="1"/>
  <c r="O10" i="2"/>
  <c r="W26" i="2"/>
  <c r="AE34" i="2"/>
  <c r="AG34" i="2" s="1"/>
  <c r="AE47" i="2"/>
  <c r="AF47" i="2" s="1"/>
  <c r="AH47" i="2" s="1"/>
  <c r="AE51" i="2"/>
  <c r="AG51" i="2" s="1"/>
  <c r="AE14" i="2"/>
  <c r="AG14" i="2" s="1"/>
  <c r="Y10" i="2"/>
  <c r="N10" i="2"/>
  <c r="M26" i="2"/>
  <c r="X26" i="2"/>
  <c r="AE49" i="2"/>
  <c r="AG49" i="2" s="1"/>
  <c r="AH64" i="2"/>
  <c r="AG73" i="2"/>
  <c r="AE13" i="2"/>
  <c r="AE37" i="2"/>
  <c r="AG37" i="2" s="1"/>
  <c r="AE38" i="2"/>
  <c r="AG38" i="2" s="1"/>
  <c r="X10" i="2"/>
  <c r="M10" i="2"/>
  <c r="T20" i="2"/>
  <c r="N26" i="2"/>
  <c r="Y26" i="2"/>
  <c r="AE33" i="2"/>
  <c r="AF33" i="2" s="1"/>
  <c r="AH33" i="2" s="1"/>
  <c r="AE25" i="2"/>
  <c r="AF25" i="2" s="1"/>
  <c r="AH25" i="2" s="1"/>
  <c r="W10" i="2"/>
  <c r="L10" i="2"/>
  <c r="U20" i="2"/>
  <c r="O26" i="2"/>
  <c r="AG71" i="2"/>
  <c r="AE18" i="2"/>
  <c r="AG18" i="2" s="1"/>
  <c r="AE19" i="2"/>
  <c r="AG19" i="2" s="1"/>
  <c r="AE41" i="2"/>
  <c r="AF41" i="2" s="1"/>
  <c r="AH41" i="2" s="1"/>
  <c r="AG74" i="2"/>
  <c r="V10" i="2"/>
  <c r="K20" i="2"/>
  <c r="V20" i="2"/>
  <c r="P26" i="2"/>
  <c r="AE16" i="2"/>
  <c r="AF16" i="2" s="1"/>
  <c r="AH16" i="2" s="1"/>
  <c r="AE39" i="2"/>
  <c r="AG39" i="2" s="1"/>
  <c r="AE15" i="2"/>
  <c r="AG15" i="2" s="1"/>
  <c r="AE44" i="2"/>
  <c r="AF44" i="2" s="1"/>
  <c r="U10" i="2"/>
  <c r="L20" i="2"/>
  <c r="W20" i="2"/>
  <c r="AE24" i="2"/>
  <c r="AF24" i="2" s="1"/>
  <c r="AH24" i="2" s="1"/>
  <c r="T10" i="2"/>
  <c r="M20" i="2"/>
  <c r="X20" i="2"/>
  <c r="AE8" i="2"/>
  <c r="AG8" i="2" s="1"/>
  <c r="AE7" i="2"/>
  <c r="AG7" i="2" s="1"/>
  <c r="AE5" i="2"/>
  <c r="AG5" i="2" s="1"/>
  <c r="AG46" i="2" l="1"/>
  <c r="AF28" i="2"/>
  <c r="AH28" i="2" s="1"/>
  <c r="AF18" i="2"/>
  <c r="AH18" i="2" s="1"/>
  <c r="AH75" i="2"/>
  <c r="AG54" i="2"/>
  <c r="AG58" i="2"/>
  <c r="AG70" i="2"/>
  <c r="AF49" i="2"/>
  <c r="AH49" i="2" s="1"/>
  <c r="AH54" i="2"/>
  <c r="AG17" i="2"/>
  <c r="AG9" i="2"/>
  <c r="AF50" i="2"/>
  <c r="AH50" i="2" s="1"/>
  <c r="AG33" i="2"/>
  <c r="AH74" i="2"/>
  <c r="AF21" i="2"/>
  <c r="AH21" i="2" s="1"/>
  <c r="AG23" i="2"/>
  <c r="AG69" i="2"/>
  <c r="AH73" i="2"/>
  <c r="AH67" i="2"/>
  <c r="AH65" i="2"/>
  <c r="AG64" i="2"/>
  <c r="AG40" i="2"/>
  <c r="AF8" i="2"/>
  <c r="AH8" i="2" s="1"/>
  <c r="AG11" i="2"/>
  <c r="AH61" i="2"/>
  <c r="AF52" i="2"/>
  <c r="AH52" i="2" s="1"/>
  <c r="AG16" i="2"/>
  <c r="AF14" i="2"/>
  <c r="AH14" i="2" s="1"/>
  <c r="AF22" i="2"/>
  <c r="AH22" i="2" s="1"/>
  <c r="AF7" i="2"/>
  <c r="AH7" i="2" s="1"/>
  <c r="AF45" i="2"/>
  <c r="AH45" i="2" s="1"/>
  <c r="AG47" i="2"/>
  <c r="AG12" i="2"/>
  <c r="AG48" i="2"/>
  <c r="AE26" i="2"/>
  <c r="AG26" i="2" s="1"/>
  <c r="AF13" i="2"/>
  <c r="AH13" i="2" s="1"/>
  <c r="AG24" i="2"/>
  <c r="AH68" i="2"/>
  <c r="AF51" i="2"/>
  <c r="AH51" i="2" s="1"/>
  <c r="AG13" i="2"/>
  <c r="AF37" i="2"/>
  <c r="AH37" i="2" s="1"/>
  <c r="AH62" i="2"/>
  <c r="AF6" i="2"/>
  <c r="AH6" i="2" s="1"/>
  <c r="AF53" i="2"/>
  <c r="AH53" i="2" s="1"/>
  <c r="AG41" i="2"/>
  <c r="AH72" i="2"/>
  <c r="AF43" i="2"/>
  <c r="AH43" i="2" s="1"/>
  <c r="AH59" i="2"/>
  <c r="AG72" i="2"/>
  <c r="AG59" i="2"/>
  <c r="AG42" i="2"/>
  <c r="AF38" i="2"/>
  <c r="AH38" i="2" s="1"/>
  <c r="AF36" i="2"/>
  <c r="AH36" i="2" s="1"/>
  <c r="AF34" i="2"/>
  <c r="AH34" i="2" s="1"/>
  <c r="AG31" i="2"/>
  <c r="AF30" i="2"/>
  <c r="AH30" i="2" s="1"/>
  <c r="AF32" i="2"/>
  <c r="AH32" i="2" s="1"/>
  <c r="AG29" i="2"/>
  <c r="AH29" i="2"/>
  <c r="AF27" i="2"/>
  <c r="AH27" i="2" s="1"/>
  <c r="AG25" i="2"/>
  <c r="AE20" i="2"/>
  <c r="AG44" i="2"/>
  <c r="AF15" i="2"/>
  <c r="AH15" i="2" s="1"/>
  <c r="AH44" i="2"/>
  <c r="AF19" i="2"/>
  <c r="AH19" i="2" s="1"/>
  <c r="AF39" i="2"/>
  <c r="AH39" i="2" s="1"/>
  <c r="AG62" i="2"/>
  <c r="AH71" i="2"/>
  <c r="AF35" i="2"/>
  <c r="AH35" i="2" s="1"/>
  <c r="AH76" i="2"/>
  <c r="AF5" i="2"/>
  <c r="AH5" i="2" s="1"/>
  <c r="AE10" i="2"/>
  <c r="AG10" i="2" s="1"/>
  <c r="AF26" i="2" l="1"/>
  <c r="AH26" i="2" s="1"/>
  <c r="AG20" i="2"/>
  <c r="AG79" i="2" s="1"/>
  <c r="AF20" i="2"/>
  <c r="AH20" i="2" s="1"/>
  <c r="AF10" i="2"/>
  <c r="AH1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JAIME ESCOBAR L</author>
  </authors>
  <commentList>
    <comment ref="W4" authorId="0" shapeId="0" xr:uid="{CB63FCC8-8C44-4D20-A642-3AF16E6DEE3D}">
      <text>
        <r>
          <rPr>
            <b/>
            <sz val="9"/>
            <color indexed="81"/>
            <rFont val="Tahoma"/>
            <family val="2"/>
          </rPr>
          <t>JAIME ESCOBAR L:</t>
        </r>
        <r>
          <rPr>
            <sz val="9"/>
            <color indexed="81"/>
            <rFont val="Tahoma"/>
            <family val="2"/>
          </rPr>
          <t xml:space="preserve">
Cambio de Aceite, Filtros</t>
        </r>
      </text>
    </comment>
    <comment ref="W56" authorId="0" shapeId="0" xr:uid="{47339AF8-982A-43F1-A75E-6A7146BB6454}">
      <text>
        <r>
          <rPr>
            <b/>
            <sz val="9"/>
            <color indexed="81"/>
            <rFont val="Tahoma"/>
            <family val="2"/>
          </rPr>
          <t>JAIME ESCOBAR L:</t>
        </r>
        <r>
          <rPr>
            <sz val="9"/>
            <color indexed="81"/>
            <rFont val="Tahoma"/>
            <family val="2"/>
          </rPr>
          <t xml:space="preserve">
Cambio de Aceite, Filtros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JAIME ESCOBAR L</author>
  </authors>
  <commentList>
    <comment ref="W4" authorId="0" shapeId="0" xr:uid="{E68D0888-4595-40D8-9529-6F077C8D56FA}">
      <text>
        <r>
          <rPr>
            <b/>
            <sz val="9"/>
            <color indexed="81"/>
            <rFont val="Tahoma"/>
            <family val="2"/>
          </rPr>
          <t>JAIME ESCOBAR L:</t>
        </r>
        <r>
          <rPr>
            <sz val="9"/>
            <color indexed="81"/>
            <rFont val="Tahoma"/>
            <family val="2"/>
          </rPr>
          <t xml:space="preserve">
Cambio de Aceite, Filtros</t>
        </r>
      </text>
    </comment>
    <comment ref="W56" authorId="0" shapeId="0" xr:uid="{25F0FA56-F104-46B2-85EB-00C7C8766D1B}">
      <text>
        <r>
          <rPr>
            <b/>
            <sz val="9"/>
            <color indexed="81"/>
            <rFont val="Tahoma"/>
            <family val="2"/>
          </rPr>
          <t>JAIME ESCOBAR L:</t>
        </r>
        <r>
          <rPr>
            <sz val="9"/>
            <color indexed="81"/>
            <rFont val="Tahoma"/>
            <family val="2"/>
          </rPr>
          <t xml:space="preserve">
Cambio de Aceite, Filtros</t>
        </r>
      </text>
    </comment>
  </commentList>
</comments>
</file>

<file path=xl/sharedStrings.xml><?xml version="1.0" encoding="utf-8"?>
<sst xmlns="http://schemas.openxmlformats.org/spreadsheetml/2006/main" count="1168" uniqueCount="113">
  <si>
    <t>Item</t>
  </si>
  <si>
    <t>Vehículo</t>
  </si>
  <si>
    <t>Cantidad de vehículos</t>
  </si>
  <si>
    <t>ANALISIS DE COSTOS</t>
  </si>
  <si>
    <t>Kilometraje
Promedio</t>
  </si>
  <si>
    <t>Consumo Prom de Combustible
km/g</t>
  </si>
  <si>
    <t>DOCUMENTOS</t>
  </si>
  <si>
    <t>Gps</t>
  </si>
  <si>
    <t>Depreciación</t>
  </si>
  <si>
    <t>MANTENIMIENTO</t>
  </si>
  <si>
    <t>Imprevistos</t>
  </si>
  <si>
    <t>Combustible</t>
  </si>
  <si>
    <t>Nomina (incluye prestaciones y reservas)</t>
  </si>
  <si>
    <t>Total</t>
  </si>
  <si>
    <t>Utilidad</t>
  </si>
  <si>
    <t>% de Utilidad</t>
  </si>
  <si>
    <t>Administración</t>
  </si>
  <si>
    <t>Soat</t>
  </si>
  <si>
    <t>Tecnico Mecanico</t>
  </si>
  <si>
    <t>Poliza Todo Riesgo</t>
  </si>
  <si>
    <t>Polizas RCC y RCE</t>
  </si>
  <si>
    <t>Preventiva (6 al año)</t>
  </si>
  <si>
    <t xml:space="preserve">Sistema de Dirección - Componetes </t>
  </si>
  <si>
    <t>Sistema de Frenado</t>
  </si>
  <si>
    <t>Sistema de Suspensión</t>
  </si>
  <si>
    <t>Sistema Electrico - Electronico</t>
  </si>
  <si>
    <t>Sistema de Refrigeración</t>
  </si>
  <si>
    <t>Sistema de Lubricación</t>
  </si>
  <si>
    <t>Sistema de Distribuccion</t>
  </si>
  <si>
    <t>Sistema de Inyección</t>
  </si>
  <si>
    <t>Llantas</t>
  </si>
  <si>
    <t>VALOR UNITARIO DEL PROCESO</t>
  </si>
  <si>
    <t>VALOR UNITARIO OFRECIDO</t>
  </si>
  <si>
    <t>N/A</t>
  </si>
  <si>
    <t>TOTAL  + UTILIDAD = VALOR UNITARIO OFRECIDO</t>
  </si>
  <si>
    <t>T</t>
  </si>
  <si>
    <r>
      <t>Valor</t>
    </r>
    <r>
      <rPr>
        <b/>
        <sz val="11"/>
        <color theme="1"/>
        <rFont val="Arial Narrow"/>
        <family val="2"/>
      </rPr>
      <t xml:space="preserve"> MENSUAL </t>
    </r>
    <r>
      <rPr>
        <sz val="11"/>
        <color theme="1"/>
        <rFont val="Arial Narrow"/>
        <family val="2"/>
      </rPr>
      <t xml:space="preserve">vehículo </t>
    </r>
    <r>
      <rPr>
        <b/>
        <sz val="11"/>
        <color theme="1"/>
        <rFont val="Arial Narrow"/>
        <family val="2"/>
      </rPr>
      <t>FIJO</t>
    </r>
    <r>
      <rPr>
        <sz val="11"/>
        <color theme="1"/>
        <rFont val="Arial Narrow"/>
        <family val="2"/>
      </rPr>
      <t xml:space="preserve"> tipo camioneta </t>
    </r>
    <r>
      <rPr>
        <b/>
        <sz val="11"/>
        <color theme="1"/>
        <rFont val="Arial Narrow"/>
        <family val="2"/>
      </rPr>
      <t>Doble cabina 4x4 con platón</t>
    </r>
    <r>
      <rPr>
        <sz val="11"/>
        <color theme="1"/>
        <rFont val="Arial Narrow"/>
        <family val="2"/>
      </rPr>
      <t xml:space="preserve"> de lunes a sábado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</si>
  <si>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DÍA </t>
    </r>
    <r>
      <rPr>
        <sz val="11"/>
        <color theme="1"/>
        <rFont val="Arial Narrow"/>
        <family val="2"/>
      </rPr>
      <t xml:space="preserve">vehículo tipo camioneta </t>
    </r>
    <r>
      <rPr>
        <b/>
        <sz val="11"/>
        <color theme="1"/>
        <rFont val="Arial Narrow"/>
        <family val="2"/>
      </rPr>
      <t>Doble cabina 4x4 con platón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dominical o festivo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>(Fijo)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</si>
  <si>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vehículo tipo camioneta </t>
    </r>
    <r>
      <rPr>
        <b/>
        <sz val="11"/>
        <color theme="1"/>
        <rFont val="Arial Narrow"/>
        <family val="2"/>
      </rPr>
      <t>Doble cabina 4x4 con platón dominical o festivo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>(Fijo) en horario (6:00 hrs a 19:00 hrs)*</t>
    </r>
  </si>
  <si>
    <r>
      <t xml:space="preserve">Valor </t>
    </r>
    <r>
      <rPr>
        <b/>
        <sz val="11"/>
        <color theme="1"/>
        <rFont val="Arial Narrow"/>
        <family val="2"/>
      </rPr>
      <t xml:space="preserve">HORA EXTRA NOCTURNA </t>
    </r>
    <r>
      <rPr>
        <sz val="11"/>
        <color theme="1"/>
        <rFont val="Arial Narrow"/>
        <family val="2"/>
      </rPr>
      <t xml:space="preserve">vehículo tipo camioneta </t>
    </r>
    <r>
      <rPr>
        <b/>
        <sz val="11"/>
        <color theme="1"/>
        <rFont val="Arial Narrow"/>
        <family val="2"/>
      </rPr>
      <t>Doble cabina 4x4 con platón</t>
    </r>
    <r>
      <rPr>
        <sz val="11"/>
        <color theme="1"/>
        <rFont val="Arial Narrow"/>
        <family val="2"/>
      </rPr>
      <t xml:space="preserve"> de </t>
    </r>
    <r>
      <rPr>
        <b/>
        <sz val="11"/>
        <color theme="1"/>
        <rFont val="Arial Narrow"/>
        <family val="2"/>
      </rPr>
      <t>lunes a sábado</t>
    </r>
    <r>
      <rPr>
        <sz val="11"/>
        <color theme="1"/>
        <rFont val="Arial Narrow"/>
        <family val="2"/>
      </rPr>
      <t xml:space="preserve"> (fijo y por demanda) (19:01 hrs a 5:59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</si>
  <si>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 EXTRA NOCTURNA</t>
    </r>
    <r>
      <rPr>
        <sz val="11"/>
        <color theme="1"/>
        <rFont val="Arial Narrow"/>
        <family val="2"/>
      </rPr>
      <t xml:space="preserve"> vehículo tipo camioneta </t>
    </r>
    <r>
      <rPr>
        <b/>
        <sz val="11"/>
        <color theme="1"/>
        <rFont val="Arial Narrow"/>
        <family val="2"/>
      </rPr>
      <t xml:space="preserve">Doble cabina 4x4 con platón dominical o festivo </t>
    </r>
    <r>
      <rPr>
        <sz val="11"/>
        <color theme="1"/>
        <rFont val="Arial Narrow"/>
        <family val="2"/>
      </rPr>
      <t>(fijo y por demanda) (19:01 hrs a 5:59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</si>
  <si>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SEMANA</t>
    </r>
    <r>
      <rPr>
        <sz val="11"/>
        <color theme="1"/>
        <rFont val="Arial Narrow"/>
        <family val="2"/>
      </rPr>
      <t xml:space="preserve"> de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>Doble cabina 4x4 con platón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 xml:space="preserve">lunes a viernes </t>
    </r>
    <r>
      <rPr>
        <sz val="11"/>
        <color theme="1"/>
        <rFont val="Arial Narrow"/>
        <family val="2"/>
      </rPr>
      <t>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</si>
  <si>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de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>Doble cabina 4x4 con platón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</si>
  <si>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de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 xml:space="preserve">Doble cabina 4x4 con platón dominical o festivo </t>
    </r>
    <r>
      <rPr>
        <sz val="11"/>
        <color theme="1"/>
        <rFont val="Arial Narrow"/>
        <family val="2"/>
      </rPr>
      <t>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</si>
  <si>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de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>Doble cabina 4x4 con platón 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</si>
  <si>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de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>Doble cabina 4x4 con platón dominical o festivo</t>
    </r>
    <r>
      <rPr>
        <sz val="11"/>
        <color theme="1"/>
        <rFont val="Arial Narrow"/>
        <family val="2"/>
      </rPr>
      <t xml:space="preserve"> en horario (6:00 hrs a 19:00 hrs)*</t>
    </r>
  </si>
  <si>
    <r>
      <rPr>
        <sz val="11"/>
        <color theme="1"/>
        <rFont val="Arial Narrow"/>
        <family val="2"/>
      </rPr>
      <t>Valor</t>
    </r>
    <r>
      <rPr>
        <b/>
        <sz val="11"/>
        <color theme="1"/>
        <rFont val="Arial Narrow"/>
        <family val="2"/>
      </rPr>
      <t xml:space="preserve"> MENSUAL </t>
    </r>
    <r>
      <rPr>
        <sz val="11"/>
        <color theme="1"/>
        <rFont val="Arial Narrow"/>
        <family val="2"/>
      </rPr>
      <t xml:space="preserve">vehículo </t>
    </r>
    <r>
      <rPr>
        <b/>
        <sz val="11"/>
        <color theme="1"/>
        <rFont val="Arial Narrow"/>
        <family val="2"/>
      </rPr>
      <t>FIJO</t>
    </r>
    <r>
      <rPr>
        <sz val="11"/>
        <color theme="1"/>
        <rFont val="Arial Narrow"/>
        <family val="2"/>
      </rPr>
      <t xml:space="preserve"> tipo camioneta </t>
    </r>
    <r>
      <rPr>
        <b/>
        <sz val="11"/>
        <color theme="1"/>
        <rFont val="Arial Narrow"/>
        <family val="2"/>
      </rPr>
      <t>Wagón</t>
    </r>
    <r>
      <rPr>
        <sz val="11"/>
        <color theme="1"/>
        <rFont val="Arial Narrow"/>
        <family val="2"/>
      </rPr>
      <t xml:space="preserve"> de</t>
    </r>
    <r>
      <rPr>
        <b/>
        <sz val="11"/>
        <color theme="1"/>
        <rFont val="Arial Narrow"/>
        <family val="2"/>
      </rPr>
      <t xml:space="preserve"> 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</si>
  <si>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vehículo tipo camioneta </t>
    </r>
    <r>
      <rPr>
        <b/>
        <sz val="11"/>
        <color theme="1"/>
        <rFont val="Arial Narrow"/>
        <family val="2"/>
      </rPr>
      <t>Wagón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 xml:space="preserve">dominical o festivo </t>
    </r>
    <r>
      <rPr>
        <sz val="11"/>
        <color theme="1"/>
        <rFont val="Arial Narrow"/>
        <family val="2"/>
      </rPr>
      <t>(Fijo)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</si>
  <si>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HORA </t>
    </r>
    <r>
      <rPr>
        <sz val="11"/>
        <color theme="1"/>
        <rFont val="Arial Narrow"/>
        <family val="2"/>
      </rPr>
      <t xml:space="preserve">vehículo tipo camioneta </t>
    </r>
    <r>
      <rPr>
        <b/>
        <sz val="11"/>
        <color theme="1"/>
        <rFont val="Arial Narrow"/>
        <family val="2"/>
      </rPr>
      <t>Wagón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 xml:space="preserve">dominical o festivo </t>
    </r>
    <r>
      <rPr>
        <sz val="11"/>
        <color theme="1"/>
        <rFont val="Arial Narrow"/>
        <family val="2"/>
      </rPr>
      <t>(Fijo) en horario (6:00 hrs a 19:00 hrs)*</t>
    </r>
  </si>
  <si>
    <r>
      <t xml:space="preserve">Valor </t>
    </r>
    <r>
      <rPr>
        <b/>
        <sz val="11"/>
        <color theme="1"/>
        <rFont val="Arial Narrow"/>
        <family val="2"/>
      </rPr>
      <t>HORA EXTRA NOCTURNA</t>
    </r>
    <r>
      <rPr>
        <sz val="11"/>
        <color theme="1"/>
        <rFont val="Arial Narrow"/>
        <family val="2"/>
      </rPr>
      <t xml:space="preserve"> vehículo tipo camioneta </t>
    </r>
    <r>
      <rPr>
        <b/>
        <sz val="11"/>
        <color theme="1"/>
        <rFont val="Arial Narrow"/>
        <family val="2"/>
      </rPr>
      <t>Wagón</t>
    </r>
    <r>
      <rPr>
        <sz val="11"/>
        <color theme="1"/>
        <rFont val="Arial Narrow"/>
        <family val="2"/>
      </rPr>
      <t xml:space="preserve"> de </t>
    </r>
    <r>
      <rPr>
        <b/>
        <sz val="11"/>
        <color theme="1"/>
        <rFont val="Arial Narrow"/>
        <family val="2"/>
      </rPr>
      <t>lunes a sábado</t>
    </r>
    <r>
      <rPr>
        <sz val="11"/>
        <color theme="1"/>
        <rFont val="Arial Narrow"/>
        <family val="2"/>
      </rPr>
      <t xml:space="preserve"> (fijo y por demanda) (19:01 hrs a 5:59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</si>
  <si>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HORA EXTRA NOCTURNA </t>
    </r>
    <r>
      <rPr>
        <sz val="11"/>
        <color theme="1"/>
        <rFont val="Arial Narrow"/>
        <family val="2"/>
      </rPr>
      <t xml:space="preserve">vehículo tipo camioneta </t>
    </r>
    <r>
      <rPr>
        <b/>
        <sz val="11"/>
        <color theme="1"/>
        <rFont val="Arial Narrow"/>
        <family val="2"/>
      </rPr>
      <t xml:space="preserve">Wagón dominical o festivo </t>
    </r>
    <r>
      <rPr>
        <sz val="11"/>
        <color theme="1"/>
        <rFont val="Arial Narrow"/>
        <family val="2"/>
      </rPr>
      <t>(fijo y por demanda) (19:01 hrs a 5:59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</si>
  <si>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SEMANA</t>
    </r>
    <r>
      <rPr>
        <sz val="11"/>
        <color theme="1"/>
        <rFont val="Arial Narrow"/>
        <family val="2"/>
      </rPr>
      <t xml:space="preserve"> de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>Wagón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 xml:space="preserve">lunes a viernes </t>
    </r>
    <r>
      <rPr>
        <sz val="11"/>
        <color theme="1"/>
        <rFont val="Arial Narrow"/>
        <family val="2"/>
      </rPr>
      <t>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</si>
  <si>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de vehículo por</t>
    </r>
    <r>
      <rPr>
        <b/>
        <sz val="11"/>
        <color theme="1"/>
        <rFont val="Arial Narrow"/>
        <family val="2"/>
      </rPr>
      <t xml:space="preserve"> DEMANDA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>Wagón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</si>
  <si>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DÍA </t>
    </r>
    <r>
      <rPr>
        <sz val="11"/>
        <color theme="1"/>
        <rFont val="Arial Narrow"/>
        <family val="2"/>
      </rPr>
      <t xml:space="preserve">de vehículo por </t>
    </r>
    <r>
      <rPr>
        <b/>
        <sz val="11"/>
        <color theme="1"/>
        <rFont val="Arial Narrow"/>
        <family val="2"/>
      </rPr>
      <t xml:space="preserve">DEMANDA </t>
    </r>
    <r>
      <rPr>
        <sz val="11"/>
        <color theme="1"/>
        <rFont val="Arial Narrow"/>
        <family val="2"/>
      </rPr>
      <t xml:space="preserve">tipo </t>
    </r>
    <r>
      <rPr>
        <b/>
        <sz val="11"/>
        <color theme="1"/>
        <rFont val="Arial Narrow"/>
        <family val="2"/>
      </rPr>
      <t xml:space="preserve">Wagón dominical o festivo </t>
    </r>
    <r>
      <rPr>
        <sz val="11"/>
        <color theme="1"/>
        <rFont val="Arial Narrow"/>
        <family val="2"/>
      </rPr>
      <t>en horario (6:00 hrs a 19:00 hr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</si>
  <si>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de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>Wagón 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</si>
  <si>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HORA </t>
    </r>
    <r>
      <rPr>
        <sz val="11"/>
        <color theme="1"/>
        <rFont val="Arial Narrow"/>
        <family val="2"/>
      </rPr>
      <t>d</t>
    </r>
    <r>
      <rPr>
        <sz val="11"/>
        <color theme="1"/>
        <rFont val="Arial Narrow"/>
        <family val="2"/>
      </rPr>
      <t xml:space="preserve">e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>Wagón dominical o festivo</t>
    </r>
    <r>
      <rPr>
        <sz val="11"/>
        <color theme="1"/>
        <rFont val="Arial Narrow"/>
        <family val="2"/>
      </rPr>
      <t xml:space="preserve"> en horario (6:00 hrs a 19:00 hrs)*</t>
    </r>
  </si>
  <si>
    <r>
      <t>Valor</t>
    </r>
    <r>
      <rPr>
        <b/>
        <sz val="11"/>
        <color theme="1"/>
        <rFont val="Arial Narrow"/>
        <family val="2"/>
      </rPr>
      <t xml:space="preserve"> MENSUAL </t>
    </r>
    <r>
      <rPr>
        <sz val="11"/>
        <color theme="1"/>
        <rFont val="Arial Narrow"/>
        <family val="2"/>
      </rPr>
      <t xml:space="preserve">vehículo </t>
    </r>
    <r>
      <rPr>
        <b/>
        <sz val="11"/>
        <color theme="1"/>
        <rFont val="Arial Narrow"/>
        <family val="2"/>
      </rPr>
      <t>FIJO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 xml:space="preserve">VAN </t>
    </r>
    <r>
      <rPr>
        <sz val="11"/>
        <color theme="1"/>
        <rFont val="Arial Narrow"/>
        <family val="2"/>
      </rPr>
      <t>con capacidad entre 6 y 10 pasajeros</t>
    </r>
    <r>
      <rPr>
        <b/>
        <sz val="11"/>
        <color theme="1"/>
        <rFont val="Arial Narrow"/>
        <family val="2"/>
      </rPr>
      <t xml:space="preserve"> lunes a viernes en horario (6:00 hrs a 19:00 hrs)* </t>
    </r>
  </si>
  <si>
    <r>
      <t xml:space="preserve">Valor </t>
    </r>
    <r>
      <rPr>
        <b/>
        <sz val="11"/>
        <color theme="1"/>
        <rFont val="Arial Narrow"/>
        <family val="2"/>
      </rPr>
      <t>SEMANA</t>
    </r>
    <r>
      <rPr>
        <sz val="11"/>
        <color theme="1"/>
        <rFont val="Arial Narrow"/>
        <family val="2"/>
      </rPr>
      <t xml:space="preserve"> de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tipo </t>
    </r>
    <r>
      <rPr>
        <b/>
        <sz val="11"/>
        <color theme="1"/>
        <rFont val="Arial Narrow"/>
        <family val="2"/>
      </rPr>
      <t>VAN</t>
    </r>
    <r>
      <rPr>
        <sz val="11"/>
        <color theme="1"/>
        <rFont val="Arial Narrow"/>
        <family val="2"/>
      </rPr>
      <t xml:space="preserve"> con capacidad entre 6 y 10 pasajeros </t>
    </r>
    <r>
      <rPr>
        <b/>
        <sz val="11"/>
        <color theme="1"/>
        <rFont val="Arial Narrow"/>
        <family val="2"/>
      </rPr>
      <t xml:space="preserve">lunes a viernes </t>
    </r>
    <r>
      <rPr>
        <sz val="11"/>
        <color theme="1"/>
        <rFont val="Arial Narrow"/>
        <family val="2"/>
      </rPr>
      <t>en horario (6:00 hrs a 19:00 hrs)*</t>
    </r>
  </si>
  <si>
    <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de vehículo por demanda tipo </t>
    </r>
    <r>
      <rPr>
        <b/>
        <sz val="11"/>
        <color theme="1"/>
        <rFont val="Arial Narrow"/>
        <family val="2"/>
      </rPr>
      <t xml:space="preserve">VAN </t>
    </r>
    <r>
      <rPr>
        <sz val="11"/>
        <color theme="1"/>
        <rFont val="Arial Narrow"/>
        <family val="2"/>
      </rPr>
      <t>con capacidad entre 6 y 10 pasajeros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</si>
  <si>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de vehículo por demanda tipo </t>
    </r>
    <r>
      <rPr>
        <b/>
        <sz val="11"/>
        <color theme="1"/>
        <rFont val="Arial Narrow"/>
        <family val="2"/>
      </rPr>
      <t xml:space="preserve">VAN </t>
    </r>
    <r>
      <rPr>
        <sz val="11"/>
        <color theme="1"/>
        <rFont val="Arial Narrow"/>
        <family val="2"/>
      </rPr>
      <t>con capacidad entre 6 y 10 pasajeros</t>
    </r>
    <r>
      <rPr>
        <b/>
        <sz val="11"/>
        <color theme="1"/>
        <rFont val="Arial Narrow"/>
        <family val="2"/>
      </rPr>
      <t xml:space="preserve"> dominical o festivo </t>
    </r>
    <r>
      <rPr>
        <sz val="11"/>
        <color theme="1"/>
        <rFont val="Arial Narrow"/>
        <family val="2"/>
      </rPr>
      <t>en horario (6:00 hrs a 19:00 hrs)*</t>
    </r>
  </si>
  <si>
    <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de vehículo por demanda tipo </t>
    </r>
    <r>
      <rPr>
        <b/>
        <sz val="11"/>
        <color theme="1"/>
        <rFont val="Arial Narrow"/>
        <family val="2"/>
      </rPr>
      <t xml:space="preserve">VAN </t>
    </r>
    <r>
      <rPr>
        <sz val="11"/>
        <color theme="1"/>
        <rFont val="Arial Narrow"/>
        <family val="2"/>
      </rPr>
      <t>con capacidad entre 6 y 10 pasajeros</t>
    </r>
    <r>
      <rPr>
        <b/>
        <sz val="11"/>
        <color theme="1"/>
        <rFont val="Arial Narrow"/>
        <family val="2"/>
      </rPr>
      <t xml:space="preserve"> 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</si>
  <si>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de vehículo por demanda tipo </t>
    </r>
    <r>
      <rPr>
        <b/>
        <sz val="11"/>
        <color theme="1"/>
        <rFont val="Arial Narrow"/>
        <family val="2"/>
      </rPr>
      <t xml:space="preserve">VAN </t>
    </r>
    <r>
      <rPr>
        <sz val="11"/>
        <color theme="1"/>
        <rFont val="Arial Narrow"/>
        <family val="2"/>
      </rPr>
      <t>con capacidad entre 6 y 10 pasajeros</t>
    </r>
    <r>
      <rPr>
        <b/>
        <sz val="11"/>
        <color theme="1"/>
        <rFont val="Arial Narrow"/>
        <family val="2"/>
      </rPr>
      <t xml:space="preserve"> dominical o festivo</t>
    </r>
    <r>
      <rPr>
        <sz val="11"/>
        <color theme="1"/>
        <rFont val="Arial Narrow"/>
        <family val="2"/>
      </rPr>
      <t xml:space="preserve"> en horario (6:00 hrs a 19:00 hrs)*</t>
    </r>
  </si>
  <si>
    <r>
      <t xml:space="preserve">Valor </t>
    </r>
    <r>
      <rPr>
        <b/>
        <sz val="11"/>
        <color theme="1"/>
        <rFont val="Arial Narrow"/>
        <family val="2"/>
      </rPr>
      <t>HORA EXTRA NOCTURNA</t>
    </r>
    <r>
      <rPr>
        <sz val="11"/>
        <color theme="1"/>
        <rFont val="Arial Narrow"/>
        <family val="2"/>
      </rPr>
      <t xml:space="preserve"> vehículo tipo </t>
    </r>
    <r>
      <rPr>
        <b/>
        <sz val="11"/>
        <color theme="1"/>
        <rFont val="Arial Narrow"/>
        <family val="2"/>
      </rPr>
      <t>VAN</t>
    </r>
    <r>
      <rPr>
        <sz val="11"/>
        <color theme="1"/>
        <rFont val="Arial Narrow"/>
        <family val="2"/>
      </rPr>
      <t xml:space="preserve"> con capacidad entre 6 y 10 pasajeros de </t>
    </r>
    <r>
      <rPr>
        <b/>
        <sz val="11"/>
        <color theme="1"/>
        <rFont val="Arial Narrow"/>
        <family val="2"/>
      </rPr>
      <t>lunes a sábado</t>
    </r>
    <r>
      <rPr>
        <sz val="11"/>
        <color theme="1"/>
        <rFont val="Arial Narrow"/>
        <family val="2"/>
      </rPr>
      <t xml:space="preserve"> (fijo y por demanda) (19:01 hrs a 5:59 hrs)*</t>
    </r>
  </si>
  <si>
    <r>
      <t xml:space="preserve">Valor </t>
    </r>
    <r>
      <rPr>
        <b/>
        <sz val="11"/>
        <color theme="1"/>
        <rFont val="Arial Narrow"/>
        <family val="2"/>
      </rPr>
      <t>HORA EXTRA NOCTURNA</t>
    </r>
    <r>
      <rPr>
        <sz val="11"/>
        <color theme="1"/>
        <rFont val="Arial Narrow"/>
        <family val="2"/>
      </rPr>
      <t xml:space="preserve"> vehículo tipo </t>
    </r>
    <r>
      <rPr>
        <b/>
        <sz val="11"/>
        <color theme="1"/>
        <rFont val="Arial Narrow"/>
        <family val="2"/>
      </rPr>
      <t>VAN</t>
    </r>
    <r>
      <rPr>
        <sz val="11"/>
        <color theme="1"/>
        <rFont val="Arial Narrow"/>
        <family val="2"/>
      </rPr>
      <t xml:space="preserve"> con capacidad entre 6 y 10 pasajeros</t>
    </r>
    <r>
      <rPr>
        <b/>
        <sz val="11"/>
        <color theme="1"/>
        <rFont val="Arial Narrow"/>
        <family val="2"/>
      </rPr>
      <t xml:space="preserve"> dominical o festivo </t>
    </r>
    <r>
      <rPr>
        <sz val="11"/>
        <color theme="1"/>
        <rFont val="Arial Narrow"/>
        <family val="2"/>
      </rPr>
      <t>(fijo y por demanda) (19:01 hrs a 5:59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</si>
  <si>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de vehículo por demanda tipo </t>
    </r>
    <r>
      <rPr>
        <b/>
        <sz val="11"/>
        <color theme="1"/>
        <rFont val="Arial Narrow"/>
        <family val="2"/>
      </rPr>
      <t xml:space="preserve">MICROBUS 19 pasajeros </t>
    </r>
    <r>
      <rPr>
        <sz val="11"/>
        <color theme="1"/>
        <rFont val="Arial Narrow"/>
        <family val="2"/>
      </rPr>
      <t>de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</si>
  <si>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DÍA </t>
    </r>
    <r>
      <rPr>
        <sz val="11"/>
        <color theme="1"/>
        <rFont val="Arial Narrow"/>
        <family val="2"/>
      </rPr>
      <t>d</t>
    </r>
    <r>
      <rPr>
        <sz val="11"/>
        <color theme="1"/>
        <rFont val="Arial Narrow"/>
        <family val="2"/>
      </rPr>
      <t xml:space="preserve">e vehículo por demanda tipo </t>
    </r>
    <r>
      <rPr>
        <b/>
        <sz val="11"/>
        <color theme="1"/>
        <rFont val="Arial Narrow"/>
        <family val="2"/>
      </rPr>
      <t xml:space="preserve">MICROBUS 19 pasajeros dominical o festivo </t>
    </r>
    <r>
      <rPr>
        <sz val="11"/>
        <color theme="1"/>
        <rFont val="Arial Narrow"/>
        <family val="2"/>
      </rPr>
      <t>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</si>
  <si>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HORA </t>
    </r>
    <r>
      <rPr>
        <sz val="11"/>
        <color theme="1"/>
        <rFont val="Arial Narrow"/>
        <family val="2"/>
      </rPr>
      <t xml:space="preserve">de vehículo por demanda tipo </t>
    </r>
    <r>
      <rPr>
        <b/>
        <sz val="11"/>
        <color theme="1"/>
        <rFont val="Arial Narrow"/>
        <family val="2"/>
      </rPr>
      <t>MICROBUS 19 pasajeros  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</si>
  <si>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de vehículo por demanda tipo </t>
    </r>
    <r>
      <rPr>
        <b/>
        <sz val="11"/>
        <color theme="1"/>
        <rFont val="Arial Narrow"/>
        <family val="2"/>
      </rPr>
      <t>MICROBUS 19 pasajeros dominical o festivo</t>
    </r>
    <r>
      <rPr>
        <sz val="11"/>
        <color theme="1"/>
        <rFont val="Arial Narrow"/>
        <family val="2"/>
      </rPr>
      <t xml:space="preserve"> en horario (6:00 hrs a 19:00 hrs)*</t>
    </r>
  </si>
  <si>
    <r>
      <t xml:space="preserve">Valor </t>
    </r>
    <r>
      <rPr>
        <b/>
        <sz val="11"/>
        <color theme="1"/>
        <rFont val="Arial Narrow"/>
        <family val="2"/>
      </rPr>
      <t xml:space="preserve">HORA EXTRA NOCTURNA </t>
    </r>
    <r>
      <rPr>
        <sz val="11"/>
        <color theme="1"/>
        <rFont val="Arial Narrow"/>
        <family val="2"/>
      </rPr>
      <t xml:space="preserve">vehículo por demanda tipo </t>
    </r>
    <r>
      <rPr>
        <b/>
        <sz val="11"/>
        <color theme="1"/>
        <rFont val="Arial Narrow"/>
        <family val="2"/>
      </rPr>
      <t>MICROBUS 19 pasajeros</t>
    </r>
    <r>
      <rPr>
        <sz val="11"/>
        <color theme="1"/>
        <rFont val="Arial Narrow"/>
        <family val="2"/>
      </rPr>
      <t xml:space="preserve"> de </t>
    </r>
    <r>
      <rPr>
        <b/>
        <sz val="11"/>
        <color theme="1"/>
        <rFont val="Arial Narrow"/>
        <family val="2"/>
      </rPr>
      <t>lunes a sábado</t>
    </r>
    <r>
      <rPr>
        <sz val="11"/>
        <color theme="1"/>
        <rFont val="Arial Narrow"/>
        <family val="2"/>
      </rPr>
      <t xml:space="preserve"> en horario (19:01 hrs a 5:59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</si>
  <si>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HORA EXTRA NOCTURNA </t>
    </r>
    <r>
      <rPr>
        <sz val="11"/>
        <color theme="1"/>
        <rFont val="Arial Narrow"/>
        <family val="2"/>
      </rPr>
      <t xml:space="preserve">vehículo por demanda tipo </t>
    </r>
    <r>
      <rPr>
        <b/>
        <sz val="11"/>
        <color theme="1"/>
        <rFont val="Arial Narrow"/>
        <family val="2"/>
      </rPr>
      <t xml:space="preserve">MICROBUS 19 pasajeros dominical o festivo </t>
    </r>
    <r>
      <rPr>
        <sz val="11"/>
        <color theme="1"/>
        <rFont val="Arial Narrow"/>
        <family val="2"/>
      </rPr>
      <t>en horario (19:01 hrs a 5:59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</si>
  <si>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DÍA </t>
    </r>
    <r>
      <rPr>
        <sz val="11"/>
        <color theme="1"/>
        <rFont val="Arial Narrow"/>
        <family val="2"/>
      </rPr>
      <t xml:space="preserve">de vehículo por demanda tipo </t>
    </r>
    <r>
      <rPr>
        <b/>
        <sz val="11"/>
        <color theme="1"/>
        <rFont val="Arial Narrow"/>
        <family val="2"/>
      </rPr>
      <t xml:space="preserve">BUS de 40 pasajeros </t>
    </r>
    <r>
      <rPr>
        <sz val="11"/>
        <color theme="1"/>
        <rFont val="Arial Narrow"/>
        <family val="2"/>
      </rPr>
      <t>de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</si>
  <si>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DÍA </t>
    </r>
    <r>
      <rPr>
        <sz val="11"/>
        <color theme="1"/>
        <rFont val="Arial Narrow"/>
        <family val="2"/>
      </rPr>
      <t>d</t>
    </r>
    <r>
      <rPr>
        <sz val="11"/>
        <color theme="1"/>
        <rFont val="Arial Narrow"/>
        <family val="2"/>
      </rPr>
      <t xml:space="preserve">e vehículo por demanda tipo </t>
    </r>
    <r>
      <rPr>
        <b/>
        <sz val="11"/>
        <color theme="1"/>
        <rFont val="Arial Narrow"/>
        <family val="2"/>
      </rPr>
      <t xml:space="preserve">BUS de 40 pasajeros dominical o festivo </t>
    </r>
    <r>
      <rPr>
        <sz val="11"/>
        <color theme="1"/>
        <rFont val="Arial Narrow"/>
        <family val="2"/>
      </rPr>
      <t>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</si>
  <si>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HORA </t>
    </r>
    <r>
      <rPr>
        <sz val="11"/>
        <color theme="1"/>
        <rFont val="Arial Narrow"/>
        <family val="2"/>
      </rPr>
      <t xml:space="preserve">de vehículo por demanda tipo </t>
    </r>
    <r>
      <rPr>
        <b/>
        <sz val="11"/>
        <color theme="1"/>
        <rFont val="Arial Narrow"/>
        <family val="2"/>
      </rPr>
      <t>BUS de 40 pasajeros lunes a sábado</t>
    </r>
    <r>
      <rPr>
        <sz val="11"/>
        <color theme="1"/>
        <rFont val="Arial Narrow"/>
        <family val="2"/>
      </rPr>
      <t xml:space="preserve"> en horario (6:00 hrs a 19:00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</si>
  <si>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HORA </t>
    </r>
    <r>
      <rPr>
        <sz val="11"/>
        <color theme="1"/>
        <rFont val="Arial Narrow"/>
        <family val="2"/>
      </rPr>
      <t xml:space="preserve">de vehículo por demanda tipo </t>
    </r>
    <r>
      <rPr>
        <b/>
        <sz val="11"/>
        <color theme="1"/>
        <rFont val="Arial Narrow"/>
        <family val="2"/>
      </rPr>
      <t>BUS de 40 pasajeros dominical o festivo</t>
    </r>
    <r>
      <rPr>
        <sz val="11"/>
        <color theme="1"/>
        <rFont val="Arial Narrow"/>
        <family val="2"/>
      </rPr>
      <t xml:space="preserve"> en horario (6:00 hrs a 19:00 hrs)*</t>
    </r>
  </si>
  <si>
    <r>
      <t xml:space="preserve">Valor </t>
    </r>
    <r>
      <rPr>
        <b/>
        <sz val="11"/>
        <color theme="1"/>
        <rFont val="Arial Narrow"/>
        <family val="2"/>
      </rPr>
      <t xml:space="preserve">HORA EXTRA NOCTURNA </t>
    </r>
    <r>
      <rPr>
        <sz val="11"/>
        <color theme="1"/>
        <rFont val="Arial Narrow"/>
        <family val="2"/>
      </rPr>
      <t xml:space="preserve">vehículo por demanda tipo </t>
    </r>
    <r>
      <rPr>
        <b/>
        <sz val="11"/>
        <color theme="1"/>
        <rFont val="Arial Narrow"/>
        <family val="2"/>
      </rPr>
      <t>BUS de 40 pasajeros</t>
    </r>
    <r>
      <rPr>
        <sz val="11"/>
        <color theme="1"/>
        <rFont val="Arial Narrow"/>
        <family val="2"/>
      </rPr>
      <t xml:space="preserve"> de </t>
    </r>
    <r>
      <rPr>
        <b/>
        <sz val="11"/>
        <color theme="1"/>
        <rFont val="Arial Narrow"/>
        <family val="2"/>
      </rPr>
      <t>lunes a sábado</t>
    </r>
    <r>
      <rPr>
        <sz val="11"/>
        <color theme="1"/>
        <rFont val="Arial Narrow"/>
        <family val="2"/>
      </rPr>
      <t xml:space="preserve"> en horario (19:01 hrs a 5:59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</si>
  <si>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 EXTRA NOCTURNA</t>
    </r>
    <r>
      <rPr>
        <sz val="11"/>
        <color theme="1"/>
        <rFont val="Arial Narrow"/>
        <family val="2"/>
      </rPr>
      <t xml:space="preserve"> vehículo por demanda tipo </t>
    </r>
    <r>
      <rPr>
        <b/>
        <sz val="11"/>
        <color theme="1"/>
        <rFont val="Arial Narrow"/>
        <family val="2"/>
      </rPr>
      <t xml:space="preserve">BUS de 40 pasajeros dominical o festivo </t>
    </r>
    <r>
      <rPr>
        <sz val="11"/>
        <color theme="1"/>
        <rFont val="Arial Narrow"/>
        <family val="2"/>
      </rPr>
      <t>en horario (19:01 hrs a 5:59 hrs)*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</si>
  <si>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de recorrido en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CARGA</t>
    </r>
    <r>
      <rPr>
        <sz val="11"/>
        <color theme="1"/>
        <rFont val="Arial Narrow"/>
        <family val="2"/>
      </rPr>
      <t xml:space="preserve">  entre </t>
    </r>
    <r>
      <rPr>
        <b/>
        <sz val="11"/>
        <color theme="1"/>
        <rFont val="Arial Narrow"/>
        <family val="2"/>
      </rPr>
      <t>1 y 3.5</t>
    </r>
    <r>
      <rPr>
        <sz val="11"/>
        <color theme="1"/>
        <rFont val="Arial Narrow"/>
        <family val="2"/>
      </rPr>
      <t xml:space="preserve"> toneladas (livianos)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</si>
  <si>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HORA </t>
    </r>
    <r>
      <rPr>
        <sz val="11"/>
        <color theme="1"/>
        <rFont val="Arial Narrow"/>
        <family val="2"/>
      </rPr>
      <t xml:space="preserve">recorrido en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CARGA</t>
    </r>
    <r>
      <rPr>
        <sz val="11"/>
        <color theme="1"/>
        <rFont val="Arial Narrow"/>
        <family val="2"/>
      </rPr>
      <t xml:space="preserve"> entre </t>
    </r>
    <r>
      <rPr>
        <b/>
        <sz val="11"/>
        <color theme="1"/>
        <rFont val="Arial Narrow"/>
        <family val="2"/>
      </rPr>
      <t>1 y 3.5</t>
    </r>
    <r>
      <rPr>
        <sz val="11"/>
        <color theme="1"/>
        <rFont val="Arial Narrow"/>
        <family val="2"/>
      </rPr>
      <t xml:space="preserve"> toneladas (livianos)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</si>
  <si>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recorrido en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CARGA</t>
    </r>
    <r>
      <rPr>
        <sz val="11"/>
        <color theme="1"/>
        <rFont val="Arial Narrow"/>
        <family val="2"/>
      </rPr>
      <t xml:space="preserve"> entre </t>
    </r>
    <r>
      <rPr>
        <b/>
        <sz val="11"/>
        <color theme="1"/>
        <rFont val="Arial Narrow"/>
        <family val="2"/>
      </rPr>
      <t xml:space="preserve"> 3.5  a 4.5</t>
    </r>
    <r>
      <rPr>
        <sz val="11"/>
        <color theme="1"/>
        <rFont val="Arial Narrow"/>
        <family val="2"/>
      </rPr>
      <t xml:space="preserve"> toneladas (semilivianos)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</si>
  <si>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recorrido en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CARGA</t>
    </r>
    <r>
      <rPr>
        <sz val="11"/>
        <color theme="1"/>
        <rFont val="Arial Narrow"/>
        <family val="2"/>
      </rPr>
      <t xml:space="preserve"> entre</t>
    </r>
    <r>
      <rPr>
        <b/>
        <sz val="11"/>
        <color theme="1"/>
        <rFont val="Arial Narrow"/>
        <family val="2"/>
      </rPr>
      <t xml:space="preserve"> 3.5  a 4.5</t>
    </r>
    <r>
      <rPr>
        <sz val="11"/>
        <color theme="1"/>
        <rFont val="Arial Narrow"/>
        <family val="2"/>
      </rPr>
      <t xml:space="preserve"> toneladas (semilivianos)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</si>
  <si>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recorrido en vehículo 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CARGA</t>
    </r>
    <r>
      <rPr>
        <sz val="11"/>
        <color theme="1"/>
        <rFont val="Arial Narrow"/>
        <family val="2"/>
      </rPr>
      <t xml:space="preserve"> entre  </t>
    </r>
    <r>
      <rPr>
        <b/>
        <sz val="11"/>
        <color theme="1"/>
        <rFont val="Arial Narrow"/>
        <family val="2"/>
      </rPr>
      <t>4.5  a 5.5</t>
    </r>
    <r>
      <rPr>
        <sz val="11"/>
        <color theme="1"/>
        <rFont val="Arial Narrow"/>
        <family val="2"/>
      </rPr>
      <t xml:space="preserve"> toneladas (medianos)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</si>
  <si>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recorrido en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CARGA</t>
    </r>
    <r>
      <rPr>
        <sz val="11"/>
        <color theme="1"/>
        <rFont val="Arial Narrow"/>
        <family val="2"/>
      </rPr>
      <t xml:space="preserve"> entre </t>
    </r>
    <r>
      <rPr>
        <b/>
        <sz val="11"/>
        <color theme="1"/>
        <rFont val="Arial Narrow"/>
        <family val="2"/>
      </rPr>
      <t>4.5  a 5.5</t>
    </r>
    <r>
      <rPr>
        <sz val="11"/>
        <color theme="1"/>
        <rFont val="Arial Narrow"/>
        <family val="2"/>
      </rPr>
      <t xml:space="preserve"> toneladas (medianos)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</si>
  <si>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recorrido en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CARGA</t>
    </r>
    <r>
      <rPr>
        <sz val="11"/>
        <color theme="1"/>
        <rFont val="Arial Narrow"/>
        <family val="2"/>
      </rPr>
      <t xml:space="preserve"> entre  </t>
    </r>
    <r>
      <rPr>
        <b/>
        <sz val="11"/>
        <color theme="1"/>
        <rFont val="Arial Narrow"/>
        <family val="2"/>
      </rPr>
      <t>5.5  a 7.5</t>
    </r>
    <r>
      <rPr>
        <sz val="11"/>
        <color theme="1"/>
        <rFont val="Arial Narrow"/>
        <family val="2"/>
      </rPr>
      <t xml:space="preserve"> toneladas (semipesados)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</si>
  <si>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recorrido en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CARGA</t>
    </r>
    <r>
      <rPr>
        <sz val="11"/>
        <color theme="1"/>
        <rFont val="Arial Narrow"/>
        <family val="2"/>
      </rPr>
      <t xml:space="preserve"> entre </t>
    </r>
    <r>
      <rPr>
        <b/>
        <sz val="11"/>
        <color theme="1"/>
        <rFont val="Arial Narrow"/>
        <family val="2"/>
      </rPr>
      <t>5.5  a 7.5</t>
    </r>
    <r>
      <rPr>
        <sz val="11"/>
        <color theme="1"/>
        <rFont val="Arial Narrow"/>
        <family val="2"/>
      </rPr>
      <t xml:space="preserve"> toneladas (semipesados)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</si>
  <si>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de recorrido en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CARGA</t>
    </r>
    <r>
      <rPr>
        <sz val="11"/>
        <color theme="1"/>
        <rFont val="Arial Narrow"/>
        <family val="2"/>
      </rPr>
      <t xml:space="preserve"> entre </t>
    </r>
    <r>
      <rPr>
        <b/>
        <sz val="11"/>
        <color theme="1"/>
        <rFont val="Arial Narrow"/>
        <family val="2"/>
      </rPr>
      <t>1 y 3.5</t>
    </r>
    <r>
      <rPr>
        <sz val="11"/>
        <color theme="1"/>
        <rFont val="Arial Narrow"/>
        <family val="2"/>
      </rPr>
      <t xml:space="preserve"> toneladas con </t>
    </r>
    <r>
      <rPr>
        <b/>
        <sz val="11"/>
        <color theme="1"/>
        <rFont val="Arial Narrow"/>
        <family val="2"/>
      </rPr>
      <t>refrigeración</t>
    </r>
    <r>
      <rPr>
        <sz val="11"/>
        <color theme="1"/>
        <rFont val="Arial Narrow"/>
        <family val="2"/>
      </rPr>
      <t xml:space="preserve"> (livianos)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</si>
  <si>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de recorrido en vehículo por </t>
    </r>
    <r>
      <rPr>
        <b/>
        <sz val="11"/>
        <color theme="1"/>
        <rFont val="Arial Narrow"/>
        <family val="2"/>
      </rPr>
      <t>DEMANDA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CARGA</t>
    </r>
    <r>
      <rPr>
        <sz val="11"/>
        <color theme="1"/>
        <rFont val="Arial Narrow"/>
        <family val="2"/>
      </rPr>
      <t xml:space="preserve"> entre </t>
    </r>
    <r>
      <rPr>
        <b/>
        <sz val="11"/>
        <color theme="1"/>
        <rFont val="Arial Narrow"/>
        <family val="2"/>
      </rPr>
      <t>1 y 3.5</t>
    </r>
    <r>
      <rPr>
        <sz val="11"/>
        <color theme="1"/>
        <rFont val="Arial Narrow"/>
        <family val="2"/>
      </rPr>
      <t xml:space="preserve"> toneladas con </t>
    </r>
    <r>
      <rPr>
        <b/>
        <sz val="11"/>
        <color theme="1"/>
        <rFont val="Arial Narrow"/>
        <family val="2"/>
      </rPr>
      <t>refrigeración</t>
    </r>
    <r>
      <rPr>
        <sz val="11"/>
        <color theme="1"/>
        <rFont val="Arial Narrow"/>
        <family val="2"/>
      </rPr>
      <t xml:space="preserve"> (livianos)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</si>
  <si>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SEMANA</t>
    </r>
    <r>
      <rPr>
        <sz val="11"/>
        <color theme="1"/>
        <rFont val="Arial Narrow"/>
        <family val="2"/>
      </rPr>
      <t xml:space="preserve"> (lunes a viernes) servicio de transporte fluvial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>en</t>
    </r>
    <r>
      <rPr>
        <b/>
        <sz val="11"/>
        <color theme="1"/>
        <rFont val="Arial Narrow"/>
        <family val="2"/>
      </rPr>
      <t xml:space="preserve"> lancha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</si>
  <si>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servicio de transporte fluvial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>en</t>
    </r>
    <r>
      <rPr>
        <b/>
        <sz val="11"/>
        <color theme="1"/>
        <rFont val="Arial Narrow"/>
        <family val="2"/>
      </rPr>
      <t xml:space="preserve"> lancha 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</si>
  <si>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servicio de transporte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>fluvial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>en</t>
    </r>
    <r>
      <rPr>
        <b/>
        <sz val="11"/>
        <color theme="1"/>
        <rFont val="Arial Narrow"/>
        <family val="2"/>
      </rPr>
      <t xml:space="preserve"> lancha 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</si>
  <si>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SEMANA</t>
    </r>
    <r>
      <rPr>
        <sz val="11"/>
        <color theme="1"/>
        <rFont val="Arial Narrow"/>
        <family val="2"/>
      </rPr>
      <t xml:space="preserve"> (lunes a viernes) servicio de transporte fluvial en </t>
    </r>
    <r>
      <rPr>
        <b/>
        <sz val="11"/>
        <color theme="1"/>
        <rFont val="Arial Narrow"/>
        <family val="2"/>
      </rPr>
      <t xml:space="preserve">canoa o chalupa   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</si>
  <si>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servicio de transporte fluvial en </t>
    </r>
    <r>
      <rPr>
        <b/>
        <sz val="11"/>
        <color theme="1"/>
        <rFont val="Arial Narrow"/>
        <family val="2"/>
      </rPr>
      <t xml:space="preserve">canoa o chalupa   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</si>
  <si>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servicio de transporte fluvial en </t>
    </r>
    <r>
      <rPr>
        <b/>
        <sz val="11"/>
        <color theme="1"/>
        <rFont val="Arial Narrow"/>
        <family val="2"/>
      </rPr>
      <t xml:space="preserve">canoa o chalupa   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</si>
  <si>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servicio de transportes en </t>
    </r>
    <r>
      <rPr>
        <b/>
        <sz val="11"/>
        <color theme="1"/>
        <rFont val="Arial Narrow"/>
        <family val="2"/>
      </rPr>
      <t>semovientes</t>
    </r>
    <r>
      <rPr>
        <sz val="11"/>
        <color theme="1"/>
        <rFont val="Arial Narrow"/>
        <family val="2"/>
      </rPr>
      <t xml:space="preserve"> para </t>
    </r>
    <r>
      <rPr>
        <b/>
        <sz val="11"/>
        <color theme="1"/>
        <rFont val="Arial Narrow"/>
        <family val="2"/>
      </rPr>
      <t>traslado de personas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</si>
  <si>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servicio de transportes en </t>
    </r>
    <r>
      <rPr>
        <b/>
        <sz val="11"/>
        <color theme="1"/>
        <rFont val="Arial Narrow"/>
        <family val="2"/>
      </rPr>
      <t>semovientes</t>
    </r>
    <r>
      <rPr>
        <sz val="11"/>
        <color theme="1"/>
        <rFont val="Arial Narrow"/>
        <family val="2"/>
      </rPr>
      <t xml:space="preserve"> para </t>
    </r>
    <r>
      <rPr>
        <b/>
        <sz val="11"/>
        <color theme="1"/>
        <rFont val="Arial Narrow"/>
        <family val="2"/>
      </rPr>
      <t>traslado de personas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</si>
  <si>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SEMANA</t>
    </r>
    <r>
      <rPr>
        <sz val="11"/>
        <color theme="1"/>
        <rFont val="Arial Narrow"/>
        <family val="2"/>
      </rPr>
      <t xml:space="preserve"> (lunes a viernes) servicio de transportes en </t>
    </r>
    <r>
      <rPr>
        <b/>
        <sz val="11"/>
        <color theme="1"/>
        <rFont val="Arial Narrow"/>
        <family val="2"/>
      </rPr>
      <t>semovientes</t>
    </r>
    <r>
      <rPr>
        <sz val="11"/>
        <color theme="1"/>
        <rFont val="Arial Narrow"/>
        <family val="2"/>
      </rPr>
      <t xml:space="preserve"> para </t>
    </r>
    <r>
      <rPr>
        <b/>
        <sz val="11"/>
        <color theme="1"/>
        <rFont val="Arial Narrow"/>
        <family val="2"/>
      </rPr>
      <t>carga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</si>
  <si>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servicio de transportes en </t>
    </r>
    <r>
      <rPr>
        <b/>
        <sz val="11"/>
        <color theme="1"/>
        <rFont val="Arial Narrow"/>
        <family val="2"/>
      </rPr>
      <t>semovientes</t>
    </r>
    <r>
      <rPr>
        <sz val="11"/>
        <color theme="1"/>
        <rFont val="Arial Narrow"/>
        <family val="2"/>
      </rPr>
      <t xml:space="preserve"> para </t>
    </r>
    <r>
      <rPr>
        <b/>
        <sz val="11"/>
        <color theme="1"/>
        <rFont val="Arial Narrow"/>
        <family val="2"/>
      </rPr>
      <t>carga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</si>
  <si>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 xml:space="preserve">HORA </t>
    </r>
    <r>
      <rPr>
        <sz val="11"/>
        <color theme="1"/>
        <rFont val="Arial Narrow"/>
        <family val="2"/>
      </rPr>
      <t xml:space="preserve">servicio de transportes en </t>
    </r>
    <r>
      <rPr>
        <b/>
        <sz val="11"/>
        <color theme="1"/>
        <rFont val="Arial Narrow"/>
        <family val="2"/>
      </rPr>
      <t>semovientes</t>
    </r>
    <r>
      <rPr>
        <sz val="11"/>
        <color theme="1"/>
        <rFont val="Arial Narrow"/>
        <family val="2"/>
      </rPr>
      <t xml:space="preserve">  para </t>
    </r>
    <r>
      <rPr>
        <b/>
        <sz val="11"/>
        <color theme="1"/>
        <rFont val="Arial Narrow"/>
        <family val="2"/>
      </rPr>
      <t>carga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</si>
  <si>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vehículo no convencional o modificado de </t>
    </r>
    <r>
      <rPr>
        <b/>
        <sz val="11"/>
        <color theme="1"/>
        <rFont val="Arial Narrow"/>
        <family val="2"/>
      </rPr>
      <t>4 ruedas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4 a 10</t>
    </r>
    <r>
      <rPr>
        <sz val="11"/>
        <color theme="1"/>
        <rFont val="Arial Narrow"/>
        <family val="2"/>
      </rPr>
      <t xml:space="preserve"> personas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</si>
  <si>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vehículo no convencional o modificado de </t>
    </r>
    <r>
      <rPr>
        <b/>
        <sz val="11"/>
        <color theme="1"/>
        <rFont val="Arial Narrow"/>
        <family val="2"/>
      </rPr>
      <t xml:space="preserve">4 ruedas </t>
    </r>
    <r>
      <rPr>
        <sz val="11"/>
        <color theme="1"/>
        <rFont val="Arial Narrow"/>
        <family val="2"/>
      </rPr>
      <t xml:space="preserve">con capacidad de </t>
    </r>
    <r>
      <rPr>
        <b/>
        <sz val="11"/>
        <color theme="1"/>
        <rFont val="Arial Narrow"/>
        <family val="2"/>
      </rPr>
      <t>4 a 10</t>
    </r>
    <r>
      <rPr>
        <sz val="11"/>
        <color theme="1"/>
        <rFont val="Arial Narrow"/>
        <family val="2"/>
      </rPr>
      <t xml:space="preserve"> personas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</si>
  <si>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vehículo no convencional o modificado de mínimo </t>
    </r>
    <r>
      <rPr>
        <b/>
        <sz val="11"/>
        <color theme="1"/>
        <rFont val="Arial Narrow"/>
        <family val="2"/>
      </rPr>
      <t>4 ruedas</t>
    </r>
    <r>
      <rPr>
        <sz val="11"/>
        <color theme="1"/>
        <rFont val="Arial Narrow"/>
        <family val="2"/>
      </rPr>
      <t xml:space="preserve"> con capacidad de </t>
    </r>
    <r>
      <rPr>
        <b/>
        <sz val="11"/>
        <color theme="1"/>
        <rFont val="Arial Narrow"/>
        <family val="2"/>
      </rPr>
      <t>10 a 30</t>
    </r>
    <r>
      <rPr>
        <sz val="11"/>
        <color theme="1"/>
        <rFont val="Arial Narrow"/>
        <family val="2"/>
      </rPr>
      <t xml:space="preserve"> personas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</si>
  <si>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vehículo no convencional o modificado de mínimo </t>
    </r>
    <r>
      <rPr>
        <b/>
        <sz val="11"/>
        <color theme="1"/>
        <rFont val="Arial Narrow"/>
        <family val="2"/>
      </rPr>
      <t xml:space="preserve">4 ruedas </t>
    </r>
    <r>
      <rPr>
        <sz val="11"/>
        <color theme="1"/>
        <rFont val="Arial Narrow"/>
        <family val="2"/>
      </rPr>
      <t xml:space="preserve">con capacidad de </t>
    </r>
    <r>
      <rPr>
        <b/>
        <sz val="11"/>
        <color theme="1"/>
        <rFont val="Arial Narrow"/>
        <family val="2"/>
      </rPr>
      <t>10 a 30</t>
    </r>
    <r>
      <rPr>
        <sz val="11"/>
        <color theme="1"/>
        <rFont val="Arial Narrow"/>
        <family val="2"/>
      </rPr>
      <t xml:space="preserve"> personas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</si>
  <si>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vehículo automotor de </t>
    </r>
    <r>
      <rPr>
        <b/>
        <sz val="11"/>
        <color theme="1"/>
        <rFont val="Arial Narrow"/>
        <family val="2"/>
      </rPr>
      <t>2 ruedas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</si>
  <si>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vehículo automotor de </t>
    </r>
    <r>
      <rPr>
        <b/>
        <sz val="11"/>
        <color theme="1"/>
        <rFont val="Arial Narrow"/>
        <family val="2"/>
      </rPr>
      <t>2 ruedas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</si>
  <si>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DÍA</t>
    </r>
    <r>
      <rPr>
        <sz val="11"/>
        <color theme="1"/>
        <rFont val="Arial Narrow"/>
        <family val="2"/>
      </rPr>
      <t xml:space="preserve"> vehículo automotor de </t>
    </r>
    <r>
      <rPr>
        <b/>
        <sz val="11"/>
        <color theme="1"/>
        <rFont val="Arial Narrow"/>
        <family val="2"/>
      </rPr>
      <t>3 ruedas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</si>
  <si>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HORA</t>
    </r>
    <r>
      <rPr>
        <sz val="11"/>
        <color theme="1"/>
        <rFont val="Arial Narrow"/>
        <family val="2"/>
      </rPr>
      <t xml:space="preserve"> vehículo automotor de </t>
    </r>
    <r>
      <rPr>
        <b/>
        <sz val="11"/>
        <color theme="1"/>
        <rFont val="Arial Narrow"/>
        <family val="2"/>
      </rPr>
      <t>3 ruedas</t>
    </r>
  </si>
  <si>
    <r>
      <rPr>
        <sz val="11"/>
        <color theme="1"/>
        <rFont val="Arial Narrow"/>
        <family val="2"/>
      </rPr>
      <t xml:space="preserve">Valor </t>
    </r>
    <r>
      <rPr>
        <b/>
        <sz val="11"/>
        <color theme="1"/>
        <rFont val="Arial Narrow"/>
        <family val="2"/>
      </rPr>
      <t>KILOGRAMO</t>
    </r>
    <r>
      <rPr>
        <sz val="11"/>
        <color theme="1"/>
        <rFont val="Arial Narrow"/>
        <family val="2"/>
      </rPr>
      <t xml:space="preserve"> para transporte de</t>
    </r>
    <r>
      <rPr>
        <b/>
        <sz val="11"/>
        <color theme="1"/>
        <rFont val="Arial Narrow"/>
        <family val="2"/>
      </rPr>
      <t xml:space="preserve"> carga aérea</t>
    </r>
    <r>
      <rPr>
        <sz val="11"/>
        <color theme="1"/>
        <rFont val="Arial Narrow"/>
        <family val="2"/>
      </rPr>
      <t xml:space="preserve"> (todas las rutas)**</t>
    </r>
  </si>
  <si>
    <r>
      <t xml:space="preserve">Valor </t>
    </r>
    <r>
      <rPr>
        <b/>
        <sz val="11"/>
        <color theme="1"/>
        <rFont val="Arial Narrow"/>
        <family val="2"/>
      </rPr>
      <t>SEMANA</t>
    </r>
    <r>
      <rPr>
        <sz val="11"/>
        <color theme="1"/>
        <rFont val="Arial Narrow"/>
        <family val="2"/>
      </rPr>
      <t xml:space="preserve"> (lunes a viernes) servicio de transportes en </t>
    </r>
    <r>
      <rPr>
        <b/>
        <sz val="11"/>
        <color theme="1"/>
        <rFont val="Arial Narrow"/>
        <family val="2"/>
      </rPr>
      <t>semovientes</t>
    </r>
    <r>
      <rPr>
        <sz val="11"/>
        <color theme="1"/>
        <rFont val="Arial Narrow"/>
        <family val="2"/>
      </rPr>
      <t xml:space="preserve"> para</t>
    </r>
    <r>
      <rPr>
        <b/>
        <sz val="11"/>
        <color theme="1"/>
        <rFont val="Arial Narrow"/>
        <family val="2"/>
      </rPr>
      <t xml:space="preserve"> traslado de personas</t>
    </r>
  </si>
  <si>
    <t>ADMINISTRACION</t>
  </si>
  <si>
    <t>GRAVAMENES</t>
  </si>
  <si>
    <t>UTILIDAD GENERAL</t>
  </si>
  <si>
    <t xml:space="preserve">UTILIDAD GENERAL </t>
  </si>
  <si>
    <t xml:space="preserve">Verificacion UBPD </t>
  </si>
  <si>
    <t>Verificación UBPD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</si>
</sst>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-[$$-240A]\ * #,##0_-;\-[$$-240A]\ * #,##0_-;_-[$$-240A]\ * &quot;-&quot;??_-;_-@_-"/>
    <numFmt numFmtId="166" formatCode="_-&quot;$&quot;\ * #,##0_-;\-&quot;$&quot;\ * #,##0_-;_-&quot;$&quot;\ * &quot;-&quot;??_-;_-@"/>
    <numFmt numFmtId="167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E2F3"/>
        <bgColor rgb="FFD9E2F3"/>
      </patternFill>
    </fill>
    <fill>
      <patternFill patternType="solid">
        <fgColor rgb="FFCFE2F3"/>
        <bgColor rgb="FFCFE2F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0.39997558519241921"/>
        <bgColor rgb="FFD9E2F3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4" tint="0.39997558519241921"/>
        <bgColor rgb="FFCFE2F3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44" fontId="7" fillId="3" borderId="1" xfId="1" applyFont="1" applyFill="1" applyBorder="1" applyAlignment="1">
      <alignment horizontal="center" vertical="center"/>
    </xf>
    <xf numFmtId="44" fontId="7" fillId="3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9" fontId="4" fillId="2" borderId="1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10" fillId="4" borderId="1" xfId="0" applyNumberFormat="1" applyFont="1" applyFill="1" applyBorder="1" applyAlignment="1">
      <alignment horizontal="center" vertical="center"/>
    </xf>
    <xf numFmtId="9" fontId="4" fillId="0" borderId="1" xfId="1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44" fontId="4" fillId="5" borderId="1" xfId="1" applyFont="1" applyFill="1" applyBorder="1" applyAlignment="1">
      <alignment horizontal="center" vertical="center"/>
    </xf>
    <xf numFmtId="9" fontId="4" fillId="5" borderId="1" xfId="1" applyNumberFormat="1" applyFont="1" applyFill="1" applyBorder="1" applyAlignment="1">
      <alignment horizontal="center" vertical="center"/>
    </xf>
    <xf numFmtId="44" fontId="4" fillId="5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66" fontId="14" fillId="9" borderId="1" xfId="0" applyNumberFormat="1" applyFont="1" applyFill="1" applyBorder="1" applyAlignment="1">
      <alignment horizontal="center" vertical="center"/>
    </xf>
    <xf numFmtId="166" fontId="15" fillId="9" borderId="1" xfId="0" applyNumberFormat="1" applyFont="1" applyFill="1" applyBorder="1" applyAlignment="1">
      <alignment horizontal="center" vertical="center"/>
    </xf>
    <xf numFmtId="0" fontId="0" fillId="0" borderId="1" xfId="0" applyBorder="1"/>
    <xf numFmtId="166" fontId="0" fillId="0" borderId="1" xfId="0" applyNumberFormat="1" applyBorder="1"/>
    <xf numFmtId="166" fontId="14" fillId="11" borderId="21" xfId="0" applyNumberFormat="1" applyFont="1" applyFill="1" applyBorder="1" applyAlignment="1">
      <alignment horizontal="center" vertical="center"/>
    </xf>
    <xf numFmtId="166" fontId="14" fillId="11" borderId="1" xfId="0" applyNumberFormat="1" applyFont="1" applyFill="1" applyBorder="1" applyAlignment="1">
      <alignment horizontal="center" vertical="center"/>
    </xf>
    <xf numFmtId="44" fontId="4" fillId="8" borderId="1" xfId="1" applyFont="1" applyFill="1" applyBorder="1" applyAlignment="1">
      <alignment horizontal="center" vertical="center"/>
    </xf>
    <xf numFmtId="167" fontId="0" fillId="0" borderId="1" xfId="1" applyNumberFormat="1" applyFont="1" applyBorder="1"/>
    <xf numFmtId="167" fontId="4" fillId="0" borderId="1" xfId="1" applyNumberFormat="1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 wrapText="1"/>
    </xf>
    <xf numFmtId="166" fontId="14" fillId="14" borderId="1" xfId="0" applyNumberFormat="1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164" fontId="0" fillId="13" borderId="1" xfId="0" applyNumberFormat="1" applyFill="1" applyBorder="1" applyAlignment="1">
      <alignment horizontal="center" vertical="center"/>
    </xf>
    <xf numFmtId="44" fontId="4" fillId="13" borderId="1" xfId="1" applyFont="1" applyFill="1" applyBorder="1" applyAlignment="1">
      <alignment horizontal="center" vertical="center"/>
    </xf>
    <xf numFmtId="9" fontId="4" fillId="13" borderId="1" xfId="1" applyNumberFormat="1" applyFont="1" applyFill="1" applyBorder="1" applyAlignment="1">
      <alignment horizontal="center" vertical="center"/>
    </xf>
    <xf numFmtId="44" fontId="4" fillId="13" borderId="1" xfId="0" applyNumberFormat="1" applyFont="1" applyFill="1" applyBorder="1" applyAlignment="1">
      <alignment horizontal="center" vertical="center"/>
    </xf>
    <xf numFmtId="44" fontId="10" fillId="0" borderId="1" xfId="1" applyFont="1" applyFill="1" applyBorder="1" applyAlignment="1">
      <alignment horizontal="center" vertical="center"/>
    </xf>
    <xf numFmtId="9" fontId="4" fillId="2" borderId="0" xfId="2" applyFont="1" applyFill="1" applyBorder="1" applyAlignment="1">
      <alignment horizontal="center" vertical="center"/>
    </xf>
    <xf numFmtId="0" fontId="0" fillId="2" borderId="0" xfId="0" applyFill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4" fontId="7" fillId="3" borderId="1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9" fontId="7" fillId="3" borderId="1" xfId="2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3" fillId="0" borderId="11" xfId="0" applyFont="1" applyBorder="1"/>
    <xf numFmtId="0" fontId="11" fillId="0" borderId="8" xfId="0" applyFont="1" applyBorder="1" applyAlignment="1">
      <alignment horizontal="left" vertical="center" wrapText="1"/>
    </xf>
    <xf numFmtId="0" fontId="13" fillId="0" borderId="12" xfId="0" applyFont="1" applyBorder="1"/>
    <xf numFmtId="0" fontId="11" fillId="12" borderId="4" xfId="0" applyFont="1" applyFill="1" applyBorder="1" applyAlignment="1">
      <alignment horizontal="left" vertical="center" wrapText="1"/>
    </xf>
    <xf numFmtId="0" fontId="13" fillId="5" borderId="10" xfId="0" applyFont="1" applyFill="1" applyBorder="1"/>
    <xf numFmtId="0" fontId="11" fillId="7" borderId="6" xfId="0" applyFont="1" applyFill="1" applyBorder="1" applyAlignment="1">
      <alignment horizontal="left" vertical="center" wrapText="1"/>
    </xf>
    <xf numFmtId="0" fontId="11" fillId="6" borderId="6" xfId="0" applyFont="1" applyFill="1" applyBorder="1" applyAlignment="1">
      <alignment horizontal="left" vertical="center" wrapText="1"/>
    </xf>
    <xf numFmtId="0" fontId="13" fillId="0" borderId="7" xfId="0" applyFont="1" applyBorder="1"/>
    <xf numFmtId="0" fontId="11" fillId="6" borderId="8" xfId="0" applyFont="1" applyFill="1" applyBorder="1" applyAlignment="1">
      <alignment horizontal="left" vertical="center" wrapText="1"/>
    </xf>
    <xf numFmtId="0" fontId="13" fillId="0" borderId="9" xfId="0" applyFont="1" applyBorder="1"/>
    <xf numFmtId="0" fontId="11" fillId="0" borderId="4" xfId="0" applyFont="1" applyBorder="1" applyAlignment="1">
      <alignment horizontal="left" vertical="center" wrapText="1"/>
    </xf>
    <xf numFmtId="0" fontId="13" fillId="0" borderId="10" xfId="0" applyFont="1" applyBorder="1"/>
    <xf numFmtId="0" fontId="11" fillId="10" borderId="4" xfId="0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3" fillId="0" borderId="14" xfId="0" applyFont="1" applyBorder="1"/>
    <xf numFmtId="0" fontId="11" fillId="0" borderId="15" xfId="0" applyFont="1" applyBorder="1" applyAlignment="1">
      <alignment horizontal="left" vertical="center" wrapText="1"/>
    </xf>
    <xf numFmtId="0" fontId="13" fillId="0" borderId="16" xfId="0" applyFont="1" applyBorder="1"/>
    <xf numFmtId="0" fontId="11" fillId="6" borderId="4" xfId="0" applyFont="1" applyFill="1" applyBorder="1" applyAlignment="1">
      <alignment horizontal="left" vertical="center" wrapText="1"/>
    </xf>
    <xf numFmtId="0" fontId="13" fillId="0" borderId="5" xfId="0" applyFont="1" applyBorder="1"/>
    <xf numFmtId="0" fontId="11" fillId="13" borderId="13" xfId="0" applyFont="1" applyFill="1" applyBorder="1" applyAlignment="1">
      <alignment horizontal="left" vertical="center" wrapText="1"/>
    </xf>
    <xf numFmtId="0" fontId="13" fillId="13" borderId="14" xfId="0" applyFont="1" applyFill="1" applyBorder="1"/>
    <xf numFmtId="0" fontId="11" fillId="6" borderId="15" xfId="0" applyFont="1" applyFill="1" applyBorder="1" applyAlignment="1">
      <alignment horizontal="left" vertical="center" wrapText="1"/>
    </xf>
    <xf numFmtId="0" fontId="13" fillId="0" borderId="19" xfId="0" applyFont="1" applyBorder="1"/>
    <xf numFmtId="0" fontId="11" fillId="0" borderId="17" xfId="0" applyFont="1" applyBorder="1" applyAlignment="1">
      <alignment horizontal="left" vertical="center" wrapText="1"/>
    </xf>
    <xf numFmtId="0" fontId="13" fillId="0" borderId="18" xfId="0" applyFont="1" applyBorder="1"/>
    <xf numFmtId="0" fontId="11" fillId="6" borderId="20" xfId="0" applyFont="1" applyFill="1" applyBorder="1" applyAlignment="1">
      <alignment horizontal="left" vertical="center" wrapText="1"/>
    </xf>
    <xf numFmtId="0" fontId="13" fillId="0" borderId="0" xfId="0" applyFont="1"/>
    <xf numFmtId="0" fontId="13" fillId="5" borderId="5" xfId="0" applyFont="1" applyFill="1" applyBorder="1"/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left" vertical="center" wrapText="1"/>
    </xf>
    <xf numFmtId="0" fontId="11" fillId="6" borderId="26" xfId="0" applyFont="1" applyFill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6" borderId="29" xfId="0" applyFont="1" applyFill="1" applyBorder="1" applyAlignment="1">
      <alignment horizontal="left" vertical="center" wrapText="1"/>
    </xf>
    <xf numFmtId="0" fontId="11" fillId="6" borderId="28" xfId="0" applyFont="1" applyFill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6" borderId="27" xfId="0" applyFont="1" applyFill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11" fillId="13" borderId="4" xfId="0" applyFont="1" applyFill="1" applyBorder="1" applyAlignment="1">
      <alignment horizontal="left" vertical="center" wrapText="1"/>
    </xf>
    <xf numFmtId="0" fontId="11" fillId="13" borderId="26" xfId="0" applyFont="1" applyFill="1" applyBorder="1" applyAlignment="1">
      <alignment horizontal="left" vertical="center" wrapText="1"/>
    </xf>
    <xf numFmtId="0" fontId="11" fillId="10" borderId="26" xfId="0" applyFont="1" applyFill="1" applyBorder="1" applyAlignment="1">
      <alignment horizontal="left" vertical="center" wrapText="1"/>
    </xf>
    <xf numFmtId="0" fontId="11" fillId="12" borderId="26" xfId="0" applyFont="1" applyFill="1" applyBorder="1" applyAlignment="1">
      <alignment horizontal="left" vertical="center" wrapText="1"/>
    </xf>
    <xf numFmtId="0" fontId="11" fillId="7" borderId="28" xfId="0" applyFont="1" applyFill="1" applyBorder="1" applyAlignment="1">
      <alignment horizontal="left" vertical="center" wrapText="1"/>
    </xf>
    <xf numFmtId="0" fontId="11" fillId="7" borderId="27" xfId="0" applyFont="1" applyFill="1" applyBorder="1" applyAlignment="1">
      <alignment horizontal="left" vertical="center" wrapText="1"/>
    </xf>
    <xf numFmtId="166" fontId="14" fillId="16" borderId="21" xfId="0" applyNumberFormat="1" applyFont="1" applyFill="1" applyBorder="1" applyAlignment="1">
      <alignment horizontal="center" vertical="center"/>
    </xf>
    <xf numFmtId="165" fontId="3" fillId="15" borderId="1" xfId="0" applyNumberFormat="1" applyFont="1" applyFill="1" applyBorder="1" applyAlignment="1">
      <alignment horizontal="center" vertical="center" wrapText="1"/>
    </xf>
    <xf numFmtId="165" fontId="3" fillId="15" borderId="30" xfId="0" applyNumberFormat="1" applyFont="1" applyFill="1" applyBorder="1" applyAlignment="1">
      <alignment horizontal="center" vertical="center" wrapText="1"/>
    </xf>
    <xf numFmtId="165" fontId="3" fillId="15" borderId="21" xfId="0" applyNumberFormat="1" applyFont="1" applyFill="1" applyBorder="1" applyAlignment="1">
      <alignment horizontal="center" vertical="center" wrapText="1"/>
    </xf>
    <xf numFmtId="44" fontId="14" fillId="16" borderId="21" xfId="1" applyFont="1" applyFill="1" applyBorder="1" applyAlignment="1">
      <alignment horizontal="center" vertical="center"/>
    </xf>
  </cellXfs>
  <cellStyles count="4">
    <cellStyle name="Moneda" xfId="1" builtinId="4"/>
    <cellStyle name="Moneda 2" xfId="3" xr:uid="{02C4359D-ACEB-42E9-B586-0890DAD5EEB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BD7A6-BD74-4FA3-A005-608DA667D2E8}">
  <dimension ref="A1:AH79"/>
  <sheetViews>
    <sheetView topLeftCell="D1" zoomScale="85" zoomScaleNormal="85" workbookViewId="0">
      <selection activeCell="G5" sqref="G5"/>
    </sheetView>
  </sheetViews>
  <sheetFormatPr baseColWidth="10" defaultRowHeight="14.5" x14ac:dyDescent="0.35"/>
  <cols>
    <col min="2" max="2" width="104.81640625" style="45" customWidth="1"/>
    <col min="3" max="3" width="11.453125" style="45"/>
    <col min="5" max="5" width="26.1796875" bestFit="1" customWidth="1"/>
    <col min="6" max="6" width="33.453125" bestFit="1" customWidth="1"/>
    <col min="7" max="7" width="33.453125" customWidth="1"/>
    <col min="10" max="10" width="16" bestFit="1" customWidth="1"/>
    <col min="11" max="11" width="12.1796875" bestFit="1" customWidth="1"/>
    <col min="12" max="12" width="12.81640625" bestFit="1" customWidth="1"/>
    <col min="13" max="13" width="13.1796875" bestFit="1" customWidth="1"/>
    <col min="14" max="15" width="12.54296875" bestFit="1" customWidth="1"/>
    <col min="23" max="23" width="12.54296875" bestFit="1" customWidth="1"/>
    <col min="25" max="25" width="11.54296875" bestFit="1" customWidth="1"/>
    <col min="26" max="27" width="12.54296875" bestFit="1" customWidth="1"/>
    <col min="28" max="28" width="14.1796875" bestFit="1" customWidth="1"/>
    <col min="29" max="29" width="33.81640625" bestFit="1" customWidth="1"/>
    <col min="31" max="31" width="16.26953125" bestFit="1" customWidth="1"/>
    <col min="32" max="32" width="18.54296875" bestFit="1" customWidth="1"/>
    <col min="34" max="34" width="40" bestFit="1" customWidth="1"/>
  </cols>
  <sheetData>
    <row r="1" spans="1:34" ht="15" customHeight="1" x14ac:dyDescent="0.35">
      <c r="A1" s="50" t="s">
        <v>3</v>
      </c>
      <c r="B1" s="51"/>
      <c r="C1" s="51"/>
      <c r="D1" s="51"/>
      <c r="E1" s="11"/>
      <c r="F1" s="12"/>
      <c r="G1" s="12"/>
      <c r="H1" s="10"/>
      <c r="I1" s="10"/>
      <c r="J1" s="10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35">
      <c r="A2" s="2"/>
      <c r="B2" s="44"/>
      <c r="C2" s="9"/>
      <c r="D2" s="2"/>
      <c r="E2" s="11"/>
      <c r="F2" s="12"/>
      <c r="G2" s="12"/>
      <c r="H2" s="10"/>
      <c r="I2" s="10"/>
      <c r="J2" s="10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5" customHeight="1" x14ac:dyDescent="0.35">
      <c r="A3" s="98" t="s">
        <v>0</v>
      </c>
      <c r="B3" s="86" t="s">
        <v>1</v>
      </c>
      <c r="C3" s="87"/>
      <c r="D3" s="98" t="s">
        <v>2</v>
      </c>
      <c r="E3" s="46" t="s">
        <v>31</v>
      </c>
      <c r="F3" s="46" t="s">
        <v>32</v>
      </c>
      <c r="G3" s="110" t="s">
        <v>111</v>
      </c>
      <c r="H3" s="47" t="s">
        <v>4</v>
      </c>
      <c r="I3" s="47" t="s">
        <v>5</v>
      </c>
      <c r="J3" s="48" t="s">
        <v>6</v>
      </c>
      <c r="K3" s="48"/>
      <c r="L3" s="48"/>
      <c r="M3" s="48"/>
      <c r="N3" s="48"/>
      <c r="O3" s="48"/>
      <c r="P3" s="49" t="s">
        <v>7</v>
      </c>
      <c r="Q3" s="49" t="s">
        <v>8</v>
      </c>
      <c r="R3" s="48" t="s">
        <v>9</v>
      </c>
      <c r="S3" s="48"/>
      <c r="T3" s="48"/>
      <c r="U3" s="48"/>
      <c r="V3" s="48"/>
      <c r="W3" s="48"/>
      <c r="X3" s="48"/>
      <c r="Y3" s="48"/>
      <c r="Z3" s="48"/>
      <c r="AA3" s="49" t="s">
        <v>10</v>
      </c>
      <c r="AB3" s="49" t="s">
        <v>11</v>
      </c>
      <c r="AC3" s="53" t="s">
        <v>12</v>
      </c>
      <c r="AD3" s="53" t="s">
        <v>108</v>
      </c>
      <c r="AE3" s="54" t="s">
        <v>13</v>
      </c>
      <c r="AF3" s="53" t="s">
        <v>14</v>
      </c>
      <c r="AG3" s="55" t="s">
        <v>15</v>
      </c>
      <c r="AH3" s="55" t="s">
        <v>34</v>
      </c>
    </row>
    <row r="4" spans="1:34" ht="39.5" thickBot="1" x14ac:dyDescent="0.4">
      <c r="A4" s="99"/>
      <c r="B4" s="88"/>
      <c r="C4" s="89"/>
      <c r="D4" s="99"/>
      <c r="E4" s="46"/>
      <c r="F4" s="46"/>
      <c r="G4" s="111"/>
      <c r="H4" s="47"/>
      <c r="I4" s="47"/>
      <c r="J4" s="4" t="s">
        <v>16</v>
      </c>
      <c r="K4" s="3" t="s">
        <v>17</v>
      </c>
      <c r="L4" s="4" t="s">
        <v>18</v>
      </c>
      <c r="M4" s="4" t="s">
        <v>19</v>
      </c>
      <c r="N4" s="4" t="s">
        <v>20</v>
      </c>
      <c r="O4" s="4" t="s">
        <v>21</v>
      </c>
      <c r="P4" s="49"/>
      <c r="Q4" s="49"/>
      <c r="R4" s="4" t="s">
        <v>22</v>
      </c>
      <c r="S4" s="4" t="s">
        <v>23</v>
      </c>
      <c r="T4" s="4" t="s">
        <v>24</v>
      </c>
      <c r="U4" s="4" t="s">
        <v>25</v>
      </c>
      <c r="V4" s="4" t="s">
        <v>26</v>
      </c>
      <c r="W4" s="4" t="s">
        <v>27</v>
      </c>
      <c r="X4" s="4" t="s">
        <v>28</v>
      </c>
      <c r="Y4" s="4" t="s">
        <v>29</v>
      </c>
      <c r="Z4" s="4" t="s">
        <v>30</v>
      </c>
      <c r="AA4" s="49"/>
      <c r="AB4" s="49"/>
      <c r="AC4" s="53"/>
      <c r="AD4" s="53"/>
      <c r="AE4" s="54"/>
      <c r="AF4" s="53"/>
      <c r="AG4" s="55"/>
      <c r="AH4" s="55" t="s">
        <v>35</v>
      </c>
    </row>
    <row r="5" spans="1:34" ht="15" customHeight="1" x14ac:dyDescent="0.35">
      <c r="A5" s="14">
        <v>1</v>
      </c>
      <c r="B5" s="69" t="s">
        <v>36</v>
      </c>
      <c r="C5" s="104"/>
      <c r="D5" s="17">
        <v>1</v>
      </c>
      <c r="E5" s="28">
        <v>19427184</v>
      </c>
      <c r="F5" s="28">
        <v>9494064.8208000008</v>
      </c>
      <c r="G5" s="108">
        <f>(E5*51.13%)-E5</f>
        <v>-9494064.8208000008</v>
      </c>
      <c r="H5" s="18">
        <v>4000</v>
      </c>
      <c r="I5" s="18">
        <v>40</v>
      </c>
      <c r="J5" s="19">
        <v>200000</v>
      </c>
      <c r="K5" s="20">
        <f>(665500/12)</f>
        <v>55458.333333333336</v>
      </c>
      <c r="L5" s="20">
        <f>(319000/12)</f>
        <v>26583.333333333332</v>
      </c>
      <c r="M5" s="20">
        <f>(5093602/12)</f>
        <v>424466.83333333331</v>
      </c>
      <c r="N5" s="20">
        <f>(1465288/12)</f>
        <v>122107.33333333333</v>
      </c>
      <c r="O5" s="20">
        <f>(900000/6)</f>
        <v>150000</v>
      </c>
      <c r="P5" s="20">
        <f>(350000/12)</f>
        <v>29166.666666666668</v>
      </c>
      <c r="Q5" s="20">
        <f t="shared" ref="Q5" si="0">(180000000-110000000)/20/365</f>
        <v>9589.0410958904104</v>
      </c>
      <c r="R5" s="20">
        <f>+(H5/150000)*200000</f>
        <v>5333.3333333333339</v>
      </c>
      <c r="S5" s="20">
        <f>(200000/150000)*H5</f>
        <v>5333.333333333333</v>
      </c>
      <c r="T5" s="20">
        <f>+(H5/100000)*300000</f>
        <v>12000</v>
      </c>
      <c r="U5" s="20">
        <f>+(H5/45000)*300000</f>
        <v>26666.666666666668</v>
      </c>
      <c r="V5" s="20">
        <f>+(H5/40000)*700000</f>
        <v>70000</v>
      </c>
      <c r="W5" s="20">
        <f>+(H5/6000)*150000</f>
        <v>100000</v>
      </c>
      <c r="X5" s="20">
        <f>+(H5/90000)*1900000</f>
        <v>84444.444444444453</v>
      </c>
      <c r="Y5" s="20">
        <f>+(H5/50000)*530000</f>
        <v>42400</v>
      </c>
      <c r="Z5" s="20">
        <f>+(H5/50000)*1800000</f>
        <v>144000</v>
      </c>
      <c r="AA5" s="20">
        <v>400000</v>
      </c>
      <c r="AB5" s="20">
        <f t="shared" ref="AB5:AB54" si="1">+(H5/I5)*13747</f>
        <v>1374700</v>
      </c>
      <c r="AC5" s="20">
        <f>3092909/1</f>
        <v>3092909</v>
      </c>
      <c r="AD5" s="21">
        <v>0.1</v>
      </c>
      <c r="AE5" s="22">
        <f>SUM(J5:AD5)</f>
        <v>6375158.4188736677</v>
      </c>
      <c r="AF5" s="22">
        <f t="shared" ref="AF5:AF54" si="2">+F5-AE5</f>
        <v>3118906.4019263331</v>
      </c>
      <c r="AG5" s="8">
        <f t="shared" ref="AG5:AG54" si="3">(F5-AE5)/F5</f>
        <v>0.32851117627649862</v>
      </c>
      <c r="AH5" s="15">
        <f t="shared" ref="AH5" si="4">AE5+AF5</f>
        <v>9494064.8208000008</v>
      </c>
    </row>
    <row r="6" spans="1:34" ht="15" customHeight="1" x14ac:dyDescent="0.35">
      <c r="A6" s="14">
        <v>2</v>
      </c>
      <c r="B6" s="63" t="s">
        <v>37</v>
      </c>
      <c r="C6" s="94"/>
      <c r="D6" s="1">
        <v>1</v>
      </c>
      <c r="E6" s="24">
        <v>1398757</v>
      </c>
      <c r="F6" s="24">
        <v>683572.54590000003</v>
      </c>
      <c r="G6" s="108">
        <f t="shared" ref="G6:G69" si="5">(E6*51.13%)-E6</f>
        <v>-683572.54590000003</v>
      </c>
      <c r="H6" s="5">
        <v>150</v>
      </c>
      <c r="I6" s="5">
        <v>40</v>
      </c>
      <c r="J6" s="13">
        <f>J5/30</f>
        <v>6666.666666666667</v>
      </c>
      <c r="K6" s="6">
        <f>(665500/365)</f>
        <v>1823.2876712328766</v>
      </c>
      <c r="L6" s="6">
        <f>(319000/365)</f>
        <v>873.97260273972597</v>
      </c>
      <c r="M6" s="6">
        <f t="shared" ref="M6" si="6">(5093602/365)</f>
        <v>13955.07397260274</v>
      </c>
      <c r="N6" s="6">
        <f>(1465288/365)</f>
        <v>4014.4876712328769</v>
      </c>
      <c r="O6" s="6">
        <f>(900000/6)/365</f>
        <v>410.95890410958901</v>
      </c>
      <c r="P6" s="6">
        <f t="shared" ref="P6" si="7">(350000/365)</f>
        <v>958.90410958904113</v>
      </c>
      <c r="Q6" s="6">
        <f>(180000000-110000000)/20/365</f>
        <v>9589.0410958904104</v>
      </c>
      <c r="R6" s="6">
        <f>+(H6/150000)*200000</f>
        <v>200</v>
      </c>
      <c r="S6" s="6">
        <f>(200000/150000)*H6</f>
        <v>200</v>
      </c>
      <c r="T6" s="6">
        <f>+(H6/100000)*300000</f>
        <v>450</v>
      </c>
      <c r="U6" s="6">
        <f>+(H6/45000)*300000</f>
        <v>1000.0000000000001</v>
      </c>
      <c r="V6" s="6">
        <f>+(H6/40000)*700000</f>
        <v>2625</v>
      </c>
      <c r="W6" s="6">
        <f>+(H6/6000)*150000</f>
        <v>3750</v>
      </c>
      <c r="X6" s="6">
        <f>+(H6/90000)*1900000</f>
        <v>3166.666666666667</v>
      </c>
      <c r="Y6" s="6">
        <f>+(H6/50000)*530000</f>
        <v>1590</v>
      </c>
      <c r="Z6" s="6">
        <f>+(H6/50000)*1800000</f>
        <v>5400</v>
      </c>
      <c r="AA6" s="6">
        <f>AA5/30</f>
        <v>13333.333333333334</v>
      </c>
      <c r="AB6" s="6">
        <f t="shared" si="1"/>
        <v>51551.25</v>
      </c>
      <c r="AC6" s="6">
        <v>114600</v>
      </c>
      <c r="AD6" s="16">
        <v>0.1</v>
      </c>
      <c r="AE6" s="7">
        <f>SUM(K6:AD6)</f>
        <v>229492.07602739727</v>
      </c>
      <c r="AF6" s="7">
        <f t="shared" si="2"/>
        <v>454080.46987260273</v>
      </c>
      <c r="AG6" s="8">
        <f t="shared" si="3"/>
        <v>0.66427546365946399</v>
      </c>
      <c r="AH6" s="15">
        <f>AE6+AF6</f>
        <v>683572.54590000003</v>
      </c>
    </row>
    <row r="7" spans="1:34" ht="15" customHeight="1" x14ac:dyDescent="0.35">
      <c r="A7" s="14">
        <v>3</v>
      </c>
      <c r="B7" s="63" t="s">
        <v>38</v>
      </c>
      <c r="C7" s="94"/>
      <c r="D7" s="1">
        <v>1</v>
      </c>
      <c r="E7" s="24">
        <v>279751</v>
      </c>
      <c r="F7" s="24">
        <v>136714.3137</v>
      </c>
      <c r="G7" s="108">
        <f t="shared" si="5"/>
        <v>-136714.3137</v>
      </c>
      <c r="H7" s="5">
        <v>30</v>
      </c>
      <c r="I7" s="5">
        <v>40</v>
      </c>
      <c r="J7" s="13">
        <f>J6/24</f>
        <v>277.77777777777777</v>
      </c>
      <c r="K7" s="6">
        <f>(665500/365)/24</f>
        <v>75.970319634703188</v>
      </c>
      <c r="L7" s="6">
        <f>(319000/365)/24</f>
        <v>36.415525114155251</v>
      </c>
      <c r="M7" s="6">
        <f>(5093602/365)/24</f>
        <v>581.46141552511415</v>
      </c>
      <c r="N7" s="6">
        <f>(1465288/365)/24</f>
        <v>167.27031963470321</v>
      </c>
      <c r="O7" s="6">
        <f>(900000/6)/1440</f>
        <v>104.16666666666667</v>
      </c>
      <c r="P7" s="6">
        <f>(350000/365)/24</f>
        <v>39.954337899543383</v>
      </c>
      <c r="Q7" s="6">
        <f>(180000000-110000000)/20/365/24</f>
        <v>399.54337899543378</v>
      </c>
      <c r="R7" s="6">
        <f>+(H7/150000)*200000</f>
        <v>40</v>
      </c>
      <c r="S7" s="6">
        <f>(200000/150000)*H7</f>
        <v>40</v>
      </c>
      <c r="T7" s="6">
        <f>+(H7/100000)*300000</f>
        <v>89.999999999999986</v>
      </c>
      <c r="U7" s="6">
        <f>+(H7/45000)*300000</f>
        <v>200</v>
      </c>
      <c r="V7" s="6">
        <f>+(H7/40000)*700000</f>
        <v>525</v>
      </c>
      <c r="W7" s="6">
        <f>+(H7/6000)*150000</f>
        <v>750</v>
      </c>
      <c r="X7" s="6">
        <f>+(H7/90000)*1900000</f>
        <v>633.33333333333326</v>
      </c>
      <c r="Y7" s="6">
        <f>+(H7/50000)*530000/8</f>
        <v>39.75</v>
      </c>
      <c r="Z7" s="6">
        <f>+(H7/50000)*1800000/8</f>
        <v>135</v>
      </c>
      <c r="AA7" s="6">
        <f>$AA$6/8</f>
        <v>1666.6666666666667</v>
      </c>
      <c r="AB7" s="6">
        <f t="shared" si="1"/>
        <v>10310.25</v>
      </c>
      <c r="AC7" s="6">
        <f>(3092909/30)/8</f>
        <v>12887.120833333332</v>
      </c>
      <c r="AD7" s="16">
        <v>0.1</v>
      </c>
      <c r="AE7" s="7">
        <f>SUM(J7:AD7)</f>
        <v>28999.780574581426</v>
      </c>
      <c r="AF7" s="7">
        <f t="shared" si="2"/>
        <v>107714.53312541857</v>
      </c>
      <c r="AG7" s="8">
        <f t="shared" si="3"/>
        <v>0.7878804362927404</v>
      </c>
      <c r="AH7" s="15">
        <f t="shared" ref="AH7:AH10" si="8">AE7+AF7</f>
        <v>136714.3137</v>
      </c>
    </row>
    <row r="8" spans="1:34" ht="15" customHeight="1" x14ac:dyDescent="0.35">
      <c r="A8" s="23">
        <v>4</v>
      </c>
      <c r="B8" s="63" t="s">
        <v>39</v>
      </c>
      <c r="C8" s="94"/>
      <c r="D8" s="1">
        <v>1</v>
      </c>
      <c r="E8" s="24">
        <v>341918</v>
      </c>
      <c r="F8" s="24">
        <v>167095.3266</v>
      </c>
      <c r="G8" s="108">
        <f t="shared" si="5"/>
        <v>-167095.3266</v>
      </c>
      <c r="H8" s="5">
        <v>30</v>
      </c>
      <c r="I8" s="5">
        <v>40</v>
      </c>
      <c r="J8" s="13">
        <v>277.77999999999997</v>
      </c>
      <c r="K8" s="6">
        <f>(665500/365)/24</f>
        <v>75.970319634703188</v>
      </c>
      <c r="L8" s="6">
        <f>(319000/365)/24</f>
        <v>36.415525114155251</v>
      </c>
      <c r="M8" s="6">
        <f>(5093602/365)/24</f>
        <v>581.46141552511415</v>
      </c>
      <c r="N8" s="6">
        <f>(1465288/365)/24</f>
        <v>167.27031963470321</v>
      </c>
      <c r="O8" s="6">
        <f>(900000/6)/1440</f>
        <v>104.16666666666667</v>
      </c>
      <c r="P8" s="6">
        <f>(350000/365)/24</f>
        <v>39.954337899543383</v>
      </c>
      <c r="Q8" s="6">
        <f>(180000000-110000000)/20/365/24</f>
        <v>399.54337899543378</v>
      </c>
      <c r="R8" s="6">
        <f>+(H8/150000)*200000</f>
        <v>40</v>
      </c>
      <c r="S8" s="6">
        <f>(200000/150000)*H8</f>
        <v>40</v>
      </c>
      <c r="T8" s="6">
        <f>+(H8/100000)*300000</f>
        <v>89.999999999999986</v>
      </c>
      <c r="U8" s="6">
        <f>+(H8/45000)*300000</f>
        <v>200</v>
      </c>
      <c r="V8" s="6">
        <f>+(H8/40000)*700000</f>
        <v>525</v>
      </c>
      <c r="W8" s="6">
        <f>+(H8/6000)*150000</f>
        <v>750</v>
      </c>
      <c r="X8" s="6">
        <f>+(H8/90000)*1900000</f>
        <v>633.33333333333326</v>
      </c>
      <c r="Y8" s="6">
        <f>+(H8/50000)*530000/8</f>
        <v>39.75</v>
      </c>
      <c r="Z8" s="6">
        <f>+(H8/50000)*15800000/8</f>
        <v>1185</v>
      </c>
      <c r="AA8" s="6">
        <f t="shared" ref="AA8:AA9" si="9">$AA$6/8</f>
        <v>1666.6666666666667</v>
      </c>
      <c r="AB8" s="6">
        <f t="shared" si="1"/>
        <v>10310.25</v>
      </c>
      <c r="AC8" s="6">
        <v>13928</v>
      </c>
      <c r="AD8" s="16">
        <v>0.1</v>
      </c>
      <c r="AE8" s="7">
        <f>SUM(J8:AD8)</f>
        <v>31090.661963470317</v>
      </c>
      <c r="AF8" s="7">
        <f t="shared" si="2"/>
        <v>136004.66463652969</v>
      </c>
      <c r="AG8" s="8">
        <f t="shared" si="3"/>
        <v>0.81393458095990634</v>
      </c>
      <c r="AH8" s="15">
        <f t="shared" si="8"/>
        <v>167095.3266</v>
      </c>
    </row>
    <row r="9" spans="1:34" ht="15.75" customHeight="1" thickBot="1" x14ac:dyDescent="0.4">
      <c r="A9" s="14">
        <v>5</v>
      </c>
      <c r="B9" s="65" t="s">
        <v>40</v>
      </c>
      <c r="C9" s="96"/>
      <c r="D9" s="1">
        <v>1</v>
      </c>
      <c r="E9" s="24">
        <v>435169</v>
      </c>
      <c r="F9" s="24">
        <v>212667.09030000001</v>
      </c>
      <c r="G9" s="108">
        <f t="shared" si="5"/>
        <v>-212667.09030000001</v>
      </c>
      <c r="H9" s="5">
        <v>30</v>
      </c>
      <c r="I9" s="5">
        <v>40</v>
      </c>
      <c r="J9" s="13">
        <v>277.77999999999997</v>
      </c>
      <c r="K9" s="6">
        <f>(665500/365)/24</f>
        <v>75.970319634703188</v>
      </c>
      <c r="L9" s="6">
        <f>(319000/365)/24</f>
        <v>36.415525114155251</v>
      </c>
      <c r="M9" s="6">
        <f>(5093602/365)/24</f>
        <v>581.46141552511415</v>
      </c>
      <c r="N9" s="6">
        <f>(1465288/365)/24</f>
        <v>167.27031963470321</v>
      </c>
      <c r="O9" s="6">
        <f>(900000/6)/1440</f>
        <v>104.16666666666667</v>
      </c>
      <c r="P9" s="6">
        <f>(350000/365)/24</f>
        <v>39.954337899543383</v>
      </c>
      <c r="Q9" s="6">
        <f>(180000000-110000000)/20/365/24</f>
        <v>399.54337899543378</v>
      </c>
      <c r="R9" s="6">
        <f>+(H9/150000)*200000</f>
        <v>40</v>
      </c>
      <c r="S9" s="6">
        <f>(200000/150000)*H9</f>
        <v>40</v>
      </c>
      <c r="T9" s="6">
        <f>+(H9/100000)*300000</f>
        <v>89.999999999999986</v>
      </c>
      <c r="U9" s="6">
        <f>+(H9/45000)*300000</f>
        <v>200</v>
      </c>
      <c r="V9" s="6">
        <f>+(H9/40000)*700000</f>
        <v>525</v>
      </c>
      <c r="W9" s="6">
        <f>+(H9/6000)*150000</f>
        <v>750</v>
      </c>
      <c r="X9" s="6">
        <f>+(H9/90000)*1900000</f>
        <v>633.33333333333326</v>
      </c>
      <c r="Y9" s="6">
        <f>+(H9/50000)*530000/8</f>
        <v>39.75</v>
      </c>
      <c r="Z9" s="6">
        <f>+(H9/50000)*1500000/8</f>
        <v>112.49999999999999</v>
      </c>
      <c r="AA9" s="6">
        <f t="shared" si="9"/>
        <v>1666.6666666666667</v>
      </c>
      <c r="AB9" s="6">
        <f t="shared" si="1"/>
        <v>10310.25</v>
      </c>
      <c r="AC9" s="6">
        <v>17711</v>
      </c>
      <c r="AD9" s="16">
        <v>0.1</v>
      </c>
      <c r="AE9" s="7">
        <f>SUM(J9:AD9)</f>
        <v>33801.161963470317</v>
      </c>
      <c r="AF9" s="7">
        <f t="shared" si="2"/>
        <v>178865.9283365297</v>
      </c>
      <c r="AG9" s="8">
        <f t="shared" si="3"/>
        <v>0.84106068355104446</v>
      </c>
      <c r="AH9" s="15">
        <f t="shared" si="8"/>
        <v>212667.09030000001</v>
      </c>
    </row>
    <row r="10" spans="1:34" ht="15" customHeight="1" x14ac:dyDescent="0.35">
      <c r="A10" s="14">
        <v>6</v>
      </c>
      <c r="B10" s="67" t="s">
        <v>41</v>
      </c>
      <c r="C10" s="97"/>
      <c r="D10" s="1">
        <v>1</v>
      </c>
      <c r="E10" s="24">
        <v>7071495</v>
      </c>
      <c r="F10" s="24">
        <v>3455839.6065000002</v>
      </c>
      <c r="G10" s="108">
        <f t="shared" si="5"/>
        <v>-3455839.6065000002</v>
      </c>
      <c r="H10" s="5">
        <v>1000</v>
      </c>
      <c r="I10" s="5">
        <v>40</v>
      </c>
      <c r="J10" s="13">
        <v>50000</v>
      </c>
      <c r="K10" s="6">
        <f>$K$5/4</f>
        <v>13864.583333333334</v>
      </c>
      <c r="L10" s="6">
        <f t="shared" ref="L10:Y10" si="10">$K$5/4</f>
        <v>13864.583333333334</v>
      </c>
      <c r="M10" s="6">
        <f t="shared" si="10"/>
        <v>13864.583333333334</v>
      </c>
      <c r="N10" s="6">
        <f t="shared" si="10"/>
        <v>13864.583333333334</v>
      </c>
      <c r="O10" s="6">
        <f t="shared" si="10"/>
        <v>13864.583333333334</v>
      </c>
      <c r="P10" s="6">
        <f t="shared" si="10"/>
        <v>13864.583333333334</v>
      </c>
      <c r="Q10" s="6">
        <f t="shared" si="10"/>
        <v>13864.583333333334</v>
      </c>
      <c r="R10" s="6">
        <f t="shared" si="10"/>
        <v>13864.583333333334</v>
      </c>
      <c r="S10" s="6">
        <f t="shared" si="10"/>
        <v>13864.583333333334</v>
      </c>
      <c r="T10" s="6">
        <f t="shared" si="10"/>
        <v>13864.583333333334</v>
      </c>
      <c r="U10" s="6">
        <f t="shared" si="10"/>
        <v>13864.583333333334</v>
      </c>
      <c r="V10" s="6">
        <f t="shared" si="10"/>
        <v>13864.583333333334</v>
      </c>
      <c r="W10" s="6">
        <f t="shared" si="10"/>
        <v>13864.583333333334</v>
      </c>
      <c r="X10" s="6">
        <f t="shared" si="10"/>
        <v>13864.583333333334</v>
      </c>
      <c r="Y10" s="6">
        <f t="shared" si="10"/>
        <v>13864.583333333334</v>
      </c>
      <c r="Z10" s="6">
        <f>$K$5/4</f>
        <v>13864.583333333334</v>
      </c>
      <c r="AA10" s="6">
        <f>AA5/4</f>
        <v>100000</v>
      </c>
      <c r="AB10" s="6">
        <f t="shared" si="1"/>
        <v>343675</v>
      </c>
      <c r="AC10" s="6">
        <f>3092909/4</f>
        <v>773227.25</v>
      </c>
      <c r="AD10" s="16">
        <v>0.1</v>
      </c>
      <c r="AE10" s="7">
        <f>SUM(J10:AD10)</f>
        <v>1488735.6833333336</v>
      </c>
      <c r="AF10" s="7">
        <f t="shared" si="2"/>
        <v>1967103.9231666666</v>
      </c>
      <c r="AG10" s="8">
        <f t="shared" si="3"/>
        <v>0.56921158015169204</v>
      </c>
      <c r="AH10" s="15">
        <f t="shared" si="8"/>
        <v>3455839.6065000002</v>
      </c>
    </row>
    <row r="11" spans="1:34" ht="15" customHeight="1" x14ac:dyDescent="0.35">
      <c r="A11" s="14">
        <v>7</v>
      </c>
      <c r="B11" s="56" t="s">
        <v>42</v>
      </c>
      <c r="C11" s="95"/>
      <c r="D11" s="1">
        <v>1</v>
      </c>
      <c r="E11" s="24">
        <v>1321048</v>
      </c>
      <c r="F11" s="24">
        <v>645596.15760000004</v>
      </c>
      <c r="G11" s="108">
        <f t="shared" si="5"/>
        <v>-645596.15760000004</v>
      </c>
      <c r="H11" s="5">
        <v>150</v>
      </c>
      <c r="I11" s="5">
        <v>40</v>
      </c>
      <c r="J11" s="13">
        <v>6666.67</v>
      </c>
      <c r="K11" s="6">
        <f>(665500/365)</f>
        <v>1823.2876712328766</v>
      </c>
      <c r="L11" s="6">
        <f>(319000/365)</f>
        <v>873.97260273972597</v>
      </c>
      <c r="M11" s="6">
        <f t="shared" ref="M11:M12" si="11">(5093602/365)</f>
        <v>13955.07397260274</v>
      </c>
      <c r="N11" s="6">
        <f>(1465288/365)</f>
        <v>4014.4876712328769</v>
      </c>
      <c r="O11" s="6">
        <f>(900000/6)/365</f>
        <v>410.95890410958901</v>
      </c>
      <c r="P11" s="6">
        <f t="shared" ref="P11:P12" si="12">(350000/365)</f>
        <v>958.90410958904113</v>
      </c>
      <c r="Q11" s="6">
        <f>(180000000-110000000)/20/365</f>
        <v>9589.0410958904104</v>
      </c>
      <c r="R11" s="6">
        <f t="shared" ref="R11:R19" si="13">+(H11/150000)*200000</f>
        <v>200</v>
      </c>
      <c r="S11" s="6">
        <f t="shared" ref="S11:S19" si="14">(200000/150000)*H11</f>
        <v>200</v>
      </c>
      <c r="T11" s="6">
        <f t="shared" ref="T11:T19" si="15">+(H11/100000)*300000</f>
        <v>450</v>
      </c>
      <c r="U11" s="6">
        <f t="shared" ref="U11:U19" si="16">+(H11/45000)*300000</f>
        <v>1000.0000000000001</v>
      </c>
      <c r="V11" s="6">
        <f t="shared" ref="V11:V19" si="17">+(H11/40000)*700000</f>
        <v>2625</v>
      </c>
      <c r="W11" s="6">
        <f t="shared" ref="W11:W19" si="18">+(H11/6000)*150000</f>
        <v>3750</v>
      </c>
      <c r="X11" s="6">
        <f t="shared" ref="X11:X19" si="19">+(H11/90000)*1900000</f>
        <v>3166.666666666667</v>
      </c>
      <c r="Y11" s="6">
        <f>+(H11/50000)*530000</f>
        <v>1590</v>
      </c>
      <c r="Z11" s="6">
        <f>+(H11/50000)*1800000</f>
        <v>5400</v>
      </c>
      <c r="AA11" s="6">
        <f>$AA$5/30</f>
        <v>13333.333333333334</v>
      </c>
      <c r="AB11" s="6">
        <f t="shared" si="1"/>
        <v>51551.25</v>
      </c>
      <c r="AC11" s="6">
        <f>3092909/30</f>
        <v>103096.96666666666</v>
      </c>
      <c r="AD11" s="16">
        <v>0.1</v>
      </c>
      <c r="AE11" s="7">
        <f>SUM(K11:AD11)</f>
        <v>217989.04269406394</v>
      </c>
      <c r="AF11" s="7">
        <f t="shared" si="2"/>
        <v>427607.11490593606</v>
      </c>
      <c r="AG11" s="8">
        <f t="shared" si="3"/>
        <v>0.66234457852965389</v>
      </c>
      <c r="AH11" s="15">
        <f>AE11+AF11</f>
        <v>645596.15760000004</v>
      </c>
    </row>
    <row r="12" spans="1:34" ht="15" customHeight="1" x14ac:dyDescent="0.35">
      <c r="A12" s="23">
        <v>8</v>
      </c>
      <c r="B12" s="56" t="s">
        <v>43</v>
      </c>
      <c r="C12" s="95"/>
      <c r="D12" s="1">
        <v>1</v>
      </c>
      <c r="E12" s="24">
        <v>1476466</v>
      </c>
      <c r="F12" s="24">
        <v>721548.93420000002</v>
      </c>
      <c r="G12" s="108">
        <f t="shared" si="5"/>
        <v>-721548.93420000002</v>
      </c>
      <c r="H12" s="5">
        <v>150</v>
      </c>
      <c r="I12" s="5">
        <v>40</v>
      </c>
      <c r="J12" s="13">
        <v>6666.67</v>
      </c>
      <c r="K12" s="6">
        <f>(665500/365)</f>
        <v>1823.2876712328766</v>
      </c>
      <c r="L12" s="6">
        <f>(319000/365)</f>
        <v>873.97260273972597</v>
      </c>
      <c r="M12" s="6">
        <f t="shared" si="11"/>
        <v>13955.07397260274</v>
      </c>
      <c r="N12" s="6">
        <f>(1465288/365)</f>
        <v>4014.4876712328769</v>
      </c>
      <c r="O12" s="6">
        <f>(900000/6)/365</f>
        <v>410.95890410958901</v>
      </c>
      <c r="P12" s="6">
        <f t="shared" si="12"/>
        <v>958.90410958904113</v>
      </c>
      <c r="Q12" s="6">
        <f>(180000000-110000000)/20/365</f>
        <v>9589.0410958904104</v>
      </c>
      <c r="R12" s="6">
        <f t="shared" si="13"/>
        <v>200</v>
      </c>
      <c r="S12" s="6">
        <f t="shared" si="14"/>
        <v>200</v>
      </c>
      <c r="T12" s="6">
        <f t="shared" si="15"/>
        <v>450</v>
      </c>
      <c r="U12" s="6">
        <f t="shared" si="16"/>
        <v>1000.0000000000001</v>
      </c>
      <c r="V12" s="6">
        <f t="shared" si="17"/>
        <v>2625</v>
      </c>
      <c r="W12" s="6">
        <f t="shared" si="18"/>
        <v>3750</v>
      </c>
      <c r="X12" s="6">
        <f t="shared" si="19"/>
        <v>3166.666666666667</v>
      </c>
      <c r="Y12" s="6">
        <f>+(H12/50000)*530000</f>
        <v>1590</v>
      </c>
      <c r="Z12" s="6">
        <f>+(H12/50000)*1800000</f>
        <v>5400</v>
      </c>
      <c r="AA12" s="6">
        <f>$AA$5/30</f>
        <v>13333.333333333334</v>
      </c>
      <c r="AB12" s="6">
        <f t="shared" si="1"/>
        <v>51551.25</v>
      </c>
      <c r="AC12" s="6">
        <f>3092909/30</f>
        <v>103096.96666666666</v>
      </c>
      <c r="AD12" s="16">
        <v>0.1</v>
      </c>
      <c r="AE12" s="7">
        <f>SUM(K12:AD12)</f>
        <v>217989.04269406394</v>
      </c>
      <c r="AF12" s="7">
        <f t="shared" si="2"/>
        <v>503559.89150593604</v>
      </c>
      <c r="AG12" s="8">
        <f t="shared" si="3"/>
        <v>0.69788737483791852</v>
      </c>
      <c r="AH12" s="15">
        <f>AE12+AF12</f>
        <v>721548.93420000002</v>
      </c>
    </row>
    <row r="13" spans="1:34" ht="15" customHeight="1" x14ac:dyDescent="0.35">
      <c r="A13" s="14">
        <v>9</v>
      </c>
      <c r="B13" s="56" t="s">
        <v>44</v>
      </c>
      <c r="C13" s="95"/>
      <c r="D13" s="1">
        <v>1</v>
      </c>
      <c r="E13" s="24">
        <v>233126</v>
      </c>
      <c r="F13" s="24">
        <v>113928.6762</v>
      </c>
      <c r="G13" s="108">
        <f t="shared" si="5"/>
        <v>-113928.6762</v>
      </c>
      <c r="H13" s="5">
        <v>30</v>
      </c>
      <c r="I13" s="5">
        <v>40</v>
      </c>
      <c r="J13" s="13">
        <v>277.77999999999997</v>
      </c>
      <c r="K13" s="6">
        <f>(665500/365)/24</f>
        <v>75.970319634703188</v>
      </c>
      <c r="L13" s="6">
        <f>(319000/365)/24</f>
        <v>36.415525114155251</v>
      </c>
      <c r="M13" s="6">
        <f>(5093602/365)/24</f>
        <v>581.46141552511415</v>
      </c>
      <c r="N13" s="6">
        <f>(1465288/365)/24</f>
        <v>167.27031963470321</v>
      </c>
      <c r="O13" s="6">
        <f>(900000/6)/1440</f>
        <v>104.16666666666667</v>
      </c>
      <c r="P13" s="6">
        <f>(350000/365)/24</f>
        <v>39.954337899543383</v>
      </c>
      <c r="Q13" s="6">
        <f>(180000000-110000000)/20/365/24</f>
        <v>399.54337899543378</v>
      </c>
      <c r="R13" s="6">
        <f t="shared" si="13"/>
        <v>40</v>
      </c>
      <c r="S13" s="6">
        <f t="shared" si="14"/>
        <v>40</v>
      </c>
      <c r="T13" s="6">
        <f t="shared" si="15"/>
        <v>89.999999999999986</v>
      </c>
      <c r="U13" s="6">
        <f t="shared" si="16"/>
        <v>200</v>
      </c>
      <c r="V13" s="6">
        <f t="shared" si="17"/>
        <v>525</v>
      </c>
      <c r="W13" s="6">
        <f t="shared" si="18"/>
        <v>750</v>
      </c>
      <c r="X13" s="6">
        <f t="shared" si="19"/>
        <v>633.33333333333326</v>
      </c>
      <c r="Y13" s="6">
        <f>+(H13/50000)*530000/8</f>
        <v>39.75</v>
      </c>
      <c r="Z13" s="6">
        <f>+(H13/50000)*1800000/8</f>
        <v>135</v>
      </c>
      <c r="AA13" s="6">
        <f>$AA$12/8</f>
        <v>1666.6666666666667</v>
      </c>
      <c r="AB13" s="6">
        <f t="shared" si="1"/>
        <v>10310.25</v>
      </c>
      <c r="AC13" s="6">
        <f>(3092909/30)/8</f>
        <v>12887.120833333332</v>
      </c>
      <c r="AD13" s="16">
        <v>0.1</v>
      </c>
      <c r="AE13" s="7">
        <f>SUM(J13:AD13)</f>
        <v>28999.782796803651</v>
      </c>
      <c r="AF13" s="7">
        <f t="shared" si="2"/>
        <v>84928.893403196358</v>
      </c>
      <c r="AG13" s="8">
        <f t="shared" si="3"/>
        <v>0.74545668602437742</v>
      </c>
      <c r="AH13" s="15">
        <f t="shared" ref="AH13:AH15" si="20">AE13+AF13</f>
        <v>113928.67620000002</v>
      </c>
    </row>
    <row r="14" spans="1:34" ht="15.75" customHeight="1" thickBot="1" x14ac:dyDescent="0.4">
      <c r="A14" s="14">
        <v>10</v>
      </c>
      <c r="B14" s="58" t="s">
        <v>45</v>
      </c>
      <c r="C14" s="92"/>
      <c r="D14" s="1">
        <v>1</v>
      </c>
      <c r="E14" s="24">
        <v>310835</v>
      </c>
      <c r="F14" s="24">
        <v>151905.06450000001</v>
      </c>
      <c r="G14" s="108">
        <f t="shared" si="5"/>
        <v>-151905.06450000001</v>
      </c>
      <c r="H14" s="5">
        <v>30</v>
      </c>
      <c r="I14" s="5">
        <v>40</v>
      </c>
      <c r="J14" s="13">
        <v>277.77999999999997</v>
      </c>
      <c r="K14" s="6">
        <f>(665500/365)/24</f>
        <v>75.970319634703188</v>
      </c>
      <c r="L14" s="6">
        <f>(319000/365)/24</f>
        <v>36.415525114155251</v>
      </c>
      <c r="M14" s="6">
        <f>(5093602/365)/24</f>
        <v>581.46141552511415</v>
      </c>
      <c r="N14" s="6">
        <f>(1465288/365)/24</f>
        <v>167.27031963470321</v>
      </c>
      <c r="O14" s="6">
        <f>(900000/6)/1440</f>
        <v>104.16666666666667</v>
      </c>
      <c r="P14" s="6">
        <f>(350000/365)/24</f>
        <v>39.954337899543383</v>
      </c>
      <c r="Q14" s="6">
        <f>(180000000-110000000)/20/365/24</f>
        <v>399.54337899543378</v>
      </c>
      <c r="R14" s="6">
        <f t="shared" si="13"/>
        <v>40</v>
      </c>
      <c r="S14" s="6">
        <f t="shared" si="14"/>
        <v>40</v>
      </c>
      <c r="T14" s="6">
        <f t="shared" si="15"/>
        <v>89.999999999999986</v>
      </c>
      <c r="U14" s="6">
        <f t="shared" si="16"/>
        <v>200</v>
      </c>
      <c r="V14" s="6">
        <f t="shared" si="17"/>
        <v>525</v>
      </c>
      <c r="W14" s="6">
        <f t="shared" si="18"/>
        <v>750</v>
      </c>
      <c r="X14" s="6">
        <f t="shared" si="19"/>
        <v>633.33333333333326</v>
      </c>
      <c r="Y14" s="6">
        <f>+(H14/50000)*530000/8</f>
        <v>39.75</v>
      </c>
      <c r="Z14" s="6">
        <f>+(H14/50000)*1800000/8</f>
        <v>135</v>
      </c>
      <c r="AA14" s="6">
        <f>$AA$12/8</f>
        <v>1666.6666666666667</v>
      </c>
      <c r="AB14" s="6">
        <f t="shared" si="1"/>
        <v>10310.25</v>
      </c>
      <c r="AC14" s="6">
        <v>14325</v>
      </c>
      <c r="AD14" s="16">
        <v>0.1</v>
      </c>
      <c r="AE14" s="7">
        <f>SUM(J14:AD14)</f>
        <v>30437.661963470317</v>
      </c>
      <c r="AF14" s="7">
        <f t="shared" si="2"/>
        <v>121467.4025365297</v>
      </c>
      <c r="AG14" s="8">
        <f t="shared" si="3"/>
        <v>0.79962707587362691</v>
      </c>
      <c r="AH14" s="15">
        <f t="shared" si="20"/>
        <v>151905.06450000001</v>
      </c>
    </row>
    <row r="15" spans="1:34" ht="15" customHeight="1" x14ac:dyDescent="0.35">
      <c r="A15" s="14">
        <v>11</v>
      </c>
      <c r="B15" s="60" t="s">
        <v>46</v>
      </c>
      <c r="C15" s="105"/>
      <c r="D15" s="17">
        <v>1</v>
      </c>
      <c r="E15" s="29">
        <v>15541747</v>
      </c>
      <c r="F15" s="29">
        <v>7595251.7589000007</v>
      </c>
      <c r="G15" s="108">
        <f t="shared" si="5"/>
        <v>-7595251.7589000007</v>
      </c>
      <c r="H15" s="18">
        <v>4000</v>
      </c>
      <c r="I15" s="18">
        <v>40</v>
      </c>
      <c r="J15" s="19">
        <v>200000</v>
      </c>
      <c r="K15" s="20">
        <f>(665500/12)</f>
        <v>55458.333333333336</v>
      </c>
      <c r="L15" s="20">
        <f>(319000/12)</f>
        <v>26583.333333333332</v>
      </c>
      <c r="M15" s="20">
        <f>(5093602/12)</f>
        <v>424466.83333333331</v>
      </c>
      <c r="N15" s="20">
        <f>(1465288/12)</f>
        <v>122107.33333333333</v>
      </c>
      <c r="O15" s="20">
        <f>(900000/6)</f>
        <v>150000</v>
      </c>
      <c r="P15" s="20">
        <f>(350000/12)</f>
        <v>29166.666666666668</v>
      </c>
      <c r="Q15" s="20">
        <f t="shared" ref="Q15" si="21">(180000000-110000000)/20/365</f>
        <v>9589.0410958904104</v>
      </c>
      <c r="R15" s="20">
        <f t="shared" si="13"/>
        <v>5333.3333333333339</v>
      </c>
      <c r="S15" s="20">
        <f t="shared" si="14"/>
        <v>5333.333333333333</v>
      </c>
      <c r="T15" s="20">
        <f t="shared" si="15"/>
        <v>12000</v>
      </c>
      <c r="U15" s="20">
        <f t="shared" si="16"/>
        <v>26666.666666666668</v>
      </c>
      <c r="V15" s="20">
        <f t="shared" si="17"/>
        <v>70000</v>
      </c>
      <c r="W15" s="20">
        <f t="shared" si="18"/>
        <v>100000</v>
      </c>
      <c r="X15" s="20">
        <f t="shared" si="19"/>
        <v>84444.444444444453</v>
      </c>
      <c r="Y15" s="20">
        <f>+(H15/50000)*530000</f>
        <v>42400</v>
      </c>
      <c r="Z15" s="20">
        <f>+(H15/50000)*1800000</f>
        <v>144000</v>
      </c>
      <c r="AA15" s="20">
        <v>250000</v>
      </c>
      <c r="AB15" s="20">
        <f t="shared" si="1"/>
        <v>1374700</v>
      </c>
      <c r="AC15" s="20">
        <f>3092909/1</f>
        <v>3092909</v>
      </c>
      <c r="AD15" s="21">
        <v>0.1</v>
      </c>
      <c r="AE15" s="22">
        <f>SUM(J15:AD15)</f>
        <v>6225158.4188736677</v>
      </c>
      <c r="AF15" s="22">
        <f t="shared" si="2"/>
        <v>1370093.340026333</v>
      </c>
      <c r="AG15" s="8">
        <f t="shared" si="3"/>
        <v>0.18038814031686026</v>
      </c>
      <c r="AH15" s="15">
        <f t="shared" si="20"/>
        <v>7595251.7589000007</v>
      </c>
    </row>
    <row r="16" spans="1:34" ht="15" customHeight="1" x14ac:dyDescent="0.35">
      <c r="A16" s="23">
        <v>12</v>
      </c>
      <c r="B16" s="62" t="s">
        <v>47</v>
      </c>
      <c r="C16" s="106"/>
      <c r="D16" s="1">
        <v>1</v>
      </c>
      <c r="E16" s="24">
        <v>1165631</v>
      </c>
      <c r="F16" s="24">
        <v>569643.86970000004</v>
      </c>
      <c r="G16" s="108">
        <f t="shared" si="5"/>
        <v>-569643.86970000004</v>
      </c>
      <c r="H16" s="5">
        <v>150</v>
      </c>
      <c r="I16" s="5">
        <v>40</v>
      </c>
      <c r="J16" s="13">
        <v>6666.67</v>
      </c>
      <c r="K16" s="6">
        <f>(665500/365)</f>
        <v>1823.2876712328766</v>
      </c>
      <c r="L16" s="6">
        <f>(319000/365)</f>
        <v>873.97260273972597</v>
      </c>
      <c r="M16" s="6">
        <f t="shared" ref="M16" si="22">(5093602/365)</f>
        <v>13955.07397260274</v>
      </c>
      <c r="N16" s="6">
        <f>(1465288/365)</f>
        <v>4014.4876712328769</v>
      </c>
      <c r="O16" s="6">
        <f>(900000/6)/365</f>
        <v>410.95890410958901</v>
      </c>
      <c r="P16" s="6">
        <f t="shared" ref="P16" si="23">(350000/365)</f>
        <v>958.90410958904113</v>
      </c>
      <c r="Q16" s="6">
        <f>(180000000-110000000)/20/365</f>
        <v>9589.0410958904104</v>
      </c>
      <c r="R16" s="6">
        <f t="shared" si="13"/>
        <v>200</v>
      </c>
      <c r="S16" s="6">
        <f t="shared" si="14"/>
        <v>200</v>
      </c>
      <c r="T16" s="6">
        <f t="shared" si="15"/>
        <v>450</v>
      </c>
      <c r="U16" s="6">
        <f t="shared" si="16"/>
        <v>1000.0000000000001</v>
      </c>
      <c r="V16" s="6">
        <f t="shared" si="17"/>
        <v>2625</v>
      </c>
      <c r="W16" s="6">
        <f t="shared" si="18"/>
        <v>3750</v>
      </c>
      <c r="X16" s="6">
        <f t="shared" si="19"/>
        <v>3166.666666666667</v>
      </c>
      <c r="Y16" s="6">
        <f>+(H16/50000)*530000</f>
        <v>1590</v>
      </c>
      <c r="Z16" s="6">
        <f>+(H16/50000)*1800000</f>
        <v>5400</v>
      </c>
      <c r="AA16" s="6">
        <f>AA15/30</f>
        <v>8333.3333333333339</v>
      </c>
      <c r="AB16" s="6">
        <f t="shared" si="1"/>
        <v>51551.25</v>
      </c>
      <c r="AC16" s="6">
        <v>114600</v>
      </c>
      <c r="AD16" s="16">
        <v>0.1</v>
      </c>
      <c r="AE16" s="7">
        <f>SUM(K16:AD16)</f>
        <v>224492.07602739727</v>
      </c>
      <c r="AF16" s="7">
        <f t="shared" si="2"/>
        <v>345151.79367260274</v>
      </c>
      <c r="AG16" s="8">
        <f t="shared" si="3"/>
        <v>0.60590802786024034</v>
      </c>
      <c r="AH16" s="15">
        <f>AE16+AF16</f>
        <v>569643.86970000004</v>
      </c>
    </row>
    <row r="17" spans="1:34" ht="15" customHeight="1" x14ac:dyDescent="0.35">
      <c r="A17" s="14">
        <v>13</v>
      </c>
      <c r="B17" s="62" t="s">
        <v>48</v>
      </c>
      <c r="C17" s="106"/>
      <c r="D17" s="1">
        <v>1</v>
      </c>
      <c r="E17" s="24">
        <v>233126</v>
      </c>
      <c r="F17" s="24">
        <v>113928.6762</v>
      </c>
      <c r="G17" s="108">
        <f t="shared" si="5"/>
        <v>-113928.6762</v>
      </c>
      <c r="H17" s="5">
        <v>30</v>
      </c>
      <c r="I17" s="5">
        <v>40</v>
      </c>
      <c r="J17" s="13">
        <v>277.77999999999997</v>
      </c>
      <c r="K17" s="6">
        <f>(665500/365)/24</f>
        <v>75.970319634703188</v>
      </c>
      <c r="L17" s="6">
        <f>(319000/365)/24</f>
        <v>36.415525114155251</v>
      </c>
      <c r="M17" s="6">
        <f>(5093602/365)/24</f>
        <v>581.46141552511415</v>
      </c>
      <c r="N17" s="6">
        <f>(1465288/365)/24</f>
        <v>167.27031963470321</v>
      </c>
      <c r="O17" s="6">
        <f>(900000/6)/1440</f>
        <v>104.16666666666667</v>
      </c>
      <c r="P17" s="6">
        <f>(350000/365)/24</f>
        <v>39.954337899543383</v>
      </c>
      <c r="Q17" s="6">
        <f>(180000000-110000000)/20/365/24</f>
        <v>399.54337899543378</v>
      </c>
      <c r="R17" s="6">
        <f t="shared" si="13"/>
        <v>40</v>
      </c>
      <c r="S17" s="6">
        <f t="shared" si="14"/>
        <v>40</v>
      </c>
      <c r="T17" s="6">
        <f t="shared" si="15"/>
        <v>89.999999999999986</v>
      </c>
      <c r="U17" s="6">
        <f t="shared" si="16"/>
        <v>200</v>
      </c>
      <c r="V17" s="6">
        <f t="shared" si="17"/>
        <v>525</v>
      </c>
      <c r="W17" s="6">
        <f t="shared" si="18"/>
        <v>750</v>
      </c>
      <c r="X17" s="6">
        <f t="shared" si="19"/>
        <v>633.33333333333326</v>
      </c>
      <c r="Y17" s="6">
        <f>+(H17/50000)*530000/8</f>
        <v>39.75</v>
      </c>
      <c r="Z17" s="6">
        <f>+(H17/50000)*1800000/8</f>
        <v>135</v>
      </c>
      <c r="AA17" s="6">
        <f>$AA$6/8</f>
        <v>1666.6666666666667</v>
      </c>
      <c r="AB17" s="6">
        <f t="shared" si="1"/>
        <v>10310.25</v>
      </c>
      <c r="AC17" s="6">
        <f>(3092909/30)/8</f>
        <v>12887.120833333332</v>
      </c>
      <c r="AD17" s="16">
        <v>0.1</v>
      </c>
      <c r="AE17" s="7">
        <f>SUM(J17:AD17)</f>
        <v>28999.782796803651</v>
      </c>
      <c r="AF17" s="7">
        <f t="shared" si="2"/>
        <v>84928.893403196358</v>
      </c>
      <c r="AG17" s="8">
        <f t="shared" si="3"/>
        <v>0.74545668602437742</v>
      </c>
      <c r="AH17" s="15">
        <f t="shared" ref="AH17:AH20" si="24">AE17+AF17</f>
        <v>113928.67620000002</v>
      </c>
    </row>
    <row r="18" spans="1:34" ht="15" customHeight="1" x14ac:dyDescent="0.35">
      <c r="A18" s="14">
        <v>14</v>
      </c>
      <c r="B18" s="62" t="s">
        <v>49</v>
      </c>
      <c r="C18" s="106"/>
      <c r="D18" s="1">
        <v>1</v>
      </c>
      <c r="E18" s="24">
        <v>310835</v>
      </c>
      <c r="F18" s="24">
        <v>151905.06450000001</v>
      </c>
      <c r="G18" s="108">
        <f t="shared" si="5"/>
        <v>-151905.06450000001</v>
      </c>
      <c r="H18" s="5">
        <v>30</v>
      </c>
      <c r="I18" s="5">
        <v>40</v>
      </c>
      <c r="J18" s="13">
        <v>277.77999999999997</v>
      </c>
      <c r="K18" s="6">
        <f>(665500/365)/24</f>
        <v>75.970319634703188</v>
      </c>
      <c r="L18" s="6">
        <f>(319000/365)/24</f>
        <v>36.415525114155251</v>
      </c>
      <c r="M18" s="6">
        <f>(5093602/365)/24</f>
        <v>581.46141552511415</v>
      </c>
      <c r="N18" s="6">
        <f>(1465288/365)/24</f>
        <v>167.27031963470321</v>
      </c>
      <c r="O18" s="6">
        <f>(900000/6)/1440</f>
        <v>104.16666666666667</v>
      </c>
      <c r="P18" s="6">
        <f>(350000/365)/24</f>
        <v>39.954337899543383</v>
      </c>
      <c r="Q18" s="6">
        <f>(180000000-110000000)/20/365/24</f>
        <v>399.54337899543378</v>
      </c>
      <c r="R18" s="6">
        <f t="shared" si="13"/>
        <v>40</v>
      </c>
      <c r="S18" s="6">
        <f t="shared" si="14"/>
        <v>40</v>
      </c>
      <c r="T18" s="6">
        <f t="shared" si="15"/>
        <v>89.999999999999986</v>
      </c>
      <c r="U18" s="6">
        <f t="shared" si="16"/>
        <v>200</v>
      </c>
      <c r="V18" s="6">
        <f t="shared" si="17"/>
        <v>525</v>
      </c>
      <c r="W18" s="6">
        <f t="shared" si="18"/>
        <v>750</v>
      </c>
      <c r="X18" s="6">
        <f t="shared" si="19"/>
        <v>633.33333333333326</v>
      </c>
      <c r="Y18" s="6">
        <f>+(H18/50000)*530000/8</f>
        <v>39.75</v>
      </c>
      <c r="Z18" s="6">
        <f>+(H18/50000)*1800000/8</f>
        <v>135</v>
      </c>
      <c r="AA18" s="6">
        <f t="shared" ref="AA18:AA19" si="25">$AA$6/8</f>
        <v>1666.6666666666667</v>
      </c>
      <c r="AB18" s="6">
        <f t="shared" si="1"/>
        <v>10310.25</v>
      </c>
      <c r="AC18" s="6">
        <v>13928</v>
      </c>
      <c r="AD18" s="16">
        <v>0.1</v>
      </c>
      <c r="AE18" s="7">
        <f>SUM(J18:AD18)</f>
        <v>30040.661963470317</v>
      </c>
      <c r="AF18" s="7">
        <f t="shared" si="2"/>
        <v>121864.4025365297</v>
      </c>
      <c r="AG18" s="8">
        <f t="shared" si="3"/>
        <v>0.80224055029139396</v>
      </c>
      <c r="AH18" s="15">
        <f t="shared" si="24"/>
        <v>151905.06450000001</v>
      </c>
    </row>
    <row r="19" spans="1:34" ht="15.75" customHeight="1" thickBot="1" x14ac:dyDescent="0.4">
      <c r="A19" s="14">
        <v>15</v>
      </c>
      <c r="B19" s="70" t="s">
        <v>50</v>
      </c>
      <c r="C19" s="107"/>
      <c r="D19" s="1">
        <v>1</v>
      </c>
      <c r="E19" s="24">
        <v>388544</v>
      </c>
      <c r="F19" s="24">
        <v>189881.4528</v>
      </c>
      <c r="G19" s="108">
        <f t="shared" si="5"/>
        <v>-189881.4528</v>
      </c>
      <c r="H19" s="5">
        <v>30</v>
      </c>
      <c r="I19" s="5">
        <v>40</v>
      </c>
      <c r="J19" s="13">
        <v>277.77999999999997</v>
      </c>
      <c r="K19" s="6">
        <f>(665500/365)/24</f>
        <v>75.970319634703188</v>
      </c>
      <c r="L19" s="6">
        <f>(319000/365)/24</f>
        <v>36.415525114155251</v>
      </c>
      <c r="M19" s="6">
        <f>(5093602/365)/24</f>
        <v>581.46141552511415</v>
      </c>
      <c r="N19" s="6">
        <f>(1465288/365)/24</f>
        <v>167.27031963470321</v>
      </c>
      <c r="O19" s="6">
        <f>(900000/6)/1440</f>
        <v>104.16666666666667</v>
      </c>
      <c r="P19" s="6">
        <f>(350000/365)/24</f>
        <v>39.954337899543383</v>
      </c>
      <c r="Q19" s="6">
        <f>(180000000-110000000)/20/365/24</f>
        <v>399.54337899543378</v>
      </c>
      <c r="R19" s="6">
        <f t="shared" si="13"/>
        <v>40</v>
      </c>
      <c r="S19" s="6">
        <f t="shared" si="14"/>
        <v>40</v>
      </c>
      <c r="T19" s="6">
        <f t="shared" si="15"/>
        <v>89.999999999999986</v>
      </c>
      <c r="U19" s="6">
        <f t="shared" si="16"/>
        <v>200</v>
      </c>
      <c r="V19" s="6">
        <f t="shared" si="17"/>
        <v>525</v>
      </c>
      <c r="W19" s="6">
        <f t="shared" si="18"/>
        <v>750</v>
      </c>
      <c r="X19" s="6">
        <f t="shared" si="19"/>
        <v>633.33333333333326</v>
      </c>
      <c r="Y19" s="6">
        <f>+(H19/50000)*530000/8</f>
        <v>39.75</v>
      </c>
      <c r="Z19" s="6">
        <f>+(H19/50000)*1800000/8</f>
        <v>135</v>
      </c>
      <c r="AA19" s="6">
        <f t="shared" si="25"/>
        <v>1666.6666666666667</v>
      </c>
      <c r="AB19" s="6">
        <f t="shared" si="1"/>
        <v>10310.25</v>
      </c>
      <c r="AC19" s="6">
        <v>17711</v>
      </c>
      <c r="AD19" s="16">
        <v>0.1</v>
      </c>
      <c r="AE19" s="7">
        <f>SUM(J19:AD19)</f>
        <v>33823.661963470317</v>
      </c>
      <c r="AF19" s="7">
        <f t="shared" si="2"/>
        <v>156057.79083652969</v>
      </c>
      <c r="AG19" s="8">
        <f t="shared" si="3"/>
        <v>0.82186958512953667</v>
      </c>
      <c r="AH19" s="15">
        <f t="shared" si="24"/>
        <v>189881.4528</v>
      </c>
    </row>
    <row r="20" spans="1:34" ht="15" customHeight="1" x14ac:dyDescent="0.35">
      <c r="A20" s="23">
        <v>16</v>
      </c>
      <c r="B20" s="67" t="s">
        <v>51</v>
      </c>
      <c r="C20" s="97"/>
      <c r="D20" s="1">
        <v>1</v>
      </c>
      <c r="E20" s="24">
        <v>6309949</v>
      </c>
      <c r="F20" s="24">
        <v>3083672.0763000003</v>
      </c>
      <c r="G20" s="108">
        <f t="shared" si="5"/>
        <v>-3083672.0763000003</v>
      </c>
      <c r="H20" s="5">
        <v>1000</v>
      </c>
      <c r="I20" s="5">
        <v>40</v>
      </c>
      <c r="J20" s="13">
        <v>50000</v>
      </c>
      <c r="K20" s="6">
        <f>$K$5/4</f>
        <v>13864.583333333334</v>
      </c>
      <c r="L20" s="6">
        <f t="shared" ref="L20:Z20" si="26">$K$5/4</f>
        <v>13864.583333333334</v>
      </c>
      <c r="M20" s="6">
        <f t="shared" si="26"/>
        <v>13864.583333333334</v>
      </c>
      <c r="N20" s="6">
        <f t="shared" si="26"/>
        <v>13864.583333333334</v>
      </c>
      <c r="O20" s="6">
        <f t="shared" si="26"/>
        <v>13864.583333333334</v>
      </c>
      <c r="P20" s="6">
        <f t="shared" si="26"/>
        <v>13864.583333333334</v>
      </c>
      <c r="Q20" s="6">
        <f t="shared" si="26"/>
        <v>13864.583333333334</v>
      </c>
      <c r="R20" s="6">
        <f t="shared" si="26"/>
        <v>13864.583333333334</v>
      </c>
      <c r="S20" s="6">
        <f t="shared" si="26"/>
        <v>13864.583333333334</v>
      </c>
      <c r="T20" s="6">
        <f t="shared" si="26"/>
        <v>13864.583333333334</v>
      </c>
      <c r="U20" s="6">
        <f t="shared" si="26"/>
        <v>13864.583333333334</v>
      </c>
      <c r="V20" s="6">
        <f t="shared" si="26"/>
        <v>13864.583333333334</v>
      </c>
      <c r="W20" s="6">
        <f t="shared" si="26"/>
        <v>13864.583333333334</v>
      </c>
      <c r="X20" s="6">
        <f t="shared" si="26"/>
        <v>13864.583333333334</v>
      </c>
      <c r="Y20" s="6">
        <f t="shared" si="26"/>
        <v>13864.583333333334</v>
      </c>
      <c r="Z20" s="6">
        <f t="shared" si="26"/>
        <v>13864.583333333334</v>
      </c>
      <c r="AA20" s="6">
        <f>AA15/4</f>
        <v>62500</v>
      </c>
      <c r="AB20" s="6">
        <f t="shared" si="1"/>
        <v>343675</v>
      </c>
      <c r="AC20" s="6">
        <f>3092909/4</f>
        <v>773227.25</v>
      </c>
      <c r="AD20" s="16">
        <v>0.1</v>
      </c>
      <c r="AE20" s="7">
        <f>SUM(J20:AD20)</f>
        <v>1451235.6833333336</v>
      </c>
      <c r="AF20" s="7">
        <f t="shared" si="2"/>
        <v>1632436.3929666667</v>
      </c>
      <c r="AG20" s="8">
        <f t="shared" si="3"/>
        <v>0.52938067102302755</v>
      </c>
      <c r="AH20" s="15">
        <f t="shared" si="24"/>
        <v>3083672.0763000003</v>
      </c>
    </row>
    <row r="21" spans="1:34" ht="15" customHeight="1" x14ac:dyDescent="0.35">
      <c r="A21" s="14">
        <v>17</v>
      </c>
      <c r="B21" s="56" t="s">
        <v>52</v>
      </c>
      <c r="C21" s="95"/>
      <c r="D21" s="1">
        <v>1</v>
      </c>
      <c r="E21" s="24">
        <v>1321048</v>
      </c>
      <c r="F21" s="24">
        <v>645596.15760000004</v>
      </c>
      <c r="G21" s="108">
        <f t="shared" si="5"/>
        <v>-645596.15760000004</v>
      </c>
      <c r="H21" s="5">
        <v>150</v>
      </c>
      <c r="I21" s="5">
        <v>40</v>
      </c>
      <c r="J21" s="13">
        <v>6666.67</v>
      </c>
      <c r="K21" s="6">
        <f>(665500/365)</f>
        <v>1823.2876712328766</v>
      </c>
      <c r="L21" s="6">
        <f>(319000/365)</f>
        <v>873.97260273972597</v>
      </c>
      <c r="M21" s="6">
        <f t="shared" ref="M21:M22" si="27">(5093602/365)</f>
        <v>13955.07397260274</v>
      </c>
      <c r="N21" s="6">
        <f>(1465288/365)</f>
        <v>4014.4876712328769</v>
      </c>
      <c r="O21" s="6">
        <f>(900000/6)/365</f>
        <v>410.95890410958901</v>
      </c>
      <c r="P21" s="6">
        <f t="shared" ref="P21:P22" si="28">(350000/365)</f>
        <v>958.90410958904113</v>
      </c>
      <c r="Q21" s="6">
        <f>(180000000-110000000)/20/365</f>
        <v>9589.0410958904104</v>
      </c>
      <c r="R21" s="6">
        <f>+(H21/150000)*200000</f>
        <v>200</v>
      </c>
      <c r="S21" s="6">
        <f>(200000/150000)*H21</f>
        <v>200</v>
      </c>
      <c r="T21" s="6">
        <f>+(H21/100000)*300000</f>
        <v>450</v>
      </c>
      <c r="U21" s="6">
        <f>+(H21/45000)*300000</f>
        <v>1000.0000000000001</v>
      </c>
      <c r="V21" s="6">
        <f>+(H21/40000)*700000</f>
        <v>2625</v>
      </c>
      <c r="W21" s="6">
        <f>+(H21/6000)*150000</f>
        <v>3750</v>
      </c>
      <c r="X21" s="6">
        <f>+(H21/90000)*1900000</f>
        <v>3166.666666666667</v>
      </c>
      <c r="Y21" s="6">
        <f>+(H21/50000)*530000</f>
        <v>1590</v>
      </c>
      <c r="Z21" s="6">
        <f>+(H21/50000)*1800000</f>
        <v>5400</v>
      </c>
      <c r="AA21" s="6">
        <f>$AA$5/30</f>
        <v>13333.333333333334</v>
      </c>
      <c r="AB21" s="6">
        <f t="shared" si="1"/>
        <v>51551.25</v>
      </c>
      <c r="AC21" s="6">
        <f>3092909/30</f>
        <v>103096.96666666666</v>
      </c>
      <c r="AD21" s="16">
        <v>0.1</v>
      </c>
      <c r="AE21" s="7">
        <f>SUM(K21:AD21)</f>
        <v>217989.04269406394</v>
      </c>
      <c r="AF21" s="7">
        <f t="shared" si="2"/>
        <v>427607.11490593606</v>
      </c>
      <c r="AG21" s="8">
        <f t="shared" si="3"/>
        <v>0.66234457852965389</v>
      </c>
      <c r="AH21" s="15">
        <f>AE21+AF21</f>
        <v>645596.15760000004</v>
      </c>
    </row>
    <row r="22" spans="1:34" ht="15" customHeight="1" x14ac:dyDescent="0.35">
      <c r="A22" s="14">
        <v>18</v>
      </c>
      <c r="B22" s="56" t="s">
        <v>53</v>
      </c>
      <c r="C22" s="95"/>
      <c r="D22" s="1">
        <v>1</v>
      </c>
      <c r="E22" s="24">
        <v>1476466</v>
      </c>
      <c r="F22" s="24">
        <v>721548.93420000002</v>
      </c>
      <c r="G22" s="108">
        <f t="shared" si="5"/>
        <v>-721548.93420000002</v>
      </c>
      <c r="H22" s="5">
        <v>150</v>
      </c>
      <c r="I22" s="5">
        <v>40</v>
      </c>
      <c r="J22" s="13">
        <v>6666.67</v>
      </c>
      <c r="K22" s="6">
        <f>(665500/365)</f>
        <v>1823.2876712328766</v>
      </c>
      <c r="L22" s="6">
        <f>(319000/365)</f>
        <v>873.97260273972597</v>
      </c>
      <c r="M22" s="6">
        <f t="shared" si="27"/>
        <v>13955.07397260274</v>
      </c>
      <c r="N22" s="6">
        <f>(1465288/365)</f>
        <v>4014.4876712328769</v>
      </c>
      <c r="O22" s="6">
        <f>(900000/6)/365</f>
        <v>410.95890410958901</v>
      </c>
      <c r="P22" s="6">
        <f t="shared" si="28"/>
        <v>958.90410958904113</v>
      </c>
      <c r="Q22" s="6">
        <f>(180000000-110000000)/20/365</f>
        <v>9589.0410958904104</v>
      </c>
      <c r="R22" s="6">
        <f>+(H22/150000)*200000</f>
        <v>200</v>
      </c>
      <c r="S22" s="6">
        <f>(200000/150000)*H22</f>
        <v>200</v>
      </c>
      <c r="T22" s="6">
        <f>+(H22/100000)*300000</f>
        <v>450</v>
      </c>
      <c r="U22" s="6">
        <f>+(H22/45000)*300000</f>
        <v>1000.0000000000001</v>
      </c>
      <c r="V22" s="6">
        <f>+(H22/40000)*700000</f>
        <v>2625</v>
      </c>
      <c r="W22" s="6">
        <f>+(H22/6000)*150000</f>
        <v>3750</v>
      </c>
      <c r="X22" s="6">
        <f>+(H22/90000)*1900000</f>
        <v>3166.666666666667</v>
      </c>
      <c r="Y22" s="6">
        <f>+(H22/50000)*530000</f>
        <v>1590</v>
      </c>
      <c r="Z22" s="6">
        <f>+(H22/50000)*1800000</f>
        <v>5400</v>
      </c>
      <c r="AA22" s="6">
        <f>$AA$5/30</f>
        <v>13333.333333333334</v>
      </c>
      <c r="AB22" s="6">
        <f t="shared" si="1"/>
        <v>51551.25</v>
      </c>
      <c r="AC22" s="6">
        <f>3092909/30</f>
        <v>103096.96666666666</v>
      </c>
      <c r="AD22" s="16">
        <v>0.1</v>
      </c>
      <c r="AE22" s="7">
        <f>SUM(K22:AD22)</f>
        <v>217989.04269406394</v>
      </c>
      <c r="AF22" s="7">
        <f t="shared" si="2"/>
        <v>503559.89150593604</v>
      </c>
      <c r="AG22" s="8">
        <f t="shared" si="3"/>
        <v>0.69788737483791852</v>
      </c>
      <c r="AH22" s="15">
        <f>AE22+AF22</f>
        <v>721548.93420000002</v>
      </c>
    </row>
    <row r="23" spans="1:34" ht="15" customHeight="1" x14ac:dyDescent="0.35">
      <c r="A23" s="14">
        <v>19</v>
      </c>
      <c r="B23" s="56" t="s">
        <v>54</v>
      </c>
      <c r="C23" s="95"/>
      <c r="D23" s="1">
        <v>1</v>
      </c>
      <c r="E23" s="24">
        <v>233126</v>
      </c>
      <c r="F23" s="24">
        <v>113928.6762</v>
      </c>
      <c r="G23" s="108">
        <f t="shared" si="5"/>
        <v>-113928.6762</v>
      </c>
      <c r="H23" s="5">
        <v>30</v>
      </c>
      <c r="I23" s="5">
        <v>40</v>
      </c>
      <c r="J23" s="13">
        <v>277.77999999999997</v>
      </c>
      <c r="K23" s="6">
        <f>(665500/365)/24</f>
        <v>75.970319634703188</v>
      </c>
      <c r="L23" s="6">
        <f>(319000/365)/24</f>
        <v>36.415525114155251</v>
      </c>
      <c r="M23" s="6">
        <f>(5093602/365)/24</f>
        <v>581.46141552511415</v>
      </c>
      <c r="N23" s="6">
        <f>(1465288/365)/24</f>
        <v>167.27031963470321</v>
      </c>
      <c r="O23" s="6">
        <f>(900000/6)/1440</f>
        <v>104.16666666666667</v>
      </c>
      <c r="P23" s="6">
        <f>(350000/365)/24</f>
        <v>39.954337899543383</v>
      </c>
      <c r="Q23" s="6">
        <f>(180000000-110000000)/20/365/24</f>
        <v>399.54337899543378</v>
      </c>
      <c r="R23" s="6">
        <f>+(H23/150000)*200000</f>
        <v>40</v>
      </c>
      <c r="S23" s="6">
        <f>(200000/150000)*H23</f>
        <v>40</v>
      </c>
      <c r="T23" s="6">
        <f>+(H23/100000)*300000</f>
        <v>89.999999999999986</v>
      </c>
      <c r="U23" s="6">
        <f>+(H23/45000)*300000</f>
        <v>200</v>
      </c>
      <c r="V23" s="6">
        <f>+(H23/40000)*700000</f>
        <v>525</v>
      </c>
      <c r="W23" s="6">
        <f>+(H23/6000)*150000</f>
        <v>750</v>
      </c>
      <c r="X23" s="6">
        <f>+(H23/90000)*1900000</f>
        <v>633.33333333333326</v>
      </c>
      <c r="Y23" s="6">
        <f>+(H23/50000)*530000/8</f>
        <v>39.75</v>
      </c>
      <c r="Z23" s="6">
        <f>+(H23/50000)*1800000/8</f>
        <v>135</v>
      </c>
      <c r="AA23" s="6">
        <f>$AA$12/8</f>
        <v>1666.6666666666667</v>
      </c>
      <c r="AB23" s="6">
        <f t="shared" si="1"/>
        <v>10310.25</v>
      </c>
      <c r="AC23" s="6">
        <f>(3092909/30)/8</f>
        <v>12887.120833333332</v>
      </c>
      <c r="AD23" s="16">
        <v>0.1</v>
      </c>
      <c r="AE23" s="7">
        <f>SUM(J23:AD23)</f>
        <v>28999.782796803651</v>
      </c>
      <c r="AF23" s="7">
        <f t="shared" si="2"/>
        <v>84928.893403196358</v>
      </c>
      <c r="AG23" s="8">
        <f t="shared" si="3"/>
        <v>0.74545668602437742</v>
      </c>
      <c r="AH23" s="15">
        <f t="shared" ref="AH23:AH26" si="29">AE23+AF23</f>
        <v>113928.67620000002</v>
      </c>
    </row>
    <row r="24" spans="1:34" ht="15.75" customHeight="1" thickBot="1" x14ac:dyDescent="0.4">
      <c r="A24" s="23">
        <v>20</v>
      </c>
      <c r="B24" s="58" t="s">
        <v>55</v>
      </c>
      <c r="C24" s="92"/>
      <c r="D24" s="1">
        <v>1</v>
      </c>
      <c r="E24" s="24">
        <v>310835</v>
      </c>
      <c r="F24" s="24">
        <v>151905.06450000001</v>
      </c>
      <c r="G24" s="108">
        <f t="shared" si="5"/>
        <v>-151905.06450000001</v>
      </c>
      <c r="H24" s="5">
        <v>30</v>
      </c>
      <c r="I24" s="5">
        <v>40</v>
      </c>
      <c r="J24" s="13">
        <v>277.77999999999997</v>
      </c>
      <c r="K24" s="6">
        <f>(665500/365)/24</f>
        <v>75.970319634703188</v>
      </c>
      <c r="L24" s="6">
        <f>(319000/365)/24</f>
        <v>36.415525114155251</v>
      </c>
      <c r="M24" s="6">
        <f>(5093602/365)/24</f>
        <v>581.46141552511415</v>
      </c>
      <c r="N24" s="6">
        <f>(1465288/365)/24</f>
        <v>167.27031963470321</v>
      </c>
      <c r="O24" s="6">
        <f>(900000/6)/1440</f>
        <v>104.16666666666667</v>
      </c>
      <c r="P24" s="6">
        <f>(350000/365)/24</f>
        <v>39.954337899543383</v>
      </c>
      <c r="Q24" s="6">
        <f>(180000000-110000000)/20/365/24</f>
        <v>399.54337899543378</v>
      </c>
      <c r="R24" s="6">
        <f>+(H24/150000)*200000</f>
        <v>40</v>
      </c>
      <c r="S24" s="6">
        <f>(200000/150000)*H24</f>
        <v>40</v>
      </c>
      <c r="T24" s="6">
        <f>+(H24/100000)*300000</f>
        <v>89.999999999999986</v>
      </c>
      <c r="U24" s="6">
        <f>+(H24/45000)*300000</f>
        <v>200</v>
      </c>
      <c r="V24" s="6">
        <f>+(H24/40000)*700000</f>
        <v>525</v>
      </c>
      <c r="W24" s="6">
        <f>+(H24/6000)*150000</f>
        <v>750</v>
      </c>
      <c r="X24" s="6">
        <f>+(H24/90000)*1900000</f>
        <v>633.33333333333326</v>
      </c>
      <c r="Y24" s="6">
        <f>+(H24/50000)*530000/8</f>
        <v>39.75</v>
      </c>
      <c r="Z24" s="6">
        <f>+(H24/50000)*1800000/8</f>
        <v>135</v>
      </c>
      <c r="AA24" s="6">
        <f>$AA$12/8</f>
        <v>1666.6666666666667</v>
      </c>
      <c r="AB24" s="6">
        <f t="shared" si="1"/>
        <v>10310.25</v>
      </c>
      <c r="AC24" s="6">
        <v>14325</v>
      </c>
      <c r="AD24" s="16">
        <v>0.1</v>
      </c>
      <c r="AE24" s="7">
        <f>SUM(J24:AD24)</f>
        <v>30437.661963470317</v>
      </c>
      <c r="AF24" s="7">
        <f t="shared" si="2"/>
        <v>121467.4025365297</v>
      </c>
      <c r="AG24" s="8">
        <f t="shared" si="3"/>
        <v>0.79962707587362691</v>
      </c>
      <c r="AH24" s="15">
        <f t="shared" si="29"/>
        <v>151905.06450000001</v>
      </c>
    </row>
    <row r="25" spans="1:34" ht="15" customHeight="1" x14ac:dyDescent="0.35">
      <c r="A25" s="14">
        <v>21</v>
      </c>
      <c r="B25" s="69" t="s">
        <v>56</v>
      </c>
      <c r="C25" s="104"/>
      <c r="D25" s="17">
        <v>1</v>
      </c>
      <c r="E25" s="29">
        <v>18650096</v>
      </c>
      <c r="F25" s="29">
        <v>9114301.9152000006</v>
      </c>
      <c r="G25" s="108">
        <f t="shared" si="5"/>
        <v>-9114301.9152000006</v>
      </c>
      <c r="H25" s="18">
        <v>4000</v>
      </c>
      <c r="I25" s="18">
        <v>32</v>
      </c>
      <c r="J25" s="19">
        <v>200000</v>
      </c>
      <c r="K25" s="20">
        <f>(900000/12)</f>
        <v>75000</v>
      </c>
      <c r="L25" s="20">
        <f>(400000/12)</f>
        <v>33333.333333333336</v>
      </c>
      <c r="M25" s="20">
        <f>(5093602/12)</f>
        <v>424466.83333333331</v>
      </c>
      <c r="N25" s="20">
        <f>(1465288/12)</f>
        <v>122107.33333333333</v>
      </c>
      <c r="O25" s="20">
        <f>(900000/6)</f>
        <v>150000</v>
      </c>
      <c r="P25" s="20">
        <f>(350000/12)</f>
        <v>29166.666666666668</v>
      </c>
      <c r="Q25" s="20">
        <f t="shared" ref="Q25" si="30">(180000000-110000000)/20/365</f>
        <v>9589.0410958904104</v>
      </c>
      <c r="R25" s="20">
        <f>+(H25/150000)*200000</f>
        <v>5333.3333333333339</v>
      </c>
      <c r="S25" s="20">
        <f>(200000/150000)*H25</f>
        <v>5333.333333333333</v>
      </c>
      <c r="T25" s="20">
        <f>+(H25/100000)*300000</f>
        <v>12000</v>
      </c>
      <c r="U25" s="20">
        <f>+(H25/45000)*300000</f>
        <v>26666.666666666668</v>
      </c>
      <c r="V25" s="20">
        <f>+(H25/40000)*700000</f>
        <v>70000</v>
      </c>
      <c r="W25" s="20">
        <f>+(H25/6000)*150000</f>
        <v>100000</v>
      </c>
      <c r="X25" s="20">
        <f>+(H25/90000)*1900000</f>
        <v>84444.444444444453</v>
      </c>
      <c r="Y25" s="20">
        <f>+(H25/50000)*530000</f>
        <v>42400</v>
      </c>
      <c r="Z25" s="20">
        <f t="shared" ref="Z25:Z32" si="31">+(H25/50000)*2400000</f>
        <v>192000</v>
      </c>
      <c r="AA25" s="20">
        <v>300000</v>
      </c>
      <c r="AB25" s="20">
        <f t="shared" si="1"/>
        <v>1718375</v>
      </c>
      <c r="AC25" s="20">
        <f>3092909/1</f>
        <v>3092909</v>
      </c>
      <c r="AD25" s="21">
        <v>0.1</v>
      </c>
      <c r="AE25" s="22">
        <f>SUM(J25:AD25)</f>
        <v>6693125.0855403347</v>
      </c>
      <c r="AF25" s="22">
        <f t="shared" si="2"/>
        <v>2421176.8296596659</v>
      </c>
      <c r="AG25" s="8">
        <f t="shared" si="3"/>
        <v>0.26564588842748871</v>
      </c>
      <c r="AH25" s="15">
        <f t="shared" si="29"/>
        <v>9114301.9152000006</v>
      </c>
    </row>
    <row r="26" spans="1:34" ht="15" customHeight="1" x14ac:dyDescent="0.35">
      <c r="A26" s="14">
        <v>22</v>
      </c>
      <c r="B26" s="63" t="s">
        <v>57</v>
      </c>
      <c r="C26" s="94"/>
      <c r="D26" s="1">
        <v>1</v>
      </c>
      <c r="E26" s="24">
        <v>6962703</v>
      </c>
      <c r="F26" s="24">
        <v>3402672.9561000001</v>
      </c>
      <c r="G26" s="108">
        <f t="shared" si="5"/>
        <v>-3402672.9561000001</v>
      </c>
      <c r="H26" s="5">
        <v>1000</v>
      </c>
      <c r="I26" s="5">
        <v>32</v>
      </c>
      <c r="J26" s="13">
        <v>50000</v>
      </c>
      <c r="K26" s="6">
        <f>K25/4</f>
        <v>18750</v>
      </c>
      <c r="L26" s="6">
        <f>L25/4</f>
        <v>8333.3333333333339</v>
      </c>
      <c r="M26" s="6">
        <f t="shared" ref="M26:Y26" si="32">$K$5/4</f>
        <v>13864.583333333334</v>
      </c>
      <c r="N26" s="6">
        <f t="shared" si="32"/>
        <v>13864.583333333334</v>
      </c>
      <c r="O26" s="6">
        <f t="shared" si="32"/>
        <v>13864.583333333334</v>
      </c>
      <c r="P26" s="6">
        <f t="shared" si="32"/>
        <v>13864.583333333334</v>
      </c>
      <c r="Q26" s="6">
        <f t="shared" si="32"/>
        <v>13864.583333333334</v>
      </c>
      <c r="R26" s="6">
        <f t="shared" si="32"/>
        <v>13864.583333333334</v>
      </c>
      <c r="S26" s="6">
        <f t="shared" si="32"/>
        <v>13864.583333333334</v>
      </c>
      <c r="T26" s="6">
        <f t="shared" si="32"/>
        <v>13864.583333333334</v>
      </c>
      <c r="U26" s="6">
        <f t="shared" si="32"/>
        <v>13864.583333333334</v>
      </c>
      <c r="V26" s="6">
        <f t="shared" si="32"/>
        <v>13864.583333333334</v>
      </c>
      <c r="W26" s="6">
        <f t="shared" si="32"/>
        <v>13864.583333333334</v>
      </c>
      <c r="X26" s="6">
        <f t="shared" si="32"/>
        <v>13864.583333333334</v>
      </c>
      <c r="Y26" s="6">
        <f t="shared" si="32"/>
        <v>13864.583333333334</v>
      </c>
      <c r="Z26" s="30">
        <f t="shared" si="31"/>
        <v>48000</v>
      </c>
      <c r="AA26" s="6">
        <f>AA25/4</f>
        <v>75000</v>
      </c>
      <c r="AB26" s="6">
        <f t="shared" si="1"/>
        <v>429593.75</v>
      </c>
      <c r="AC26" s="6">
        <f>3092909/4</f>
        <v>773227.25</v>
      </c>
      <c r="AD26" s="16">
        <v>0.1</v>
      </c>
      <c r="AE26" s="7">
        <f>SUM(J26:AD26)</f>
        <v>1583144.0166666668</v>
      </c>
      <c r="AF26" s="7">
        <f t="shared" si="2"/>
        <v>1819528.9394333332</v>
      </c>
      <c r="AG26" s="8">
        <f t="shared" si="3"/>
        <v>0.53473518110856011</v>
      </c>
      <c r="AH26" s="15">
        <f t="shared" si="29"/>
        <v>3402672.9561000001</v>
      </c>
    </row>
    <row r="27" spans="1:34" ht="15" customHeight="1" x14ac:dyDescent="0.35">
      <c r="A27" s="14">
        <v>23</v>
      </c>
      <c r="B27" s="63" t="s">
        <v>58</v>
      </c>
      <c r="C27" s="94"/>
      <c r="D27" s="1">
        <v>1</v>
      </c>
      <c r="E27" s="24">
        <v>1476466</v>
      </c>
      <c r="F27" s="24">
        <v>721548.93420000002</v>
      </c>
      <c r="G27" s="108">
        <f t="shared" si="5"/>
        <v>-721548.93420000002</v>
      </c>
      <c r="H27" s="5">
        <v>150</v>
      </c>
      <c r="I27" s="5">
        <v>32</v>
      </c>
      <c r="J27" s="13">
        <v>6666.67</v>
      </c>
      <c r="K27" s="6">
        <f>(900000/365)</f>
        <v>2465.7534246575342</v>
      </c>
      <c r="L27" s="6">
        <f>L26/7</f>
        <v>1190.4761904761906</v>
      </c>
      <c r="M27" s="6">
        <f t="shared" ref="M27:M28" si="33">(5093602/365)</f>
        <v>13955.07397260274</v>
      </c>
      <c r="N27" s="6">
        <f>(1465288/365)</f>
        <v>4014.4876712328769</v>
      </c>
      <c r="O27" s="6">
        <f>(900000/6)/365</f>
        <v>410.95890410958901</v>
      </c>
      <c r="P27" s="6">
        <f t="shared" ref="P27:P28" si="34">(350000/365)</f>
        <v>958.90410958904113</v>
      </c>
      <c r="Q27" s="6">
        <f>(180000000-110000000)/20/365</f>
        <v>9589.0410958904104</v>
      </c>
      <c r="R27" s="6">
        <f t="shared" ref="R27:R32" si="35">+(H27/150000)*200000</f>
        <v>200</v>
      </c>
      <c r="S27" s="6">
        <f t="shared" ref="S27:S32" si="36">(200000/150000)*H27</f>
        <v>200</v>
      </c>
      <c r="T27" s="6">
        <f t="shared" ref="T27:T32" si="37">+(H27/100000)*300000</f>
        <v>450</v>
      </c>
      <c r="U27" s="6">
        <f t="shared" ref="U27:U32" si="38">+(H27/45000)*300000</f>
        <v>1000.0000000000001</v>
      </c>
      <c r="V27" s="6">
        <f t="shared" ref="V27:V32" si="39">+(H27/40000)*700000</f>
        <v>2625</v>
      </c>
      <c r="W27" s="6">
        <f t="shared" ref="W27:W32" si="40">+(H27/6000)*150000</f>
        <v>3750</v>
      </c>
      <c r="X27" s="6">
        <f t="shared" ref="X27:X32" si="41">+(H27/90000)*1900000</f>
        <v>3166.666666666667</v>
      </c>
      <c r="Y27" s="6">
        <f>+(H27/50000)*530000</f>
        <v>1590</v>
      </c>
      <c r="Z27" s="30">
        <f t="shared" si="31"/>
        <v>7200</v>
      </c>
      <c r="AA27" s="6">
        <f>$AA$25/30</f>
        <v>10000</v>
      </c>
      <c r="AB27" s="6">
        <f t="shared" si="1"/>
        <v>64439.0625</v>
      </c>
      <c r="AC27" s="6">
        <f>3092909/30</f>
        <v>103096.96666666666</v>
      </c>
      <c r="AD27" s="16">
        <v>0.1</v>
      </c>
      <c r="AE27" s="7">
        <f>SUM(K27:AD27)</f>
        <v>230302.49120189171</v>
      </c>
      <c r="AF27" s="7">
        <f t="shared" si="2"/>
        <v>491246.44299810834</v>
      </c>
      <c r="AG27" s="8">
        <f t="shared" si="3"/>
        <v>0.68082207555717056</v>
      </c>
      <c r="AH27" s="15">
        <f>AE27+AF27</f>
        <v>721548.93420000002</v>
      </c>
    </row>
    <row r="28" spans="1:34" ht="15" customHeight="1" x14ac:dyDescent="0.35">
      <c r="A28" s="23">
        <v>24</v>
      </c>
      <c r="B28" s="63" t="s">
        <v>59</v>
      </c>
      <c r="C28" s="94"/>
      <c r="D28" s="1">
        <v>1</v>
      </c>
      <c r="E28" s="24">
        <v>1787301</v>
      </c>
      <c r="F28" s="24">
        <v>873453.9987</v>
      </c>
      <c r="G28" s="108">
        <f t="shared" si="5"/>
        <v>-873453.9987</v>
      </c>
      <c r="H28" s="5">
        <v>150</v>
      </c>
      <c r="I28" s="5">
        <v>32</v>
      </c>
      <c r="J28" s="13">
        <v>6666.67</v>
      </c>
      <c r="K28" s="6">
        <f>(900000/365)</f>
        <v>2465.7534246575342</v>
      </c>
      <c r="L28" s="6">
        <f>L26/7</f>
        <v>1190.4761904761906</v>
      </c>
      <c r="M28" s="6">
        <f t="shared" si="33"/>
        <v>13955.07397260274</v>
      </c>
      <c r="N28" s="6">
        <f>(1465288/365)</f>
        <v>4014.4876712328769</v>
      </c>
      <c r="O28" s="6">
        <f>(900000/6)/365</f>
        <v>410.95890410958901</v>
      </c>
      <c r="P28" s="6">
        <f t="shared" si="34"/>
        <v>958.90410958904113</v>
      </c>
      <c r="Q28" s="6">
        <f>(180000000-110000000)/20/365</f>
        <v>9589.0410958904104</v>
      </c>
      <c r="R28" s="6">
        <f t="shared" si="35"/>
        <v>200</v>
      </c>
      <c r="S28" s="6">
        <f t="shared" si="36"/>
        <v>200</v>
      </c>
      <c r="T28" s="6">
        <f t="shared" si="37"/>
        <v>450</v>
      </c>
      <c r="U28" s="6">
        <f t="shared" si="38"/>
        <v>1000.0000000000001</v>
      </c>
      <c r="V28" s="6">
        <f t="shared" si="39"/>
        <v>2625</v>
      </c>
      <c r="W28" s="6">
        <f t="shared" si="40"/>
        <v>3750</v>
      </c>
      <c r="X28" s="6">
        <f t="shared" si="41"/>
        <v>3166.666666666667</v>
      </c>
      <c r="Y28" s="6">
        <f>+(H28/50000)*530000</f>
        <v>1590</v>
      </c>
      <c r="Z28" s="30">
        <f t="shared" si="31"/>
        <v>7200</v>
      </c>
      <c r="AA28" s="6">
        <f>$AA$25/30</f>
        <v>10000</v>
      </c>
      <c r="AB28" s="6">
        <f t="shared" si="1"/>
        <v>64439.0625</v>
      </c>
      <c r="AC28" s="6">
        <v>114600</v>
      </c>
      <c r="AD28" s="16">
        <v>0.1</v>
      </c>
      <c r="AE28" s="7">
        <f>SUM(K28:AD28)</f>
        <v>241805.52453522506</v>
      </c>
      <c r="AF28" s="7">
        <f t="shared" si="2"/>
        <v>631648.47416477487</v>
      </c>
      <c r="AG28" s="8">
        <f t="shared" si="3"/>
        <v>0.72316169495461136</v>
      </c>
      <c r="AH28" s="15">
        <f>AE28+AF28</f>
        <v>873453.99869999988</v>
      </c>
    </row>
    <row r="29" spans="1:34" ht="15" customHeight="1" x14ac:dyDescent="0.35">
      <c r="A29" s="14">
        <v>25</v>
      </c>
      <c r="B29" s="63" t="s">
        <v>60</v>
      </c>
      <c r="C29" s="94"/>
      <c r="D29" s="1">
        <v>1</v>
      </c>
      <c r="E29" s="24">
        <v>310835</v>
      </c>
      <c r="F29" s="24">
        <v>151905.06450000001</v>
      </c>
      <c r="G29" s="108">
        <f t="shared" si="5"/>
        <v>-151905.06450000001</v>
      </c>
      <c r="H29" s="5">
        <v>30</v>
      </c>
      <c r="I29" s="5">
        <v>32</v>
      </c>
      <c r="J29" s="13">
        <v>277.77999999999997</v>
      </c>
      <c r="K29" s="6">
        <f>$K$28/24</f>
        <v>102.73972602739725</v>
      </c>
      <c r="L29" s="6">
        <f>$L$28/24</f>
        <v>49.603174603174608</v>
      </c>
      <c r="M29" s="6">
        <f>(5093602/365)/24</f>
        <v>581.46141552511415</v>
      </c>
      <c r="N29" s="6">
        <f>(1465288/365)/24</f>
        <v>167.27031963470321</v>
      </c>
      <c r="O29" s="6">
        <f>(900000/6)/1440</f>
        <v>104.16666666666667</v>
      </c>
      <c r="P29" s="6">
        <f>(350000/365)/24</f>
        <v>39.954337899543383</v>
      </c>
      <c r="Q29" s="6">
        <f>(180000000-110000000)/20/365/24</f>
        <v>399.54337899543378</v>
      </c>
      <c r="R29" s="6">
        <f t="shared" si="35"/>
        <v>40</v>
      </c>
      <c r="S29" s="6">
        <f t="shared" si="36"/>
        <v>40</v>
      </c>
      <c r="T29" s="6">
        <f t="shared" si="37"/>
        <v>89.999999999999986</v>
      </c>
      <c r="U29" s="6">
        <f t="shared" si="38"/>
        <v>200</v>
      </c>
      <c r="V29" s="6">
        <f t="shared" si="39"/>
        <v>525</v>
      </c>
      <c r="W29" s="6">
        <f t="shared" si="40"/>
        <v>750</v>
      </c>
      <c r="X29" s="6">
        <f t="shared" si="41"/>
        <v>633.33333333333326</v>
      </c>
      <c r="Y29" s="6">
        <f>+(H29/50000)*530000/8</f>
        <v>39.75</v>
      </c>
      <c r="Z29" s="30">
        <f t="shared" si="31"/>
        <v>1439.9999999999998</v>
      </c>
      <c r="AA29" s="6">
        <f>$AA$28/8</f>
        <v>1250</v>
      </c>
      <c r="AB29" s="6">
        <f t="shared" si="1"/>
        <v>12887.8125</v>
      </c>
      <c r="AC29" s="6">
        <f>(3092909/30)/8</f>
        <v>12887.120833333332</v>
      </c>
      <c r="AD29" s="16">
        <v>0.1</v>
      </c>
      <c r="AE29" s="7">
        <f>SUM(J29:AD29)</f>
        <v>32505.635686018701</v>
      </c>
      <c r="AF29" s="7">
        <f t="shared" si="2"/>
        <v>119399.4288139813</v>
      </c>
      <c r="AG29" s="8">
        <f t="shared" si="3"/>
        <v>0.7860134828748998</v>
      </c>
      <c r="AH29" s="15">
        <f t="shared" ref="AH29:AH32" si="42">AE29+AF29</f>
        <v>151905.06450000001</v>
      </c>
    </row>
    <row r="30" spans="1:34" ht="15" customHeight="1" x14ac:dyDescent="0.35">
      <c r="A30" s="14">
        <v>26</v>
      </c>
      <c r="B30" s="63" t="s">
        <v>61</v>
      </c>
      <c r="C30" s="94"/>
      <c r="D30" s="1">
        <v>1</v>
      </c>
      <c r="E30" s="24">
        <v>466252</v>
      </c>
      <c r="F30" s="24">
        <v>227857.3524</v>
      </c>
      <c r="G30" s="108">
        <f t="shared" si="5"/>
        <v>-227857.3524</v>
      </c>
      <c r="H30" s="5">
        <v>30</v>
      </c>
      <c r="I30" s="5">
        <v>32</v>
      </c>
      <c r="J30" s="13">
        <v>277.77999999999997</v>
      </c>
      <c r="K30" s="6">
        <f t="shared" ref="K30:K32" si="43">$K$28/24</f>
        <v>102.73972602739725</v>
      </c>
      <c r="L30" s="6">
        <f t="shared" ref="L30:L32" si="44">$L$28/24</f>
        <v>49.603174603174608</v>
      </c>
      <c r="M30" s="6">
        <f>(5093602/365)/24</f>
        <v>581.46141552511415</v>
      </c>
      <c r="N30" s="6">
        <f>(1465288/365)/24</f>
        <v>167.27031963470321</v>
      </c>
      <c r="O30" s="6">
        <f>(900000/6)/1440</f>
        <v>104.16666666666667</v>
      </c>
      <c r="P30" s="6">
        <f>(350000/365)/24</f>
        <v>39.954337899543383</v>
      </c>
      <c r="Q30" s="6">
        <f>(180000000-110000000)/20/365/24</f>
        <v>399.54337899543378</v>
      </c>
      <c r="R30" s="6">
        <f t="shared" si="35"/>
        <v>40</v>
      </c>
      <c r="S30" s="6">
        <f t="shared" si="36"/>
        <v>40</v>
      </c>
      <c r="T30" s="6">
        <f t="shared" si="37"/>
        <v>89.999999999999986</v>
      </c>
      <c r="U30" s="6">
        <f t="shared" si="38"/>
        <v>200</v>
      </c>
      <c r="V30" s="6">
        <f t="shared" si="39"/>
        <v>525</v>
      </c>
      <c r="W30" s="6">
        <f t="shared" si="40"/>
        <v>750</v>
      </c>
      <c r="X30" s="6">
        <f t="shared" si="41"/>
        <v>633.33333333333326</v>
      </c>
      <c r="Y30" s="6">
        <f>+(H30/50000)*530000/8</f>
        <v>39.75</v>
      </c>
      <c r="Z30" s="30">
        <f t="shared" si="31"/>
        <v>1439.9999999999998</v>
      </c>
      <c r="AA30" s="6">
        <f t="shared" ref="AA30:AA32" si="45">$AA$28/8</f>
        <v>1250</v>
      </c>
      <c r="AB30" s="6">
        <f t="shared" si="1"/>
        <v>12887.8125</v>
      </c>
      <c r="AC30" s="6">
        <v>14325</v>
      </c>
      <c r="AD30" s="16">
        <v>0.1</v>
      </c>
      <c r="AE30" s="7">
        <f>SUM(J30:AD30)</f>
        <v>33943.514852685366</v>
      </c>
      <c r="AF30" s="7">
        <f t="shared" si="2"/>
        <v>193913.83754731464</v>
      </c>
      <c r="AG30" s="8">
        <f t="shared" si="3"/>
        <v>0.85103173325257442</v>
      </c>
      <c r="AH30" s="15">
        <f t="shared" si="42"/>
        <v>227857.3524</v>
      </c>
    </row>
    <row r="31" spans="1:34" ht="15" customHeight="1" x14ac:dyDescent="0.35">
      <c r="A31" s="14">
        <v>27</v>
      </c>
      <c r="B31" s="63" t="s">
        <v>62</v>
      </c>
      <c r="C31" s="94"/>
      <c r="D31" s="1">
        <v>1</v>
      </c>
      <c r="E31" s="24">
        <v>466252</v>
      </c>
      <c r="F31" s="24">
        <v>227857.3524</v>
      </c>
      <c r="G31" s="108">
        <f t="shared" si="5"/>
        <v>-227857.3524</v>
      </c>
      <c r="H31" s="5">
        <v>30</v>
      </c>
      <c r="I31" s="5">
        <v>32</v>
      </c>
      <c r="J31" s="13">
        <v>277.77999999999997</v>
      </c>
      <c r="K31" s="6">
        <f t="shared" si="43"/>
        <v>102.73972602739725</v>
      </c>
      <c r="L31" s="6">
        <f t="shared" si="44"/>
        <v>49.603174603174608</v>
      </c>
      <c r="M31" s="6">
        <f>(5093602/365)/24</f>
        <v>581.46141552511415</v>
      </c>
      <c r="N31" s="6">
        <f>(1465288/365)/24</f>
        <v>167.27031963470321</v>
      </c>
      <c r="O31" s="6">
        <f>(900000/6)/1440</f>
        <v>104.16666666666667</v>
      </c>
      <c r="P31" s="6">
        <f>(350000/365)/24</f>
        <v>39.954337899543383</v>
      </c>
      <c r="Q31" s="6">
        <f>(180000000-110000000)/20/365/24</f>
        <v>399.54337899543378</v>
      </c>
      <c r="R31" s="6">
        <f t="shared" si="35"/>
        <v>40</v>
      </c>
      <c r="S31" s="6">
        <f t="shared" si="36"/>
        <v>40</v>
      </c>
      <c r="T31" s="6">
        <f t="shared" si="37"/>
        <v>89.999999999999986</v>
      </c>
      <c r="U31" s="6">
        <f t="shared" si="38"/>
        <v>200</v>
      </c>
      <c r="V31" s="6">
        <f t="shared" si="39"/>
        <v>525</v>
      </c>
      <c r="W31" s="6">
        <f t="shared" si="40"/>
        <v>750</v>
      </c>
      <c r="X31" s="6">
        <f t="shared" si="41"/>
        <v>633.33333333333326</v>
      </c>
      <c r="Y31" s="6">
        <f>+(H31/50000)*530000/8</f>
        <v>39.75</v>
      </c>
      <c r="Z31" s="30">
        <f t="shared" si="31"/>
        <v>1439.9999999999998</v>
      </c>
      <c r="AA31" s="6">
        <f t="shared" si="45"/>
        <v>1250</v>
      </c>
      <c r="AB31" s="6">
        <f t="shared" si="1"/>
        <v>12887.8125</v>
      </c>
      <c r="AC31" s="6">
        <v>13928</v>
      </c>
      <c r="AD31" s="16">
        <v>0.1</v>
      </c>
      <c r="AE31" s="7">
        <f>SUM(J31:AD31)</f>
        <v>33546.514852685366</v>
      </c>
      <c r="AF31" s="7">
        <f t="shared" si="2"/>
        <v>194310.83754731464</v>
      </c>
      <c r="AG31" s="8">
        <f t="shared" si="3"/>
        <v>0.85277405139951346</v>
      </c>
      <c r="AH31" s="15">
        <f t="shared" si="42"/>
        <v>227857.3524</v>
      </c>
    </row>
    <row r="32" spans="1:34" ht="15.75" customHeight="1" thickBot="1" x14ac:dyDescent="0.4">
      <c r="A32" s="23">
        <v>28</v>
      </c>
      <c r="B32" s="65" t="s">
        <v>63</v>
      </c>
      <c r="C32" s="96"/>
      <c r="D32" s="1">
        <v>1</v>
      </c>
      <c r="E32" s="24">
        <v>543961</v>
      </c>
      <c r="F32" s="24">
        <v>265833.74070000002</v>
      </c>
      <c r="G32" s="108">
        <f t="shared" si="5"/>
        <v>-265833.74070000002</v>
      </c>
      <c r="H32" s="5">
        <v>30</v>
      </c>
      <c r="I32" s="5">
        <v>32</v>
      </c>
      <c r="J32" s="13">
        <v>277.77999999999997</v>
      </c>
      <c r="K32" s="6">
        <f t="shared" si="43"/>
        <v>102.73972602739725</v>
      </c>
      <c r="L32" s="6">
        <f t="shared" si="44"/>
        <v>49.603174603174608</v>
      </c>
      <c r="M32" s="6">
        <f>(5093602/365)/24</f>
        <v>581.46141552511415</v>
      </c>
      <c r="N32" s="6">
        <f>(1465288/365)/24</f>
        <v>167.27031963470321</v>
      </c>
      <c r="O32" s="6">
        <f>(900000/6)/1440</f>
        <v>104.16666666666667</v>
      </c>
      <c r="P32" s="6">
        <f>(350000/365)/24</f>
        <v>39.954337899543383</v>
      </c>
      <c r="Q32" s="6">
        <f>(180000000-110000000)/20/365/24</f>
        <v>399.54337899543378</v>
      </c>
      <c r="R32" s="6">
        <f t="shared" si="35"/>
        <v>40</v>
      </c>
      <c r="S32" s="6">
        <f t="shared" si="36"/>
        <v>40</v>
      </c>
      <c r="T32" s="6">
        <f t="shared" si="37"/>
        <v>89.999999999999986</v>
      </c>
      <c r="U32" s="6">
        <f t="shared" si="38"/>
        <v>200</v>
      </c>
      <c r="V32" s="6">
        <f t="shared" si="39"/>
        <v>525</v>
      </c>
      <c r="W32" s="6">
        <f t="shared" si="40"/>
        <v>750</v>
      </c>
      <c r="X32" s="6">
        <f t="shared" si="41"/>
        <v>633.33333333333326</v>
      </c>
      <c r="Y32" s="6">
        <f>+(H32/50000)*530000/8</f>
        <v>39.75</v>
      </c>
      <c r="Z32" s="30">
        <f t="shared" si="31"/>
        <v>1439.9999999999998</v>
      </c>
      <c r="AA32" s="6">
        <f t="shared" si="45"/>
        <v>1250</v>
      </c>
      <c r="AB32" s="6">
        <f t="shared" si="1"/>
        <v>12887.8125</v>
      </c>
      <c r="AC32" s="6">
        <v>17711</v>
      </c>
      <c r="AD32" s="16">
        <v>0.1</v>
      </c>
      <c r="AE32" s="7">
        <f>SUM(J32:AD32)</f>
        <v>37329.514852685366</v>
      </c>
      <c r="AF32" s="7">
        <f t="shared" si="2"/>
        <v>228504.22584731466</v>
      </c>
      <c r="AG32" s="8">
        <f t="shared" si="3"/>
        <v>0.85957570790529314</v>
      </c>
      <c r="AH32" s="15">
        <f t="shared" si="42"/>
        <v>265833.74070000002</v>
      </c>
    </row>
    <row r="33" spans="1:34" ht="15" customHeight="1" x14ac:dyDescent="0.35">
      <c r="A33" s="33">
        <v>29</v>
      </c>
      <c r="B33" s="102" t="s">
        <v>64</v>
      </c>
      <c r="C33" s="103"/>
      <c r="D33" s="34">
        <v>1</v>
      </c>
      <c r="E33" s="35">
        <v>1243340</v>
      </c>
      <c r="F33" s="35">
        <v>607620.25800000003</v>
      </c>
      <c r="G33" s="108">
        <f t="shared" si="5"/>
        <v>-607620.25800000003</v>
      </c>
      <c r="H33" s="36">
        <v>150</v>
      </c>
      <c r="I33" s="36">
        <v>30</v>
      </c>
      <c r="J33" s="37">
        <v>6666.67</v>
      </c>
      <c r="K33" s="38">
        <f>(965300/365)</f>
        <v>2644.6575342465753</v>
      </c>
      <c r="L33" s="38">
        <f>(319000/365)</f>
        <v>873.97260273972597</v>
      </c>
      <c r="M33" s="38">
        <f>(7658840/365)</f>
        <v>20983.123287671231</v>
      </c>
      <c r="N33" s="38">
        <f>(1465288/365)</f>
        <v>4014.4876712328769</v>
      </c>
      <c r="O33" s="38">
        <f>(1200000/6)/365</f>
        <v>547.94520547945206</v>
      </c>
      <c r="P33" s="38">
        <f t="shared" ref="P33:P34" si="46">(350000/365)</f>
        <v>958.90410958904113</v>
      </c>
      <c r="Q33" s="38">
        <f>(180000000-110000000)/20/365</f>
        <v>9589.0410958904104</v>
      </c>
      <c r="R33" s="38">
        <f t="shared" ref="R33:R38" si="47">+(H33/150000)*300000</f>
        <v>300</v>
      </c>
      <c r="S33" s="38">
        <f t="shared" ref="S33:S38" si="48">(300000/150000)*H33</f>
        <v>300</v>
      </c>
      <c r="T33" s="38">
        <f t="shared" ref="T33:T38" si="49">+(H33/100000)*400000</f>
        <v>600</v>
      </c>
      <c r="U33" s="38">
        <f t="shared" ref="U33:U38" si="50">+(H33/45000)*400000</f>
        <v>1333.3333333333335</v>
      </c>
      <c r="V33" s="38">
        <f t="shared" ref="V33:V38" si="51">+(H33/40000)*800000</f>
        <v>3000</v>
      </c>
      <c r="W33" s="38">
        <f>+(H33/6000)*350000</f>
        <v>8750</v>
      </c>
      <c r="X33" s="38">
        <f t="shared" ref="X33:X38" si="52">+(H33/90000)*2900000</f>
        <v>4833.3333333333339</v>
      </c>
      <c r="Y33" s="38">
        <f>+(H33/50000)*730000</f>
        <v>2190</v>
      </c>
      <c r="Z33" s="38">
        <f t="shared" ref="Z33:Z38" si="53">+(H33/50000)*3200000</f>
        <v>9600</v>
      </c>
      <c r="AA33" s="38">
        <v>16666</v>
      </c>
      <c r="AB33" s="38">
        <f t="shared" si="1"/>
        <v>68735</v>
      </c>
      <c r="AC33" s="38">
        <f>3092909/30</f>
        <v>103096.96666666666</v>
      </c>
      <c r="AD33" s="39">
        <v>0.1</v>
      </c>
      <c r="AE33" s="40">
        <f>SUM(K33:AD33)</f>
        <v>259016.86484018268</v>
      </c>
      <c r="AF33" s="40">
        <f t="shared" si="2"/>
        <v>348603.39315981732</v>
      </c>
      <c r="AG33" s="8">
        <f t="shared" si="3"/>
        <v>0.57371917504405734</v>
      </c>
      <c r="AH33" s="15">
        <f>AE33+AF33</f>
        <v>607620.25800000003</v>
      </c>
    </row>
    <row r="34" spans="1:34" ht="15" customHeight="1" x14ac:dyDescent="0.35">
      <c r="A34" s="14">
        <v>30</v>
      </c>
      <c r="B34" s="56" t="s">
        <v>65</v>
      </c>
      <c r="C34" s="95"/>
      <c r="D34" s="1">
        <v>1</v>
      </c>
      <c r="E34" s="24">
        <v>1476466</v>
      </c>
      <c r="F34" s="24">
        <v>721548.93420000002</v>
      </c>
      <c r="G34" s="108">
        <f t="shared" si="5"/>
        <v>-721548.93420000002</v>
      </c>
      <c r="H34" s="5">
        <v>150</v>
      </c>
      <c r="I34" s="5">
        <v>30</v>
      </c>
      <c r="J34" s="13">
        <v>6666.67</v>
      </c>
      <c r="K34" s="6">
        <f>(965300/365)</f>
        <v>2644.6575342465753</v>
      </c>
      <c r="L34" s="6">
        <f>(319000/365)</f>
        <v>873.97260273972597</v>
      </c>
      <c r="M34" s="6">
        <f>(5093602/365)</f>
        <v>13955.07397260274</v>
      </c>
      <c r="N34" s="6">
        <f>(1465288/365)</f>
        <v>4014.4876712328769</v>
      </c>
      <c r="O34" s="6">
        <f>(1200000/6)/365</f>
        <v>547.94520547945206</v>
      </c>
      <c r="P34" s="6">
        <f t="shared" si="46"/>
        <v>958.90410958904113</v>
      </c>
      <c r="Q34" s="6">
        <f>(180000000-110000000)/20/365</f>
        <v>9589.0410958904104</v>
      </c>
      <c r="R34" s="6">
        <f t="shared" si="47"/>
        <v>300</v>
      </c>
      <c r="S34" s="6">
        <f t="shared" si="48"/>
        <v>300</v>
      </c>
      <c r="T34" s="6">
        <f t="shared" si="49"/>
        <v>600</v>
      </c>
      <c r="U34" s="41">
        <f t="shared" si="50"/>
        <v>1333.3333333333335</v>
      </c>
      <c r="V34" s="6">
        <f t="shared" si="51"/>
        <v>3000</v>
      </c>
      <c r="W34" s="6">
        <f>+(H34/6000)*2350000</f>
        <v>58750</v>
      </c>
      <c r="X34" s="6">
        <f t="shared" si="52"/>
        <v>4833.3333333333339</v>
      </c>
      <c r="Y34" s="6">
        <f>+(H34/50000)*730000</f>
        <v>2190</v>
      </c>
      <c r="Z34" s="6">
        <f t="shared" si="53"/>
        <v>9600</v>
      </c>
      <c r="AA34" s="6">
        <f>AA33</f>
        <v>16666</v>
      </c>
      <c r="AB34" s="6">
        <f t="shared" si="1"/>
        <v>68735</v>
      </c>
      <c r="AC34" s="6">
        <f>3092909/30</f>
        <v>103096.96666666666</v>
      </c>
      <c r="AD34" s="16">
        <v>0.1</v>
      </c>
      <c r="AE34" s="7">
        <f>SUM(K34:AD34)</f>
        <v>301988.81552511413</v>
      </c>
      <c r="AF34" s="7">
        <f t="shared" si="2"/>
        <v>419560.11867488589</v>
      </c>
      <c r="AG34" s="8">
        <f t="shared" si="3"/>
        <v>0.58147146893101997</v>
      </c>
      <c r="AH34" s="15">
        <f>AE34+AF34</f>
        <v>721548.93420000002</v>
      </c>
    </row>
    <row r="35" spans="1:34" ht="15" customHeight="1" x14ac:dyDescent="0.35">
      <c r="A35" s="14">
        <v>31</v>
      </c>
      <c r="B35" s="56" t="s">
        <v>66</v>
      </c>
      <c r="C35" s="95"/>
      <c r="D35" s="1">
        <v>1</v>
      </c>
      <c r="E35" s="24">
        <v>543961</v>
      </c>
      <c r="F35" s="24">
        <v>265833.74070000002</v>
      </c>
      <c r="G35" s="108">
        <f t="shared" si="5"/>
        <v>-265833.74070000002</v>
      </c>
      <c r="H35" s="5">
        <v>30</v>
      </c>
      <c r="I35" s="5">
        <v>30</v>
      </c>
      <c r="J35" s="13">
        <v>277.77999999999997</v>
      </c>
      <c r="K35" s="6">
        <f>(965300/365)/24</f>
        <v>110.19406392694064</v>
      </c>
      <c r="L35" s="6">
        <f>(319000/365)/24</f>
        <v>36.415525114155251</v>
      </c>
      <c r="M35" s="6">
        <f>(7658840/365)/24</f>
        <v>874.29680365296792</v>
      </c>
      <c r="N35" s="6">
        <f>(1465288/365)/24</f>
        <v>167.27031963470321</v>
      </c>
      <c r="O35" s="6">
        <f>(1200000/6)/1440</f>
        <v>138.88888888888889</v>
      </c>
      <c r="P35" s="6">
        <f>(350000/365)/24</f>
        <v>39.954337899543383</v>
      </c>
      <c r="Q35" s="6">
        <f>(180000000-110000000)/20/365/24</f>
        <v>399.54337899543378</v>
      </c>
      <c r="R35" s="6">
        <f t="shared" si="47"/>
        <v>60</v>
      </c>
      <c r="S35" s="6">
        <f t="shared" si="48"/>
        <v>60</v>
      </c>
      <c r="T35" s="6">
        <f t="shared" si="49"/>
        <v>119.99999999999999</v>
      </c>
      <c r="U35" s="6">
        <f t="shared" si="50"/>
        <v>266.66666666666669</v>
      </c>
      <c r="V35" s="6">
        <f t="shared" si="51"/>
        <v>600</v>
      </c>
      <c r="W35" s="6">
        <f>+(H35/6000)*350000</f>
        <v>1750</v>
      </c>
      <c r="X35" s="6">
        <f t="shared" si="52"/>
        <v>966.66666666666663</v>
      </c>
      <c r="Y35" s="6">
        <f>+(H35/50000)*730000/8</f>
        <v>54.749999999999993</v>
      </c>
      <c r="Z35" s="6">
        <f t="shared" si="53"/>
        <v>1919.9999999999998</v>
      </c>
      <c r="AA35" s="6">
        <f>$AA$34/8</f>
        <v>2083.25</v>
      </c>
      <c r="AB35" s="6">
        <f t="shared" si="1"/>
        <v>13747</v>
      </c>
      <c r="AC35" s="6">
        <f>(3092909/30)/8</f>
        <v>12887.120833333332</v>
      </c>
      <c r="AD35" s="16">
        <v>0.1</v>
      </c>
      <c r="AE35" s="7">
        <f>SUM(J35:AD35)</f>
        <v>36559.8974847793</v>
      </c>
      <c r="AF35" s="7">
        <f t="shared" si="2"/>
        <v>229273.84321522072</v>
      </c>
      <c r="AG35" s="8">
        <f t="shared" si="3"/>
        <v>0.86247081582454932</v>
      </c>
      <c r="AH35" s="15">
        <f t="shared" ref="AH35:AH38" si="54">AE35+AF35</f>
        <v>265833.74070000002</v>
      </c>
    </row>
    <row r="36" spans="1:34" ht="15" customHeight="1" x14ac:dyDescent="0.35">
      <c r="A36" s="23">
        <v>32</v>
      </c>
      <c r="B36" s="56" t="s">
        <v>67</v>
      </c>
      <c r="C36" s="95"/>
      <c r="D36" s="1">
        <v>1</v>
      </c>
      <c r="E36" s="24">
        <v>652753</v>
      </c>
      <c r="F36" s="24">
        <v>319000.39110000001</v>
      </c>
      <c r="G36" s="108">
        <f t="shared" si="5"/>
        <v>-319000.39110000001</v>
      </c>
      <c r="H36" s="5">
        <v>30</v>
      </c>
      <c r="I36" s="5">
        <v>30</v>
      </c>
      <c r="J36" s="13">
        <v>277.77999999999997</v>
      </c>
      <c r="K36" s="6">
        <f>(965300/365)/24</f>
        <v>110.19406392694064</v>
      </c>
      <c r="L36" s="6">
        <f>(319000/365)/24</f>
        <v>36.415525114155251</v>
      </c>
      <c r="M36" s="6">
        <f>(7658840/365)/24</f>
        <v>874.29680365296792</v>
      </c>
      <c r="N36" s="6">
        <f>(1465288/365)/24</f>
        <v>167.27031963470321</v>
      </c>
      <c r="O36" s="6">
        <f>(1200000/6)/1440</f>
        <v>138.88888888888889</v>
      </c>
      <c r="P36" s="6">
        <f>(350000/365)/24</f>
        <v>39.954337899543383</v>
      </c>
      <c r="Q36" s="6">
        <f>(180000000-110000000)/20/365/24</f>
        <v>399.54337899543378</v>
      </c>
      <c r="R36" s="6">
        <f t="shared" si="47"/>
        <v>60</v>
      </c>
      <c r="S36" s="6">
        <f t="shared" si="48"/>
        <v>60</v>
      </c>
      <c r="T36" s="6">
        <f t="shared" si="49"/>
        <v>119.99999999999999</v>
      </c>
      <c r="U36" s="6">
        <f t="shared" si="50"/>
        <v>266.66666666666669</v>
      </c>
      <c r="V36" s="6">
        <f t="shared" si="51"/>
        <v>600</v>
      </c>
      <c r="W36" s="6">
        <f>+(H36/6000)*350000</f>
        <v>1750</v>
      </c>
      <c r="X36" s="6">
        <f t="shared" si="52"/>
        <v>966.66666666666663</v>
      </c>
      <c r="Y36" s="6">
        <f>+(H36/50000)*730000/8</f>
        <v>54.749999999999993</v>
      </c>
      <c r="Z36" s="6">
        <f t="shared" si="53"/>
        <v>1919.9999999999998</v>
      </c>
      <c r="AA36" s="6">
        <f t="shared" ref="AA36:AA38" si="55">$AA$34/8</f>
        <v>2083.25</v>
      </c>
      <c r="AB36" s="6">
        <f t="shared" si="1"/>
        <v>13747</v>
      </c>
      <c r="AC36" s="6">
        <v>14325</v>
      </c>
      <c r="AD36" s="16">
        <v>0.1</v>
      </c>
      <c r="AE36" s="7">
        <f>SUM(J36:AD36)</f>
        <v>37997.776651445965</v>
      </c>
      <c r="AF36" s="7">
        <f t="shared" si="2"/>
        <v>281002.61444855406</v>
      </c>
      <c r="AG36" s="8">
        <f t="shared" si="3"/>
        <v>0.88088485872879563</v>
      </c>
      <c r="AH36" s="15">
        <f t="shared" si="54"/>
        <v>319000.39110000001</v>
      </c>
    </row>
    <row r="37" spans="1:34" ht="15" customHeight="1" x14ac:dyDescent="0.35">
      <c r="A37" s="14">
        <v>33</v>
      </c>
      <c r="B37" s="56" t="s">
        <v>68</v>
      </c>
      <c r="C37" s="95"/>
      <c r="D37" s="1">
        <v>1</v>
      </c>
      <c r="E37" s="24">
        <v>699379</v>
      </c>
      <c r="F37" s="24">
        <v>341786.51730000001</v>
      </c>
      <c r="G37" s="108">
        <f t="shared" si="5"/>
        <v>-341786.51730000001</v>
      </c>
      <c r="H37" s="5">
        <v>30</v>
      </c>
      <c r="I37" s="5">
        <v>30</v>
      </c>
      <c r="J37" s="13">
        <v>277.77999999999997</v>
      </c>
      <c r="K37" s="6">
        <f>(965300/365)/24</f>
        <v>110.19406392694064</v>
      </c>
      <c r="L37" s="6">
        <f>(319000/365)/24</f>
        <v>36.415525114155251</v>
      </c>
      <c r="M37" s="6">
        <f>(7658840/365)/24</f>
        <v>874.29680365296792</v>
      </c>
      <c r="N37" s="6">
        <f>(1465288/365)/24</f>
        <v>167.27031963470321</v>
      </c>
      <c r="O37" s="6">
        <f>(1200000/6)/1440</f>
        <v>138.88888888888889</v>
      </c>
      <c r="P37" s="6">
        <f>(350000/365)/24</f>
        <v>39.954337899543383</v>
      </c>
      <c r="Q37" s="6">
        <f>(180000000-110000000)/20/365/24</f>
        <v>399.54337899543378</v>
      </c>
      <c r="R37" s="6">
        <f t="shared" si="47"/>
        <v>60</v>
      </c>
      <c r="S37" s="6">
        <f t="shared" si="48"/>
        <v>60</v>
      </c>
      <c r="T37" s="6">
        <f t="shared" si="49"/>
        <v>119.99999999999999</v>
      </c>
      <c r="U37" s="6">
        <f t="shared" si="50"/>
        <v>266.66666666666669</v>
      </c>
      <c r="V37" s="6">
        <f t="shared" si="51"/>
        <v>600</v>
      </c>
      <c r="W37" s="6">
        <f>+(H37/6000)*350000</f>
        <v>1750</v>
      </c>
      <c r="X37" s="6">
        <f t="shared" si="52"/>
        <v>966.66666666666663</v>
      </c>
      <c r="Y37" s="6">
        <f>+(H37/50000)*730000/8</f>
        <v>54.749999999999993</v>
      </c>
      <c r="Z37" s="6">
        <f t="shared" si="53"/>
        <v>1919.9999999999998</v>
      </c>
      <c r="AA37" s="6">
        <f t="shared" si="55"/>
        <v>2083.25</v>
      </c>
      <c r="AB37" s="6">
        <f t="shared" si="1"/>
        <v>13747</v>
      </c>
      <c r="AC37" s="6">
        <f>(3092909/30)/8</f>
        <v>12887.120833333332</v>
      </c>
      <c r="AD37" s="16">
        <v>0.1</v>
      </c>
      <c r="AE37" s="7">
        <f>SUM(J37:AD37)</f>
        <v>36559.8974847793</v>
      </c>
      <c r="AF37" s="7">
        <f t="shared" si="2"/>
        <v>305226.61981522071</v>
      </c>
      <c r="AG37" s="8">
        <f t="shared" si="3"/>
        <v>0.89303294415007839</v>
      </c>
      <c r="AH37" s="15">
        <f t="shared" si="54"/>
        <v>341786.51730000001</v>
      </c>
    </row>
    <row r="38" spans="1:34" ht="15.75" customHeight="1" thickBot="1" x14ac:dyDescent="0.4">
      <c r="A38" s="14">
        <v>34</v>
      </c>
      <c r="B38" s="58" t="s">
        <v>69</v>
      </c>
      <c r="C38" s="92"/>
      <c r="D38" s="1">
        <v>1</v>
      </c>
      <c r="E38" s="24">
        <v>777087</v>
      </c>
      <c r="F38" s="24">
        <v>379762.41690000001</v>
      </c>
      <c r="G38" s="108">
        <f t="shared" si="5"/>
        <v>-379762.41690000001</v>
      </c>
      <c r="H38" s="5">
        <v>30</v>
      </c>
      <c r="I38" s="5">
        <v>30</v>
      </c>
      <c r="J38" s="13">
        <v>277.77999999999997</v>
      </c>
      <c r="K38" s="6">
        <f>(965300/365)/24</f>
        <v>110.19406392694064</v>
      </c>
      <c r="L38" s="6">
        <f>(319000/365)/24</f>
        <v>36.415525114155251</v>
      </c>
      <c r="M38" s="6">
        <f>(7658840/365)/24</f>
        <v>874.29680365296792</v>
      </c>
      <c r="N38" s="6">
        <f>(1465288/365)/24</f>
        <v>167.27031963470321</v>
      </c>
      <c r="O38" s="6">
        <f>(1200000/6)/1440</f>
        <v>138.88888888888889</v>
      </c>
      <c r="P38" s="6">
        <f>(350000/365)/24</f>
        <v>39.954337899543383</v>
      </c>
      <c r="Q38" s="6">
        <f>(180000000-110000000)/20/365/24</f>
        <v>399.54337899543378</v>
      </c>
      <c r="R38" s="6">
        <f t="shared" si="47"/>
        <v>60</v>
      </c>
      <c r="S38" s="6">
        <f t="shared" si="48"/>
        <v>60</v>
      </c>
      <c r="T38" s="6">
        <f t="shared" si="49"/>
        <v>119.99999999999999</v>
      </c>
      <c r="U38" s="6">
        <f t="shared" si="50"/>
        <v>266.66666666666669</v>
      </c>
      <c r="V38" s="6">
        <f t="shared" si="51"/>
        <v>600</v>
      </c>
      <c r="W38" s="6">
        <f>+(H38/6000)*350000</f>
        <v>1750</v>
      </c>
      <c r="X38" s="6">
        <f t="shared" si="52"/>
        <v>966.66666666666663</v>
      </c>
      <c r="Y38" s="6">
        <f>+(H38/50000)*730000/8</f>
        <v>54.749999999999993</v>
      </c>
      <c r="Z38" s="6">
        <f t="shared" si="53"/>
        <v>1919.9999999999998</v>
      </c>
      <c r="AA38" s="6">
        <f t="shared" si="55"/>
        <v>2083.25</v>
      </c>
      <c r="AB38" s="6">
        <f t="shared" si="1"/>
        <v>13747</v>
      </c>
      <c r="AC38" s="6">
        <v>14325</v>
      </c>
      <c r="AD38" s="16">
        <v>0.1</v>
      </c>
      <c r="AE38" s="7">
        <f>SUM(J38:AD38)</f>
        <v>37997.776651445965</v>
      </c>
      <c r="AF38" s="7">
        <f t="shared" si="2"/>
        <v>341764.64024855406</v>
      </c>
      <c r="AG38" s="8">
        <f t="shared" si="3"/>
        <v>0.89994329359492253</v>
      </c>
      <c r="AH38" s="15">
        <f t="shared" si="54"/>
        <v>379762.41690000001</v>
      </c>
    </row>
    <row r="39" spans="1:34" ht="15" customHeight="1" x14ac:dyDescent="0.35">
      <c r="A39" s="14">
        <v>35</v>
      </c>
      <c r="B39" s="75" t="s">
        <v>70</v>
      </c>
      <c r="C39" s="91"/>
      <c r="D39" s="1">
        <v>1</v>
      </c>
      <c r="E39" s="24">
        <v>2564388</v>
      </c>
      <c r="F39" s="24">
        <v>1253216.4155999999</v>
      </c>
      <c r="G39" s="108">
        <f t="shared" si="5"/>
        <v>-1253216.4155999999</v>
      </c>
      <c r="H39" s="5">
        <v>150</v>
      </c>
      <c r="I39" s="5">
        <v>25</v>
      </c>
      <c r="J39" s="13">
        <v>6666.67</v>
      </c>
      <c r="K39" s="6">
        <f>(965300/365)</f>
        <v>2644.6575342465753</v>
      </c>
      <c r="L39" s="6">
        <f>(319000/365)</f>
        <v>873.97260273972597</v>
      </c>
      <c r="M39" s="6">
        <f>(7658840/365)</f>
        <v>20983.123287671231</v>
      </c>
      <c r="N39" s="6">
        <f>(2904924/365)</f>
        <v>7958.6958904109588</v>
      </c>
      <c r="O39" s="6">
        <f>(3000000/6)/365</f>
        <v>1369.8630136986301</v>
      </c>
      <c r="P39" s="6">
        <f t="shared" ref="P39:P40" si="56">(350000/365)</f>
        <v>958.90410958904113</v>
      </c>
      <c r="Q39" s="6">
        <f>(180000000-110000000)/20/365</f>
        <v>9589.0410958904104</v>
      </c>
      <c r="R39" s="6">
        <f t="shared" ref="R39:R54" si="57">+(H39/150000)*400000</f>
        <v>400</v>
      </c>
      <c r="S39" s="6">
        <f t="shared" ref="S39:S54" si="58">(400000/150000)*H39</f>
        <v>400</v>
      </c>
      <c r="T39" s="6">
        <f t="shared" ref="T39:T54" si="59">+(H39/100000)*600000</f>
        <v>900</v>
      </c>
      <c r="U39" s="6">
        <f t="shared" ref="U39:U54" si="60">+(H39/45000)*600000</f>
        <v>2000.0000000000002</v>
      </c>
      <c r="V39" s="6">
        <f t="shared" ref="V39:V54" si="61">+(H39/40000)*1000000</f>
        <v>3750</v>
      </c>
      <c r="W39" s="6">
        <f t="shared" ref="W39:W54" si="62">+(H39/6000)*600000</f>
        <v>15000</v>
      </c>
      <c r="X39" s="6">
        <f t="shared" ref="X39:X54" si="63">+(H39/90000)*3900000</f>
        <v>6500</v>
      </c>
      <c r="Y39" s="6">
        <f>+(H39/50000)*930000</f>
        <v>2790</v>
      </c>
      <c r="Z39" s="6">
        <f t="shared" ref="Z39:Z47" si="64">+(H39/50000)*5200000</f>
        <v>15600</v>
      </c>
      <c r="AA39" s="6">
        <v>26666</v>
      </c>
      <c r="AB39" s="6">
        <f t="shared" si="1"/>
        <v>82482</v>
      </c>
      <c r="AC39" s="6">
        <f>3092909/30</f>
        <v>103096.96666666666</v>
      </c>
      <c r="AD39" s="16">
        <v>0.1</v>
      </c>
      <c r="AE39" s="7">
        <f>SUM(K39:AD39)</f>
        <v>303963.32420091319</v>
      </c>
      <c r="AF39" s="7">
        <f t="shared" si="2"/>
        <v>949253.09139908676</v>
      </c>
      <c r="AG39" s="8">
        <f t="shared" si="3"/>
        <v>0.75745344505770351</v>
      </c>
      <c r="AH39" s="15">
        <f>AE39+AF39</f>
        <v>1253216.4155999999</v>
      </c>
    </row>
    <row r="40" spans="1:34" ht="15" customHeight="1" x14ac:dyDescent="0.35">
      <c r="A40" s="23">
        <v>36</v>
      </c>
      <c r="B40" s="63" t="s">
        <v>71</v>
      </c>
      <c r="C40" s="94"/>
      <c r="D40" s="1">
        <v>1</v>
      </c>
      <c r="E40" s="24">
        <v>2952932</v>
      </c>
      <c r="F40" s="24">
        <v>1443097.8684</v>
      </c>
      <c r="G40" s="108">
        <f t="shared" si="5"/>
        <v>-1443097.8684</v>
      </c>
      <c r="H40" s="5">
        <v>150</v>
      </c>
      <c r="I40" s="5">
        <v>25</v>
      </c>
      <c r="J40" s="13">
        <v>6666.67</v>
      </c>
      <c r="K40" s="6">
        <f>(965300/365)</f>
        <v>2644.6575342465753</v>
      </c>
      <c r="L40" s="6">
        <f>(319000/365)</f>
        <v>873.97260273972597</v>
      </c>
      <c r="M40" s="6">
        <f>(7658840/365)</f>
        <v>20983.123287671231</v>
      </c>
      <c r="N40" s="6">
        <f>(2904924/365)</f>
        <v>7958.6958904109588</v>
      </c>
      <c r="O40" s="6">
        <f>(3000000/6)/365</f>
        <v>1369.8630136986301</v>
      </c>
      <c r="P40" s="6">
        <f t="shared" si="56"/>
        <v>958.90410958904113</v>
      </c>
      <c r="Q40" s="6">
        <f>(220000000-110000000)/20/365</f>
        <v>15068.493150684932</v>
      </c>
      <c r="R40" s="6">
        <f t="shared" si="57"/>
        <v>400</v>
      </c>
      <c r="S40" s="6">
        <f t="shared" si="58"/>
        <v>400</v>
      </c>
      <c r="T40" s="6">
        <f t="shared" si="59"/>
        <v>900</v>
      </c>
      <c r="U40" s="6">
        <f t="shared" si="60"/>
        <v>2000.0000000000002</v>
      </c>
      <c r="V40" s="6">
        <f t="shared" si="61"/>
        <v>3750</v>
      </c>
      <c r="W40" s="6">
        <f t="shared" si="62"/>
        <v>15000</v>
      </c>
      <c r="X40" s="6">
        <f t="shared" si="63"/>
        <v>6500</v>
      </c>
      <c r="Y40" s="6">
        <f>+(H40/50000)*930000</f>
        <v>2790</v>
      </c>
      <c r="Z40" s="6">
        <f t="shared" si="64"/>
        <v>15600</v>
      </c>
      <c r="AA40" s="6">
        <v>26666</v>
      </c>
      <c r="AB40" s="6">
        <f t="shared" si="1"/>
        <v>82482</v>
      </c>
      <c r="AC40" s="6">
        <v>114600</v>
      </c>
      <c r="AD40" s="16">
        <v>0.1</v>
      </c>
      <c r="AE40" s="7">
        <f>SUM(K40:AD40)</f>
        <v>320945.80958904105</v>
      </c>
      <c r="AF40" s="7">
        <f t="shared" si="2"/>
        <v>1122152.0588109591</v>
      </c>
      <c r="AG40" s="8">
        <f t="shared" si="3"/>
        <v>0.77759941538484711</v>
      </c>
      <c r="AH40" s="15">
        <f>AE40+AF40</f>
        <v>1443097.8684</v>
      </c>
    </row>
    <row r="41" spans="1:34" ht="15" customHeight="1" x14ac:dyDescent="0.35">
      <c r="A41" s="14">
        <v>37</v>
      </c>
      <c r="B41" s="63" t="s">
        <v>72</v>
      </c>
      <c r="C41" s="94"/>
      <c r="D41" s="1">
        <v>1</v>
      </c>
      <c r="E41" s="24">
        <v>854796</v>
      </c>
      <c r="F41" s="24">
        <v>417738.8052</v>
      </c>
      <c r="G41" s="108">
        <f t="shared" si="5"/>
        <v>-417738.8052</v>
      </c>
      <c r="H41" s="5">
        <v>30</v>
      </c>
      <c r="I41" s="5">
        <v>25</v>
      </c>
      <c r="J41" s="13">
        <v>277.77999999999997</v>
      </c>
      <c r="K41" s="6">
        <f>(965300/365)/24</f>
        <v>110.19406392694064</v>
      </c>
      <c r="L41" s="6">
        <f>(319000/365)/24</f>
        <v>36.415525114155251</v>
      </c>
      <c r="M41" s="6">
        <f>(7658840/365)/24</f>
        <v>874.29680365296792</v>
      </c>
      <c r="N41" s="6">
        <f>(2904924/365)/24</f>
        <v>331.6123287671233</v>
      </c>
      <c r="O41" s="6">
        <f>(3000000/6)/1440</f>
        <v>347.22222222222223</v>
      </c>
      <c r="P41" s="6">
        <f>(350000/365)/24</f>
        <v>39.954337899543383</v>
      </c>
      <c r="Q41" s="6">
        <f>(220000000-110000000)/20/365/24</f>
        <v>627.85388127853878</v>
      </c>
      <c r="R41" s="6">
        <f t="shared" si="57"/>
        <v>80</v>
      </c>
      <c r="S41" s="6">
        <f t="shared" si="58"/>
        <v>80</v>
      </c>
      <c r="T41" s="6">
        <f t="shared" si="59"/>
        <v>179.99999999999997</v>
      </c>
      <c r="U41" s="6">
        <f t="shared" si="60"/>
        <v>400</v>
      </c>
      <c r="V41" s="6">
        <f t="shared" si="61"/>
        <v>750</v>
      </c>
      <c r="W41" s="6">
        <f t="shared" si="62"/>
        <v>3000</v>
      </c>
      <c r="X41" s="6">
        <f t="shared" si="63"/>
        <v>1300</v>
      </c>
      <c r="Y41" s="6">
        <f>+(H41/50000)*930000/8</f>
        <v>69.75</v>
      </c>
      <c r="Z41" s="6">
        <f t="shared" si="64"/>
        <v>3119.9999999999995</v>
      </c>
      <c r="AA41" s="6">
        <f>$AA$40/8</f>
        <v>3333.25</v>
      </c>
      <c r="AB41" s="6">
        <f t="shared" si="1"/>
        <v>16496.399999999998</v>
      </c>
      <c r="AC41" s="6">
        <f>(3092909/30)/8</f>
        <v>12887.120833333332</v>
      </c>
      <c r="AD41" s="16">
        <v>0.1</v>
      </c>
      <c r="AE41" s="7">
        <f>SUM(J41:AD41)</f>
        <v>44341.949996194824</v>
      </c>
      <c r="AF41" s="7">
        <f t="shared" si="2"/>
        <v>373396.8552038052</v>
      </c>
      <c r="AG41" s="8">
        <f t="shared" si="3"/>
        <v>0.8938524517133013</v>
      </c>
      <c r="AH41" s="15">
        <f t="shared" ref="AH41:AH44" si="65">AE41+AF41</f>
        <v>417738.8052</v>
      </c>
    </row>
    <row r="42" spans="1:34" ht="15" customHeight="1" x14ac:dyDescent="0.35">
      <c r="A42" s="14">
        <v>38</v>
      </c>
      <c r="B42" s="63" t="s">
        <v>73</v>
      </c>
      <c r="C42" s="94"/>
      <c r="D42" s="1">
        <v>1</v>
      </c>
      <c r="E42" s="24">
        <v>1010214</v>
      </c>
      <c r="F42" s="24">
        <v>493691.58180000004</v>
      </c>
      <c r="G42" s="108">
        <f t="shared" si="5"/>
        <v>-493691.58180000004</v>
      </c>
      <c r="H42" s="5">
        <v>30</v>
      </c>
      <c r="I42" s="5">
        <v>25</v>
      </c>
      <c r="J42" s="13">
        <v>277.77999999999997</v>
      </c>
      <c r="K42" s="6">
        <f>(965300/365)/24</f>
        <v>110.19406392694064</v>
      </c>
      <c r="L42" s="6">
        <f>(319000/365)/24</f>
        <v>36.415525114155251</v>
      </c>
      <c r="M42" s="6">
        <f>(7658840/365)/24</f>
        <v>874.29680365296792</v>
      </c>
      <c r="N42" s="6">
        <f>(2904924/365)/24</f>
        <v>331.6123287671233</v>
      </c>
      <c r="O42" s="6">
        <f>(3000000/6)/1440</f>
        <v>347.22222222222223</v>
      </c>
      <c r="P42" s="6">
        <f>(350000/365)/24</f>
        <v>39.954337899543383</v>
      </c>
      <c r="Q42" s="6">
        <f>(220000000-110000000)/20/365/24</f>
        <v>627.85388127853878</v>
      </c>
      <c r="R42" s="6">
        <f t="shared" si="57"/>
        <v>80</v>
      </c>
      <c r="S42" s="6">
        <f t="shared" si="58"/>
        <v>80</v>
      </c>
      <c r="T42" s="6">
        <f t="shared" si="59"/>
        <v>179.99999999999997</v>
      </c>
      <c r="U42" s="6">
        <f t="shared" si="60"/>
        <v>400</v>
      </c>
      <c r="V42" s="6">
        <f t="shared" si="61"/>
        <v>750</v>
      </c>
      <c r="W42" s="6">
        <f t="shared" si="62"/>
        <v>3000</v>
      </c>
      <c r="X42" s="6">
        <f t="shared" si="63"/>
        <v>1300</v>
      </c>
      <c r="Y42" s="6">
        <f>+(H42/50000)*930000/8</f>
        <v>69.75</v>
      </c>
      <c r="Z42" s="6">
        <f t="shared" si="64"/>
        <v>3119.9999999999995</v>
      </c>
      <c r="AA42" s="6">
        <f t="shared" ref="AA42:AA44" si="66">$AA$40/8</f>
        <v>3333.25</v>
      </c>
      <c r="AB42" s="6">
        <f t="shared" si="1"/>
        <v>16496.399999999998</v>
      </c>
      <c r="AC42" s="6">
        <v>14325</v>
      </c>
      <c r="AD42" s="16">
        <v>0.1</v>
      </c>
      <c r="AE42" s="7">
        <f>SUM(J42:AD42)</f>
        <v>45779.82916286149</v>
      </c>
      <c r="AF42" s="7">
        <f t="shared" si="2"/>
        <v>447911.75263713853</v>
      </c>
      <c r="AG42" s="8">
        <f t="shared" si="3"/>
        <v>0.90727038732167919</v>
      </c>
      <c r="AH42" s="15">
        <f t="shared" si="65"/>
        <v>493691.58180000004</v>
      </c>
    </row>
    <row r="43" spans="1:34" ht="15" customHeight="1" x14ac:dyDescent="0.35">
      <c r="A43" s="14">
        <v>39</v>
      </c>
      <c r="B43" s="63" t="s">
        <v>74</v>
      </c>
      <c r="C43" s="94"/>
      <c r="D43" s="1">
        <v>1</v>
      </c>
      <c r="E43" s="24">
        <v>1165631</v>
      </c>
      <c r="F43" s="24">
        <v>569643.86970000004</v>
      </c>
      <c r="G43" s="108">
        <f t="shared" si="5"/>
        <v>-569643.86970000004</v>
      </c>
      <c r="H43" s="5">
        <v>30</v>
      </c>
      <c r="I43" s="5">
        <v>25</v>
      </c>
      <c r="J43" s="13">
        <v>277.77999999999997</v>
      </c>
      <c r="K43" s="6">
        <f>(965300/365)/24</f>
        <v>110.19406392694064</v>
      </c>
      <c r="L43" s="6">
        <f>(319000/365)/24</f>
        <v>36.415525114155251</v>
      </c>
      <c r="M43" s="6">
        <f>(7658840/365)/24</f>
        <v>874.29680365296792</v>
      </c>
      <c r="N43" s="6">
        <f>(2904924/365)/24</f>
        <v>331.6123287671233</v>
      </c>
      <c r="O43" s="6">
        <f>(3000000/6)/1440</f>
        <v>347.22222222222223</v>
      </c>
      <c r="P43" s="6">
        <f>(350000/365)/24</f>
        <v>39.954337899543383</v>
      </c>
      <c r="Q43" s="6">
        <f>(220000000-110000000)/20/365/24</f>
        <v>627.85388127853878</v>
      </c>
      <c r="R43" s="6">
        <f t="shared" si="57"/>
        <v>80</v>
      </c>
      <c r="S43" s="6">
        <f t="shared" si="58"/>
        <v>80</v>
      </c>
      <c r="T43" s="6">
        <f t="shared" si="59"/>
        <v>179.99999999999997</v>
      </c>
      <c r="U43" s="6">
        <f t="shared" si="60"/>
        <v>400</v>
      </c>
      <c r="V43" s="6">
        <f t="shared" si="61"/>
        <v>750</v>
      </c>
      <c r="W43" s="6">
        <f t="shared" si="62"/>
        <v>3000</v>
      </c>
      <c r="X43" s="6">
        <f t="shared" si="63"/>
        <v>1300</v>
      </c>
      <c r="Y43" s="6">
        <f>+(H43/50000)*930000/8</f>
        <v>69.75</v>
      </c>
      <c r="Z43" s="6">
        <f t="shared" si="64"/>
        <v>3119.9999999999995</v>
      </c>
      <c r="AA43" s="6">
        <f t="shared" si="66"/>
        <v>3333.25</v>
      </c>
      <c r="AB43" s="6">
        <f t="shared" si="1"/>
        <v>16496.399999999998</v>
      </c>
      <c r="AC43" s="6">
        <f>(3092909/30)/8</f>
        <v>12887.120833333332</v>
      </c>
      <c r="AD43" s="16">
        <v>0.1</v>
      </c>
      <c r="AE43" s="7">
        <f>SUM(J43:AD43)</f>
        <v>44341.949996194824</v>
      </c>
      <c r="AF43" s="7">
        <f t="shared" si="2"/>
        <v>525301.91970380524</v>
      </c>
      <c r="AG43" s="8">
        <f t="shared" si="3"/>
        <v>0.92215847066071777</v>
      </c>
      <c r="AH43" s="15">
        <f t="shared" si="65"/>
        <v>569643.86970000004</v>
      </c>
    </row>
    <row r="44" spans="1:34" ht="15.75" customHeight="1" thickBot="1" x14ac:dyDescent="0.4">
      <c r="A44" s="23">
        <v>40</v>
      </c>
      <c r="B44" s="65" t="s">
        <v>75</v>
      </c>
      <c r="C44" s="96"/>
      <c r="D44" s="1">
        <v>1</v>
      </c>
      <c r="E44" s="24">
        <v>1321048</v>
      </c>
      <c r="F44" s="24">
        <v>645596.15760000004</v>
      </c>
      <c r="G44" s="108">
        <f t="shared" si="5"/>
        <v>-645596.15760000004</v>
      </c>
      <c r="H44" s="5">
        <v>30</v>
      </c>
      <c r="I44" s="5">
        <v>25</v>
      </c>
      <c r="J44" s="13">
        <v>277.77999999999997</v>
      </c>
      <c r="K44" s="6">
        <f>(965300/365)/24</f>
        <v>110.19406392694064</v>
      </c>
      <c r="L44" s="6">
        <f>(319000/365)/24</f>
        <v>36.415525114155251</v>
      </c>
      <c r="M44" s="6">
        <f>(7658840/365)/24</f>
        <v>874.29680365296792</v>
      </c>
      <c r="N44" s="6">
        <f>(2904924/365)/24</f>
        <v>331.6123287671233</v>
      </c>
      <c r="O44" s="6">
        <f>(3000000/6)/1440</f>
        <v>347.22222222222223</v>
      </c>
      <c r="P44" s="6">
        <f>(350000/365)/24</f>
        <v>39.954337899543383</v>
      </c>
      <c r="Q44" s="6">
        <f>(220000000-110000000)/20/365/24</f>
        <v>627.85388127853878</v>
      </c>
      <c r="R44" s="6">
        <f t="shared" si="57"/>
        <v>80</v>
      </c>
      <c r="S44" s="6">
        <f t="shared" si="58"/>
        <v>80</v>
      </c>
      <c r="T44" s="6">
        <f t="shared" si="59"/>
        <v>179.99999999999997</v>
      </c>
      <c r="U44" s="6">
        <f t="shared" si="60"/>
        <v>400</v>
      </c>
      <c r="V44" s="6">
        <f t="shared" si="61"/>
        <v>750</v>
      </c>
      <c r="W44" s="6">
        <f t="shared" si="62"/>
        <v>3000</v>
      </c>
      <c r="X44" s="6">
        <f t="shared" si="63"/>
        <v>1300</v>
      </c>
      <c r="Y44" s="6">
        <f>+(H44/50000)*930000/8</f>
        <v>69.75</v>
      </c>
      <c r="Z44" s="6">
        <f t="shared" si="64"/>
        <v>3119.9999999999995</v>
      </c>
      <c r="AA44" s="6">
        <f t="shared" si="66"/>
        <v>3333.25</v>
      </c>
      <c r="AB44" s="6">
        <f t="shared" si="1"/>
        <v>16496.399999999998</v>
      </c>
      <c r="AC44" s="6">
        <v>14325</v>
      </c>
      <c r="AD44" s="16">
        <v>0.1</v>
      </c>
      <c r="AE44" s="7">
        <f>SUM(J44:AD44)</f>
        <v>45779.82916286149</v>
      </c>
      <c r="AF44" s="7">
        <f t="shared" si="2"/>
        <v>599816.32843713858</v>
      </c>
      <c r="AG44" s="8">
        <f t="shared" si="3"/>
        <v>0.92908906190977392</v>
      </c>
      <c r="AH44" s="15">
        <f t="shared" si="65"/>
        <v>645596.15760000004</v>
      </c>
    </row>
    <row r="45" spans="1:34" ht="15" customHeight="1" x14ac:dyDescent="0.35">
      <c r="A45" s="14">
        <v>41</v>
      </c>
      <c r="B45" s="67" t="s">
        <v>76</v>
      </c>
      <c r="C45" s="97"/>
      <c r="D45" s="1">
        <v>1</v>
      </c>
      <c r="E45" s="24">
        <v>3108349</v>
      </c>
      <c r="F45" s="24">
        <v>1519050.1563000001</v>
      </c>
      <c r="G45" s="108">
        <f t="shared" si="5"/>
        <v>-1519050.1563000001</v>
      </c>
      <c r="H45" s="5">
        <v>150</v>
      </c>
      <c r="I45" s="5">
        <v>25</v>
      </c>
      <c r="J45" s="13">
        <v>6666.67</v>
      </c>
      <c r="K45" s="6">
        <f>(965300/365)</f>
        <v>2644.6575342465753</v>
      </c>
      <c r="L45" s="6">
        <f>(319000/365)</f>
        <v>873.97260273972597</v>
      </c>
      <c r="M45" s="6">
        <f>(7658840/365)</f>
        <v>20983.123287671231</v>
      </c>
      <c r="N45" s="6">
        <f>(2904924/365)</f>
        <v>7958.6958904109588</v>
      </c>
      <c r="O45" s="6">
        <f>(3000000/6)/365</f>
        <v>1369.8630136986301</v>
      </c>
      <c r="P45" s="6">
        <f t="shared" ref="P45" si="67">(350000/365)</f>
        <v>958.90410958904113</v>
      </c>
      <c r="Q45" s="6">
        <f>(220000000-110000000)/20/365</f>
        <v>15068.493150684932</v>
      </c>
      <c r="R45" s="6">
        <f t="shared" si="57"/>
        <v>400</v>
      </c>
      <c r="S45" s="6">
        <f t="shared" si="58"/>
        <v>400</v>
      </c>
      <c r="T45" s="6">
        <f t="shared" si="59"/>
        <v>900</v>
      </c>
      <c r="U45" s="6">
        <f t="shared" si="60"/>
        <v>2000.0000000000002</v>
      </c>
      <c r="V45" s="6">
        <f t="shared" si="61"/>
        <v>3750</v>
      </c>
      <c r="W45" s="6">
        <f t="shared" si="62"/>
        <v>15000</v>
      </c>
      <c r="X45" s="6">
        <f t="shared" si="63"/>
        <v>6500</v>
      </c>
      <c r="Y45" s="6">
        <f>+(H45/50000)*930000</f>
        <v>2790</v>
      </c>
      <c r="Z45" s="6">
        <f t="shared" si="64"/>
        <v>15600</v>
      </c>
      <c r="AA45" s="6">
        <v>33333</v>
      </c>
      <c r="AB45" s="6">
        <f t="shared" si="1"/>
        <v>82482</v>
      </c>
      <c r="AC45" s="6">
        <f>3092909/30</f>
        <v>103096.96666666666</v>
      </c>
      <c r="AD45" s="16">
        <v>0.1</v>
      </c>
      <c r="AE45" s="7">
        <f>SUM(K45:AD45)</f>
        <v>316109.77625570772</v>
      </c>
      <c r="AF45" s="7">
        <f t="shared" si="2"/>
        <v>1202940.3800442924</v>
      </c>
      <c r="AG45" s="8">
        <f t="shared" si="3"/>
        <v>0.79190300271212466</v>
      </c>
      <c r="AH45" s="15">
        <f>AE45+AF45</f>
        <v>1519050.1563000001</v>
      </c>
    </row>
    <row r="46" spans="1:34" ht="15" customHeight="1" x14ac:dyDescent="0.35">
      <c r="A46" s="14">
        <v>42</v>
      </c>
      <c r="B46" s="56" t="s">
        <v>77</v>
      </c>
      <c r="C46" s="95"/>
      <c r="D46" s="1">
        <v>1</v>
      </c>
      <c r="E46" s="25">
        <v>839254</v>
      </c>
      <c r="F46" s="25">
        <v>410143.42980000004</v>
      </c>
      <c r="G46" s="108">
        <f t="shared" si="5"/>
        <v>-410143.42980000004</v>
      </c>
      <c r="H46" s="5">
        <v>30</v>
      </c>
      <c r="I46" s="5">
        <v>25</v>
      </c>
      <c r="J46" s="13">
        <v>277.77999999999997</v>
      </c>
      <c r="K46" s="6">
        <f>(965300/365)/24</f>
        <v>110.19406392694064</v>
      </c>
      <c r="L46" s="6">
        <f>(319000/365)/24</f>
        <v>36.415525114155251</v>
      </c>
      <c r="M46" s="6">
        <f>(7658840/365)/24</f>
        <v>874.29680365296792</v>
      </c>
      <c r="N46" s="6">
        <f>(2904924/365)/24</f>
        <v>331.6123287671233</v>
      </c>
      <c r="O46" s="6">
        <f>(3000000/6)/1440</f>
        <v>347.22222222222223</v>
      </c>
      <c r="P46" s="6">
        <f>(350000/365)/24</f>
        <v>39.954337899543383</v>
      </c>
      <c r="Q46" s="6">
        <f>(220000000-110000000)/20/365/24</f>
        <v>627.85388127853878</v>
      </c>
      <c r="R46" s="6">
        <f t="shared" si="57"/>
        <v>80</v>
      </c>
      <c r="S46" s="6">
        <f t="shared" si="58"/>
        <v>80</v>
      </c>
      <c r="T46" s="6">
        <f t="shared" si="59"/>
        <v>179.99999999999997</v>
      </c>
      <c r="U46" s="6">
        <f t="shared" si="60"/>
        <v>400</v>
      </c>
      <c r="V46" s="6">
        <f t="shared" si="61"/>
        <v>750</v>
      </c>
      <c r="W46" s="6">
        <f t="shared" si="62"/>
        <v>3000</v>
      </c>
      <c r="X46" s="6">
        <f t="shared" si="63"/>
        <v>1300</v>
      </c>
      <c r="Y46" s="6">
        <f>+(H46/50000)*930000/8</f>
        <v>69.75</v>
      </c>
      <c r="Z46" s="6">
        <f t="shared" si="64"/>
        <v>3119.9999999999995</v>
      </c>
      <c r="AA46" s="6">
        <f>AA45/8</f>
        <v>4166.625</v>
      </c>
      <c r="AB46" s="6">
        <f t="shared" si="1"/>
        <v>16496.399999999998</v>
      </c>
      <c r="AC46" s="6">
        <f>(3092909/30)/8</f>
        <v>12887.120833333332</v>
      </c>
      <c r="AD46" s="16">
        <v>0.1</v>
      </c>
      <c r="AE46" s="7">
        <f>SUM(J46:AD46)</f>
        <v>45175.324996194824</v>
      </c>
      <c r="AF46" s="7">
        <f t="shared" si="2"/>
        <v>364968.10480380524</v>
      </c>
      <c r="AG46" s="8">
        <f t="shared" si="3"/>
        <v>0.88985481245372178</v>
      </c>
      <c r="AH46" s="15">
        <f t="shared" ref="AH46" si="68">AE46+AF46</f>
        <v>410143.42980000004</v>
      </c>
    </row>
    <row r="47" spans="1:34" ht="15" customHeight="1" x14ac:dyDescent="0.35">
      <c r="A47" s="14">
        <v>43</v>
      </c>
      <c r="B47" s="63" t="s">
        <v>78</v>
      </c>
      <c r="C47" s="94"/>
      <c r="D47" s="1">
        <v>1</v>
      </c>
      <c r="E47" s="24">
        <v>4662524</v>
      </c>
      <c r="F47" s="24">
        <v>2278575.4788000002</v>
      </c>
      <c r="G47" s="108">
        <f t="shared" si="5"/>
        <v>-2278575.4788000002</v>
      </c>
      <c r="H47" s="5">
        <v>150</v>
      </c>
      <c r="I47" s="5">
        <v>25</v>
      </c>
      <c r="J47" s="13">
        <v>6666.67</v>
      </c>
      <c r="K47" s="6">
        <f>(965300/365)</f>
        <v>2644.6575342465753</v>
      </c>
      <c r="L47" s="6">
        <f>(319000/365)</f>
        <v>873.97260273972597</v>
      </c>
      <c r="M47" s="6">
        <f>(7658840/365)</f>
        <v>20983.123287671231</v>
      </c>
      <c r="N47" s="6">
        <f>(2904924/365)</f>
        <v>7958.6958904109588</v>
      </c>
      <c r="O47" s="6">
        <f>(3000000/6)/365</f>
        <v>1369.8630136986301</v>
      </c>
      <c r="P47" s="6">
        <f t="shared" ref="P47" si="69">(350000/365)</f>
        <v>958.90410958904113</v>
      </c>
      <c r="Q47" s="6">
        <f>(220000000-110000000)/20/365</f>
        <v>15068.493150684932</v>
      </c>
      <c r="R47" s="6">
        <f t="shared" si="57"/>
        <v>400</v>
      </c>
      <c r="S47" s="6">
        <f t="shared" si="58"/>
        <v>400</v>
      </c>
      <c r="T47" s="6">
        <f t="shared" si="59"/>
        <v>900</v>
      </c>
      <c r="U47" s="6">
        <f t="shared" si="60"/>
        <v>2000.0000000000002</v>
      </c>
      <c r="V47" s="6">
        <f t="shared" si="61"/>
        <v>3750</v>
      </c>
      <c r="W47" s="6">
        <f t="shared" si="62"/>
        <v>15000</v>
      </c>
      <c r="X47" s="6">
        <f t="shared" si="63"/>
        <v>6500</v>
      </c>
      <c r="Y47" s="6">
        <f>+(H47/50000)*930000</f>
        <v>2790</v>
      </c>
      <c r="Z47" s="6">
        <f t="shared" si="64"/>
        <v>15600</v>
      </c>
      <c r="AA47" s="6">
        <v>33333</v>
      </c>
      <c r="AB47" s="6">
        <f t="shared" si="1"/>
        <v>82482</v>
      </c>
      <c r="AC47" s="6">
        <f>3092909/30</f>
        <v>103096.96666666666</v>
      </c>
      <c r="AD47" s="16">
        <v>0.1</v>
      </c>
      <c r="AE47" s="7">
        <f>SUM(K47:AD47)</f>
        <v>316109.77625570772</v>
      </c>
      <c r="AF47" s="7">
        <f t="shared" si="2"/>
        <v>1962465.7025442924</v>
      </c>
      <c r="AG47" s="8">
        <f t="shared" si="3"/>
        <v>0.86126868335202778</v>
      </c>
      <c r="AH47" s="15">
        <f>AE47+AF47</f>
        <v>2278575.4788000002</v>
      </c>
    </row>
    <row r="48" spans="1:34" ht="15" customHeight="1" x14ac:dyDescent="0.35">
      <c r="A48" s="23">
        <v>44</v>
      </c>
      <c r="B48" s="63" t="s">
        <v>79</v>
      </c>
      <c r="C48" s="94"/>
      <c r="D48" s="1">
        <v>1</v>
      </c>
      <c r="E48" s="24">
        <v>1243340</v>
      </c>
      <c r="F48" s="24">
        <v>607620.25800000003</v>
      </c>
      <c r="G48" s="108">
        <f t="shared" si="5"/>
        <v>-607620.25800000003</v>
      </c>
      <c r="H48" s="5">
        <v>30</v>
      </c>
      <c r="I48" s="5">
        <v>25</v>
      </c>
      <c r="J48" s="13">
        <v>277.77999999999997</v>
      </c>
      <c r="K48" s="6">
        <f>(965300/365)/24</f>
        <v>110.19406392694064</v>
      </c>
      <c r="L48" s="6">
        <f>(319000/365)/24</f>
        <v>36.415525114155251</v>
      </c>
      <c r="M48" s="6">
        <f>(7658840/365)/24</f>
        <v>874.29680365296792</v>
      </c>
      <c r="N48" s="6">
        <f>(2904924/365)/24</f>
        <v>331.6123287671233</v>
      </c>
      <c r="O48" s="6">
        <f>(3000000/6)/1440</f>
        <v>347.22222222222223</v>
      </c>
      <c r="P48" s="6">
        <f>(350000/365)/24</f>
        <v>39.954337899543383</v>
      </c>
      <c r="Q48" s="6">
        <f>(220000000-110000000)/20/365/24</f>
        <v>627.85388127853878</v>
      </c>
      <c r="R48" s="6">
        <f t="shared" si="57"/>
        <v>80</v>
      </c>
      <c r="S48" s="6">
        <f t="shared" si="58"/>
        <v>80</v>
      </c>
      <c r="T48" s="6">
        <f t="shared" si="59"/>
        <v>179.99999999999997</v>
      </c>
      <c r="U48" s="6">
        <f t="shared" si="60"/>
        <v>400</v>
      </c>
      <c r="V48" s="6">
        <f t="shared" si="61"/>
        <v>750</v>
      </c>
      <c r="W48" s="6">
        <f t="shared" si="62"/>
        <v>3000</v>
      </c>
      <c r="X48" s="6">
        <f t="shared" si="63"/>
        <v>1300</v>
      </c>
      <c r="Y48" s="6">
        <f>+(H48/50000)*930000/8</f>
        <v>69.75</v>
      </c>
      <c r="Z48" s="6">
        <f>+(H48/50000)*4200000</f>
        <v>2520</v>
      </c>
      <c r="AA48" s="6">
        <f>AA47/8</f>
        <v>4166.625</v>
      </c>
      <c r="AB48" s="6">
        <f t="shared" si="1"/>
        <v>16496.399999999998</v>
      </c>
      <c r="AC48" s="6">
        <f>(3092909/30)/8</f>
        <v>12887.120833333332</v>
      </c>
      <c r="AD48" s="16">
        <v>0.1</v>
      </c>
      <c r="AE48" s="7">
        <f>SUM(J48:AD48)</f>
        <v>44575.324996194824</v>
      </c>
      <c r="AF48" s="7">
        <f t="shared" si="2"/>
        <v>563044.93300380523</v>
      </c>
      <c r="AG48" s="8">
        <f t="shared" si="3"/>
        <v>0.92663950154835883</v>
      </c>
      <c r="AH48" s="15">
        <f t="shared" ref="AH48" si="70">AE48+AF48</f>
        <v>607620.25800000003</v>
      </c>
    </row>
    <row r="49" spans="1:34" ht="15" customHeight="1" x14ac:dyDescent="0.35">
      <c r="A49" s="14">
        <v>45</v>
      </c>
      <c r="B49" s="56" t="s">
        <v>80</v>
      </c>
      <c r="C49" s="95"/>
      <c r="D49" s="1">
        <v>1</v>
      </c>
      <c r="E49" s="24">
        <v>5439611</v>
      </c>
      <c r="F49" s="24">
        <v>2658337.8957000002</v>
      </c>
      <c r="G49" s="108">
        <f t="shared" si="5"/>
        <v>-2658337.8957000002</v>
      </c>
      <c r="H49" s="5">
        <v>150</v>
      </c>
      <c r="I49" s="5">
        <v>25</v>
      </c>
      <c r="J49" s="13">
        <v>6666.67</v>
      </c>
      <c r="K49" s="6">
        <f>(965300/365)</f>
        <v>2644.6575342465753</v>
      </c>
      <c r="L49" s="6">
        <f>(319000/365)</f>
        <v>873.97260273972597</v>
      </c>
      <c r="M49" s="6">
        <f>(7658840/365)</f>
        <v>20983.123287671231</v>
      </c>
      <c r="N49" s="6">
        <f>(2904924/365)</f>
        <v>7958.6958904109588</v>
      </c>
      <c r="O49" s="6">
        <f>(3000000/6)/365</f>
        <v>1369.8630136986301</v>
      </c>
      <c r="P49" s="6">
        <f t="shared" ref="P49" si="71">(350000/365)</f>
        <v>958.90410958904113</v>
      </c>
      <c r="Q49" s="6">
        <f>(220000000-110000000)/20/365</f>
        <v>15068.493150684932</v>
      </c>
      <c r="R49" s="6">
        <f t="shared" si="57"/>
        <v>400</v>
      </c>
      <c r="S49" s="6">
        <f t="shared" si="58"/>
        <v>400</v>
      </c>
      <c r="T49" s="6">
        <f t="shared" si="59"/>
        <v>900</v>
      </c>
      <c r="U49" s="6">
        <f t="shared" si="60"/>
        <v>2000.0000000000002</v>
      </c>
      <c r="V49" s="6">
        <f t="shared" si="61"/>
        <v>3750</v>
      </c>
      <c r="W49" s="6">
        <f t="shared" si="62"/>
        <v>15000</v>
      </c>
      <c r="X49" s="6">
        <f t="shared" si="63"/>
        <v>6500</v>
      </c>
      <c r="Y49" s="6">
        <f>+(H49/50000)*930000</f>
        <v>2790</v>
      </c>
      <c r="Z49" s="6">
        <f t="shared" ref="Z49:Z54" si="72">+(H49/50000)*5200000</f>
        <v>15600</v>
      </c>
      <c r="AA49" s="6">
        <v>33333</v>
      </c>
      <c r="AB49" s="6">
        <f t="shared" si="1"/>
        <v>82482</v>
      </c>
      <c r="AC49" s="6">
        <f>3092909/30</f>
        <v>103096.96666666666</v>
      </c>
      <c r="AD49" s="16">
        <v>0.1</v>
      </c>
      <c r="AE49" s="7">
        <f>SUM(K49:AD49)</f>
        <v>316109.77625570772</v>
      </c>
      <c r="AF49" s="7">
        <f t="shared" si="2"/>
        <v>2342228.1194442925</v>
      </c>
      <c r="AG49" s="8">
        <f t="shared" si="3"/>
        <v>0.88108743558633695</v>
      </c>
      <c r="AH49" s="15">
        <f>AE49+AF49</f>
        <v>2658337.8957000002</v>
      </c>
    </row>
    <row r="50" spans="1:34" ht="15" customHeight="1" x14ac:dyDescent="0.35">
      <c r="A50" s="14">
        <v>46</v>
      </c>
      <c r="B50" s="56" t="s">
        <v>81</v>
      </c>
      <c r="C50" s="95"/>
      <c r="D50" s="1">
        <v>1</v>
      </c>
      <c r="E50" s="24">
        <v>1554175</v>
      </c>
      <c r="F50" s="24">
        <v>759525.32250000001</v>
      </c>
      <c r="G50" s="108">
        <f t="shared" si="5"/>
        <v>-759525.32250000001</v>
      </c>
      <c r="H50" s="5">
        <v>30</v>
      </c>
      <c r="I50" s="5">
        <v>25</v>
      </c>
      <c r="J50" s="13">
        <v>277.77999999999997</v>
      </c>
      <c r="K50" s="6">
        <f>(965300/365)/24</f>
        <v>110.19406392694064</v>
      </c>
      <c r="L50" s="6">
        <f>(319000/365)/24</f>
        <v>36.415525114155251</v>
      </c>
      <c r="M50" s="6">
        <f>(7658840/365)/24</f>
        <v>874.29680365296792</v>
      </c>
      <c r="N50" s="6">
        <f>(2904924/365)/24</f>
        <v>331.6123287671233</v>
      </c>
      <c r="O50" s="6">
        <f>(3000000/6)/1440</f>
        <v>347.22222222222223</v>
      </c>
      <c r="P50" s="6">
        <f>(350000/365)/24</f>
        <v>39.954337899543383</v>
      </c>
      <c r="Q50" s="6">
        <f>(220000000-110000000)/20/365/24</f>
        <v>627.85388127853878</v>
      </c>
      <c r="R50" s="6">
        <f t="shared" si="57"/>
        <v>80</v>
      </c>
      <c r="S50" s="6">
        <f t="shared" si="58"/>
        <v>80</v>
      </c>
      <c r="T50" s="6">
        <f t="shared" si="59"/>
        <v>179.99999999999997</v>
      </c>
      <c r="U50" s="6">
        <f t="shared" si="60"/>
        <v>400</v>
      </c>
      <c r="V50" s="6">
        <f t="shared" si="61"/>
        <v>750</v>
      </c>
      <c r="W50" s="6">
        <f t="shared" si="62"/>
        <v>3000</v>
      </c>
      <c r="X50" s="6">
        <f t="shared" si="63"/>
        <v>1300</v>
      </c>
      <c r="Y50" s="6">
        <f>+(H50/50000)*930000/8</f>
        <v>69.75</v>
      </c>
      <c r="Z50" s="6">
        <f t="shared" si="72"/>
        <v>3119.9999999999995</v>
      </c>
      <c r="AA50" s="6">
        <f>AA49/8</f>
        <v>4166.625</v>
      </c>
      <c r="AB50" s="6">
        <f t="shared" si="1"/>
        <v>16496.399999999998</v>
      </c>
      <c r="AC50" s="6">
        <f>(3092909/30)/8</f>
        <v>12887.120833333332</v>
      </c>
      <c r="AD50" s="16">
        <v>0.1</v>
      </c>
      <c r="AE50" s="7">
        <f>SUM(J50:AD50)</f>
        <v>45175.324996194824</v>
      </c>
      <c r="AF50" s="7">
        <f t="shared" si="2"/>
        <v>714349.99750380521</v>
      </c>
      <c r="AG50" s="8">
        <f t="shared" si="3"/>
        <v>0.94052163416026879</v>
      </c>
      <c r="AH50" s="15">
        <f t="shared" ref="AH50" si="73">AE50+AF50</f>
        <v>759525.32250000001</v>
      </c>
    </row>
    <row r="51" spans="1:34" ht="15" customHeight="1" x14ac:dyDescent="0.35">
      <c r="A51" s="14">
        <v>47</v>
      </c>
      <c r="B51" s="63" t="s">
        <v>82</v>
      </c>
      <c r="C51" s="94"/>
      <c r="D51" s="1">
        <v>1</v>
      </c>
      <c r="E51" s="24">
        <v>6216699</v>
      </c>
      <c r="F51" s="24">
        <v>3038100.8012999999</v>
      </c>
      <c r="G51" s="108">
        <f t="shared" si="5"/>
        <v>-3038100.8012999999</v>
      </c>
      <c r="H51" s="5">
        <v>150</v>
      </c>
      <c r="I51" s="5">
        <v>25</v>
      </c>
      <c r="J51" s="13">
        <v>6666.67</v>
      </c>
      <c r="K51" s="6">
        <f>(965300/365)</f>
        <v>2644.6575342465753</v>
      </c>
      <c r="L51" s="6">
        <f>(319000/365)</f>
        <v>873.97260273972597</v>
      </c>
      <c r="M51" s="6">
        <f>(7658840/365)</f>
        <v>20983.123287671231</v>
      </c>
      <c r="N51" s="6">
        <f>(2904924/365)</f>
        <v>7958.6958904109588</v>
      </c>
      <c r="O51" s="6">
        <f>(3000000/6)/365</f>
        <v>1369.8630136986301</v>
      </c>
      <c r="P51" s="6">
        <f t="shared" ref="P51" si="74">(350000/365)</f>
        <v>958.90410958904113</v>
      </c>
      <c r="Q51" s="6">
        <f>(220000000-110000000)/20/365</f>
        <v>15068.493150684932</v>
      </c>
      <c r="R51" s="6">
        <f t="shared" si="57"/>
        <v>400</v>
      </c>
      <c r="S51" s="6">
        <f t="shared" si="58"/>
        <v>400</v>
      </c>
      <c r="T51" s="6">
        <f t="shared" si="59"/>
        <v>900</v>
      </c>
      <c r="U51" s="6">
        <f t="shared" si="60"/>
        <v>2000.0000000000002</v>
      </c>
      <c r="V51" s="6">
        <f t="shared" si="61"/>
        <v>3750</v>
      </c>
      <c r="W51" s="6">
        <f t="shared" si="62"/>
        <v>15000</v>
      </c>
      <c r="X51" s="6">
        <f t="shared" si="63"/>
        <v>6500</v>
      </c>
      <c r="Y51" s="6">
        <f>+(H51/50000)*930000</f>
        <v>2790</v>
      </c>
      <c r="Z51" s="6">
        <f t="shared" si="72"/>
        <v>15600</v>
      </c>
      <c r="AA51" s="6">
        <v>33333</v>
      </c>
      <c r="AB51" s="6">
        <f t="shared" si="1"/>
        <v>82482</v>
      </c>
      <c r="AC51" s="6">
        <f>3092909/30</f>
        <v>103096.96666666666</v>
      </c>
      <c r="AD51" s="16">
        <v>0.1</v>
      </c>
      <c r="AE51" s="7">
        <f>SUM(K51:AD51)</f>
        <v>316109.77625570772</v>
      </c>
      <c r="AF51" s="7">
        <f t="shared" si="2"/>
        <v>2721991.0250442922</v>
      </c>
      <c r="AG51" s="8">
        <f t="shared" si="3"/>
        <v>0.89595151809299922</v>
      </c>
      <c r="AH51" s="15">
        <f>AE51+AF51</f>
        <v>3038100.8012999999</v>
      </c>
    </row>
    <row r="52" spans="1:34" ht="15" customHeight="1" x14ac:dyDescent="0.35">
      <c r="A52" s="23">
        <v>48</v>
      </c>
      <c r="B52" s="63" t="s">
        <v>83</v>
      </c>
      <c r="C52" s="94"/>
      <c r="D52" s="1">
        <v>1</v>
      </c>
      <c r="E52" s="24">
        <v>1709592</v>
      </c>
      <c r="F52" s="24">
        <v>835477.61040000001</v>
      </c>
      <c r="G52" s="108">
        <f t="shared" si="5"/>
        <v>-835477.61040000001</v>
      </c>
      <c r="H52" s="5">
        <v>30</v>
      </c>
      <c r="I52" s="5">
        <v>25</v>
      </c>
      <c r="J52" s="13">
        <v>277.77999999999997</v>
      </c>
      <c r="K52" s="6">
        <f>(965300/365)/24</f>
        <v>110.19406392694064</v>
      </c>
      <c r="L52" s="6">
        <f>(319000/365)/24</f>
        <v>36.415525114155251</v>
      </c>
      <c r="M52" s="6">
        <f>(7658840/365)/24</f>
        <v>874.29680365296792</v>
      </c>
      <c r="N52" s="6">
        <f>(2904924/365)/24</f>
        <v>331.6123287671233</v>
      </c>
      <c r="O52" s="6">
        <f>(3000000/6)/1440</f>
        <v>347.22222222222223</v>
      </c>
      <c r="P52" s="6">
        <f>(350000/365)/24</f>
        <v>39.954337899543383</v>
      </c>
      <c r="Q52" s="6">
        <f>(220000000-110000000)/20/365/24</f>
        <v>627.85388127853878</v>
      </c>
      <c r="R52" s="6">
        <f t="shared" si="57"/>
        <v>80</v>
      </c>
      <c r="S52" s="6">
        <f t="shared" si="58"/>
        <v>80</v>
      </c>
      <c r="T52" s="6">
        <f t="shared" si="59"/>
        <v>179.99999999999997</v>
      </c>
      <c r="U52" s="6">
        <f t="shared" si="60"/>
        <v>400</v>
      </c>
      <c r="V52" s="6">
        <f t="shared" si="61"/>
        <v>750</v>
      </c>
      <c r="W52" s="6">
        <f t="shared" si="62"/>
        <v>3000</v>
      </c>
      <c r="X52" s="6">
        <f t="shared" si="63"/>
        <v>1300</v>
      </c>
      <c r="Y52" s="6">
        <f>+(H52/50000)*930000/8</f>
        <v>69.75</v>
      </c>
      <c r="Z52" s="6">
        <f t="shared" si="72"/>
        <v>3119.9999999999995</v>
      </c>
      <c r="AA52" s="6">
        <f>AA51/8</f>
        <v>4166.625</v>
      </c>
      <c r="AB52" s="6">
        <f t="shared" si="1"/>
        <v>16496.399999999998</v>
      </c>
      <c r="AC52" s="6">
        <f>(3092909/30)/8</f>
        <v>12887.120833333332</v>
      </c>
      <c r="AD52" s="16">
        <v>0.1</v>
      </c>
      <c r="AE52" s="7">
        <f>SUM(J52:AD52)</f>
        <v>45175.324996194824</v>
      </c>
      <c r="AF52" s="7">
        <f t="shared" si="2"/>
        <v>790302.2854038052</v>
      </c>
      <c r="AG52" s="8">
        <f t="shared" si="3"/>
        <v>0.94592874251343939</v>
      </c>
      <c r="AH52" s="15">
        <f t="shared" ref="AH52" si="75">AE52+AF52</f>
        <v>835477.61040000001</v>
      </c>
    </row>
    <row r="53" spans="1:34" ht="15" customHeight="1" x14ac:dyDescent="0.35">
      <c r="A53" s="14">
        <v>49</v>
      </c>
      <c r="B53" s="56" t="s">
        <v>84</v>
      </c>
      <c r="C53" s="95"/>
      <c r="D53" s="1">
        <v>1</v>
      </c>
      <c r="E53" s="24">
        <v>4662524</v>
      </c>
      <c r="F53" s="24">
        <v>2278575.4788000002</v>
      </c>
      <c r="G53" s="108">
        <f t="shared" si="5"/>
        <v>-2278575.4788000002</v>
      </c>
      <c r="H53" s="5">
        <v>150</v>
      </c>
      <c r="I53" s="5">
        <v>25</v>
      </c>
      <c r="J53" s="13">
        <v>6666.67</v>
      </c>
      <c r="K53" s="6">
        <f>(965300/365)</f>
        <v>2644.6575342465753</v>
      </c>
      <c r="L53" s="6">
        <f>(319000/365)</f>
        <v>873.97260273972597</v>
      </c>
      <c r="M53" s="6">
        <f>(7658840/365)</f>
        <v>20983.123287671231</v>
      </c>
      <c r="N53" s="6">
        <f>(2904924/365)</f>
        <v>7958.6958904109588</v>
      </c>
      <c r="O53" s="6">
        <f>(3000000/6)/365</f>
        <v>1369.8630136986301</v>
      </c>
      <c r="P53" s="6">
        <f t="shared" ref="P53" si="76">(350000/365)</f>
        <v>958.90410958904113</v>
      </c>
      <c r="Q53" s="6">
        <f>(220000000-110000000)/20/365</f>
        <v>15068.493150684932</v>
      </c>
      <c r="R53" s="6">
        <f t="shared" si="57"/>
        <v>400</v>
      </c>
      <c r="S53" s="6">
        <f t="shared" si="58"/>
        <v>400</v>
      </c>
      <c r="T53" s="6">
        <f t="shared" si="59"/>
        <v>900</v>
      </c>
      <c r="U53" s="6">
        <f t="shared" si="60"/>
        <v>2000.0000000000002</v>
      </c>
      <c r="V53" s="6">
        <f t="shared" si="61"/>
        <v>3750</v>
      </c>
      <c r="W53" s="6">
        <f t="shared" si="62"/>
        <v>15000</v>
      </c>
      <c r="X53" s="6">
        <f t="shared" si="63"/>
        <v>6500</v>
      </c>
      <c r="Y53" s="6">
        <f>+(H53/50000)*930000</f>
        <v>2790</v>
      </c>
      <c r="Z53" s="6">
        <f t="shared" si="72"/>
        <v>15600</v>
      </c>
      <c r="AA53" s="6">
        <v>33333</v>
      </c>
      <c r="AB53" s="6">
        <f t="shared" si="1"/>
        <v>82482</v>
      </c>
      <c r="AC53" s="6">
        <f>3092909/30</f>
        <v>103096.96666666666</v>
      </c>
      <c r="AD53" s="16">
        <v>0.1</v>
      </c>
      <c r="AE53" s="7">
        <f>SUM(K53:AD53)</f>
        <v>316109.77625570772</v>
      </c>
      <c r="AF53" s="7">
        <f t="shared" si="2"/>
        <v>1962465.7025442924</v>
      </c>
      <c r="AG53" s="8">
        <f t="shared" si="3"/>
        <v>0.86126868335202778</v>
      </c>
      <c r="AH53" s="15">
        <f>AE53+AF53</f>
        <v>2278575.4788000002</v>
      </c>
    </row>
    <row r="54" spans="1:34" ht="15.75" customHeight="1" thickBot="1" x14ac:dyDescent="0.4">
      <c r="A54" s="14">
        <v>50</v>
      </c>
      <c r="B54" s="58" t="s">
        <v>85</v>
      </c>
      <c r="C54" s="92"/>
      <c r="D54" s="1">
        <v>1</v>
      </c>
      <c r="E54" s="24">
        <v>1243340</v>
      </c>
      <c r="F54" s="24">
        <v>607620.25800000003</v>
      </c>
      <c r="G54" s="108">
        <f t="shared" si="5"/>
        <v>-607620.25800000003</v>
      </c>
      <c r="H54" s="5">
        <v>30</v>
      </c>
      <c r="I54" s="5">
        <v>25</v>
      </c>
      <c r="J54" s="13">
        <v>277.77999999999997</v>
      </c>
      <c r="K54" s="6">
        <f>(965300/365)/24</f>
        <v>110.19406392694064</v>
      </c>
      <c r="L54" s="6">
        <f>(319000/365)/24</f>
        <v>36.415525114155251</v>
      </c>
      <c r="M54" s="6">
        <f>(7658840/365)/24</f>
        <v>874.29680365296792</v>
      </c>
      <c r="N54" s="6">
        <f>(2904924/365)/24</f>
        <v>331.6123287671233</v>
      </c>
      <c r="O54" s="6">
        <f>(3000000/6)/1440</f>
        <v>347.22222222222223</v>
      </c>
      <c r="P54" s="6">
        <f>(350000/365)/24</f>
        <v>39.954337899543383</v>
      </c>
      <c r="Q54" s="6">
        <f>(220000000-110000000)/20/365/24</f>
        <v>627.85388127853878</v>
      </c>
      <c r="R54" s="6">
        <f t="shared" si="57"/>
        <v>80</v>
      </c>
      <c r="S54" s="6">
        <f t="shared" si="58"/>
        <v>80</v>
      </c>
      <c r="T54" s="6">
        <f t="shared" si="59"/>
        <v>179.99999999999997</v>
      </c>
      <c r="U54" s="6">
        <f t="shared" si="60"/>
        <v>400</v>
      </c>
      <c r="V54" s="6">
        <f t="shared" si="61"/>
        <v>750</v>
      </c>
      <c r="W54" s="6">
        <f t="shared" si="62"/>
        <v>3000</v>
      </c>
      <c r="X54" s="6">
        <f t="shared" si="63"/>
        <v>1300</v>
      </c>
      <c r="Y54" s="6">
        <f>+(H54/50000)*930000/8</f>
        <v>69.75</v>
      </c>
      <c r="Z54" s="6">
        <f t="shared" si="72"/>
        <v>3119.9999999999995</v>
      </c>
      <c r="AA54" s="6">
        <f>AA53/8</f>
        <v>4166.625</v>
      </c>
      <c r="AB54" s="6">
        <f t="shared" si="1"/>
        <v>16496.399999999998</v>
      </c>
      <c r="AC54" s="6">
        <f>(3092909/30)/8</f>
        <v>12887.120833333332</v>
      </c>
      <c r="AD54" s="16">
        <v>0.1</v>
      </c>
      <c r="AE54" s="7">
        <f>SUM(J54:AD54)</f>
        <v>45175.324996194824</v>
      </c>
      <c r="AF54" s="7">
        <f t="shared" si="2"/>
        <v>562444.93300380523</v>
      </c>
      <c r="AG54" s="8">
        <f t="shared" si="3"/>
        <v>0.92565204270033608</v>
      </c>
      <c r="AH54" s="15">
        <f t="shared" ref="AH54" si="77">AE54+AF54</f>
        <v>607620.25800000003</v>
      </c>
    </row>
    <row r="55" spans="1:34" ht="15" customHeight="1" x14ac:dyDescent="0.35">
      <c r="A55" s="98" t="s">
        <v>0</v>
      </c>
      <c r="B55" s="100" t="s">
        <v>1</v>
      </c>
      <c r="C55" s="101"/>
      <c r="D55" s="98" t="s">
        <v>2</v>
      </c>
      <c r="E55" s="46" t="s">
        <v>31</v>
      </c>
      <c r="F55" s="46" t="s">
        <v>32</v>
      </c>
      <c r="G55" s="109"/>
      <c r="H55" s="47" t="s">
        <v>4</v>
      </c>
      <c r="I55" s="47" t="s">
        <v>5</v>
      </c>
      <c r="J55" s="48" t="s">
        <v>6</v>
      </c>
      <c r="K55" s="48"/>
      <c r="L55" s="48"/>
      <c r="M55" s="48"/>
      <c r="N55" s="48"/>
      <c r="O55" s="48"/>
      <c r="P55" s="49" t="s">
        <v>7</v>
      </c>
      <c r="Q55" s="49" t="s">
        <v>8</v>
      </c>
      <c r="R55" s="48" t="s">
        <v>9</v>
      </c>
      <c r="S55" s="48"/>
      <c r="T55" s="48"/>
      <c r="U55" s="48"/>
      <c r="V55" s="48"/>
      <c r="W55" s="48"/>
      <c r="X55" s="48"/>
      <c r="Y55" s="48"/>
      <c r="Z55" s="48"/>
      <c r="AA55" s="49" t="s">
        <v>10</v>
      </c>
      <c r="AB55" s="49" t="s">
        <v>11</v>
      </c>
      <c r="AC55" s="53" t="s">
        <v>107</v>
      </c>
      <c r="AD55" s="53" t="s">
        <v>108</v>
      </c>
      <c r="AE55" s="54" t="s">
        <v>13</v>
      </c>
      <c r="AF55" s="53" t="s">
        <v>14</v>
      </c>
      <c r="AG55" s="55"/>
      <c r="AH55" s="55" t="s">
        <v>34</v>
      </c>
    </row>
    <row r="56" spans="1:34" ht="39.5" thickBot="1" x14ac:dyDescent="0.4">
      <c r="A56" s="99"/>
      <c r="B56" s="88"/>
      <c r="C56" s="89"/>
      <c r="D56" s="99"/>
      <c r="E56" s="46"/>
      <c r="F56" s="46"/>
      <c r="G56" s="109">
        <f t="shared" si="5"/>
        <v>0</v>
      </c>
      <c r="H56" s="47"/>
      <c r="I56" s="47"/>
      <c r="J56" s="4" t="s">
        <v>16</v>
      </c>
      <c r="K56" s="3" t="s">
        <v>17</v>
      </c>
      <c r="L56" s="4" t="s">
        <v>18</v>
      </c>
      <c r="M56" s="4" t="s">
        <v>19</v>
      </c>
      <c r="N56" s="4" t="s">
        <v>20</v>
      </c>
      <c r="O56" s="4" t="s">
        <v>21</v>
      </c>
      <c r="P56" s="49"/>
      <c r="Q56" s="49"/>
      <c r="R56" s="4" t="s">
        <v>22</v>
      </c>
      <c r="S56" s="4" t="s">
        <v>23</v>
      </c>
      <c r="T56" s="4" t="s">
        <v>24</v>
      </c>
      <c r="U56" s="4" t="s">
        <v>25</v>
      </c>
      <c r="V56" s="4" t="s">
        <v>26</v>
      </c>
      <c r="W56" s="4" t="s">
        <v>27</v>
      </c>
      <c r="X56" s="4" t="s">
        <v>28</v>
      </c>
      <c r="Y56" s="4" t="s">
        <v>29</v>
      </c>
      <c r="Z56" s="4" t="s">
        <v>30</v>
      </c>
      <c r="AA56" s="49"/>
      <c r="AB56" s="49"/>
      <c r="AC56" s="53"/>
      <c r="AD56" s="53"/>
      <c r="AE56" s="54"/>
      <c r="AF56" s="53"/>
      <c r="AG56" s="55"/>
      <c r="AH56" s="55" t="s">
        <v>35</v>
      </c>
    </row>
    <row r="57" spans="1:34" ht="16.5" customHeight="1" x14ac:dyDescent="0.35">
      <c r="A57" s="14">
        <v>51</v>
      </c>
      <c r="B57" s="75" t="s">
        <v>86</v>
      </c>
      <c r="C57" s="91"/>
      <c r="D57" s="1">
        <v>1</v>
      </c>
      <c r="E57" s="24">
        <v>69937861</v>
      </c>
      <c r="F57" s="24">
        <v>34178632.670699999</v>
      </c>
      <c r="G57" s="108">
        <f t="shared" si="5"/>
        <v>-34178632.670699999</v>
      </c>
      <c r="H57" s="26" t="s">
        <v>33</v>
      </c>
      <c r="I57" s="26" t="s">
        <v>33</v>
      </c>
      <c r="J57" s="26" t="s">
        <v>33</v>
      </c>
      <c r="K57" s="26" t="s">
        <v>33</v>
      </c>
      <c r="L57" s="26" t="s">
        <v>33</v>
      </c>
      <c r="M57" s="26" t="s">
        <v>33</v>
      </c>
      <c r="N57" s="26" t="s">
        <v>33</v>
      </c>
      <c r="O57" s="26" t="s">
        <v>33</v>
      </c>
      <c r="P57" s="26" t="s">
        <v>33</v>
      </c>
      <c r="Q57" s="26" t="s">
        <v>33</v>
      </c>
      <c r="R57" s="26" t="s">
        <v>33</v>
      </c>
      <c r="S57" s="26" t="s">
        <v>33</v>
      </c>
      <c r="T57" s="26" t="s">
        <v>33</v>
      </c>
      <c r="U57" s="26" t="s">
        <v>33</v>
      </c>
      <c r="V57" s="26" t="s">
        <v>33</v>
      </c>
      <c r="W57" s="26" t="s">
        <v>33</v>
      </c>
      <c r="X57" s="26" t="s">
        <v>33</v>
      </c>
      <c r="Y57" s="26" t="s">
        <v>33</v>
      </c>
      <c r="Z57" s="26" t="s">
        <v>33</v>
      </c>
      <c r="AA57" s="26" t="s">
        <v>33</v>
      </c>
      <c r="AB57" s="26" t="s">
        <v>33</v>
      </c>
      <c r="AC57" s="31">
        <v>20000000</v>
      </c>
      <c r="AD57" s="16">
        <v>0.1</v>
      </c>
      <c r="AE57" s="31">
        <f>SUM(H57:AD57)</f>
        <v>20000000.100000001</v>
      </c>
      <c r="AF57" s="27">
        <f>F57-AE57</f>
        <v>14178632.570699997</v>
      </c>
      <c r="AG57" s="8">
        <f>(F57-AE57)/F57</f>
        <v>0.41483908110972451</v>
      </c>
      <c r="AH57" s="15">
        <f>AE57+AF57</f>
        <v>34178632.670699999</v>
      </c>
    </row>
    <row r="58" spans="1:34" ht="15" customHeight="1" x14ac:dyDescent="0.35">
      <c r="A58" s="23">
        <v>52</v>
      </c>
      <c r="B58" s="63" t="s">
        <v>87</v>
      </c>
      <c r="C58" s="94"/>
      <c r="D58" s="1">
        <v>1</v>
      </c>
      <c r="E58" s="24">
        <v>11656310</v>
      </c>
      <c r="F58" s="24">
        <v>5696438.6970000006</v>
      </c>
      <c r="G58" s="108">
        <f t="shared" si="5"/>
        <v>-5696438.6970000006</v>
      </c>
      <c r="H58" s="26" t="s">
        <v>33</v>
      </c>
      <c r="I58" s="26" t="s">
        <v>33</v>
      </c>
      <c r="J58" s="26" t="s">
        <v>33</v>
      </c>
      <c r="K58" s="26" t="s">
        <v>33</v>
      </c>
      <c r="L58" s="26" t="s">
        <v>33</v>
      </c>
      <c r="M58" s="26" t="s">
        <v>33</v>
      </c>
      <c r="N58" s="26" t="s">
        <v>33</v>
      </c>
      <c r="O58" s="26" t="s">
        <v>33</v>
      </c>
      <c r="P58" s="26" t="s">
        <v>33</v>
      </c>
      <c r="Q58" s="26" t="s">
        <v>33</v>
      </c>
      <c r="R58" s="26" t="s">
        <v>33</v>
      </c>
      <c r="S58" s="26" t="s">
        <v>33</v>
      </c>
      <c r="T58" s="26" t="s">
        <v>33</v>
      </c>
      <c r="U58" s="26" t="s">
        <v>33</v>
      </c>
      <c r="V58" s="26" t="s">
        <v>33</v>
      </c>
      <c r="W58" s="26" t="s">
        <v>33</v>
      </c>
      <c r="X58" s="26" t="s">
        <v>33</v>
      </c>
      <c r="Y58" s="26" t="s">
        <v>33</v>
      </c>
      <c r="Z58" s="26" t="s">
        <v>33</v>
      </c>
      <c r="AA58" s="26" t="s">
        <v>33</v>
      </c>
      <c r="AB58" s="26" t="s">
        <v>33</v>
      </c>
      <c r="AC58" s="32">
        <f>AC57/5</f>
        <v>4000000</v>
      </c>
      <c r="AD58" s="16">
        <v>0.1</v>
      </c>
      <c r="AE58" s="31">
        <f t="shared" ref="AE58:AE77" si="78">SUM(H58:AD58)</f>
        <v>4000000.1</v>
      </c>
      <c r="AF58" s="27">
        <f t="shared" ref="AF58:AF77" si="79">F58-AE58</f>
        <v>1696438.5970000005</v>
      </c>
      <c r="AG58" s="8">
        <f t="shared" ref="AG58:AG77" si="80">(F58-AE58)/F58</f>
        <v>0.2978068732475645</v>
      </c>
      <c r="AH58" s="15">
        <f>AE58+AF58</f>
        <v>5696438.6970000006</v>
      </c>
    </row>
    <row r="59" spans="1:34" ht="15" customHeight="1" x14ac:dyDescent="0.35">
      <c r="A59" s="14">
        <v>53</v>
      </c>
      <c r="B59" s="63" t="s">
        <v>88</v>
      </c>
      <c r="C59" s="94"/>
      <c r="D59" s="1">
        <v>1</v>
      </c>
      <c r="E59" s="24">
        <v>2331262</v>
      </c>
      <c r="F59" s="24">
        <v>1139287.7394000001</v>
      </c>
      <c r="G59" s="108">
        <f t="shared" si="5"/>
        <v>-1139287.7394000001</v>
      </c>
      <c r="H59" s="26" t="s">
        <v>33</v>
      </c>
      <c r="I59" s="26" t="s">
        <v>33</v>
      </c>
      <c r="J59" s="26" t="s">
        <v>33</v>
      </c>
      <c r="K59" s="26" t="s">
        <v>33</v>
      </c>
      <c r="L59" s="26" t="s">
        <v>33</v>
      </c>
      <c r="M59" s="26" t="s">
        <v>33</v>
      </c>
      <c r="N59" s="26" t="s">
        <v>33</v>
      </c>
      <c r="O59" s="26" t="s">
        <v>33</v>
      </c>
      <c r="P59" s="26" t="s">
        <v>33</v>
      </c>
      <c r="Q59" s="26" t="s">
        <v>33</v>
      </c>
      <c r="R59" s="26" t="s">
        <v>33</v>
      </c>
      <c r="S59" s="26" t="s">
        <v>33</v>
      </c>
      <c r="T59" s="26" t="s">
        <v>33</v>
      </c>
      <c r="U59" s="26" t="s">
        <v>33</v>
      </c>
      <c r="V59" s="26" t="s">
        <v>33</v>
      </c>
      <c r="W59" s="26" t="s">
        <v>33</v>
      </c>
      <c r="X59" s="26" t="s">
        <v>33</v>
      </c>
      <c r="Y59" s="26" t="s">
        <v>33</v>
      </c>
      <c r="Z59" s="26" t="s">
        <v>33</v>
      </c>
      <c r="AA59" s="26" t="s">
        <v>33</v>
      </c>
      <c r="AB59" s="26" t="s">
        <v>33</v>
      </c>
      <c r="AC59" s="32">
        <f>AC58/8</f>
        <v>500000</v>
      </c>
      <c r="AD59" s="16">
        <v>0.1</v>
      </c>
      <c r="AE59" s="31">
        <f t="shared" si="78"/>
        <v>500000.1</v>
      </c>
      <c r="AF59" s="27">
        <f t="shared" si="79"/>
        <v>639287.6394000001</v>
      </c>
      <c r="AG59" s="8">
        <f t="shared" si="80"/>
        <v>0.56112921897735646</v>
      </c>
      <c r="AH59" s="15">
        <f t="shared" ref="AH59:AH60" si="81">AE59+AF59</f>
        <v>1139287.7394000001</v>
      </c>
    </row>
    <row r="60" spans="1:34" ht="15" customHeight="1" x14ac:dyDescent="0.35">
      <c r="A60" s="14">
        <v>54</v>
      </c>
      <c r="B60" s="56" t="s">
        <v>89</v>
      </c>
      <c r="C60" s="95"/>
      <c r="D60" s="1">
        <v>1</v>
      </c>
      <c r="E60" s="24">
        <v>38854367</v>
      </c>
      <c r="F60" s="24">
        <v>18988129.152899999</v>
      </c>
      <c r="G60" s="108">
        <f t="shared" si="5"/>
        <v>-18988129.152899999</v>
      </c>
      <c r="H60" s="26" t="s">
        <v>33</v>
      </c>
      <c r="I60" s="26" t="s">
        <v>33</v>
      </c>
      <c r="J60" s="26" t="s">
        <v>33</v>
      </c>
      <c r="K60" s="26" t="s">
        <v>33</v>
      </c>
      <c r="L60" s="26" t="s">
        <v>33</v>
      </c>
      <c r="M60" s="26" t="s">
        <v>33</v>
      </c>
      <c r="N60" s="26" t="s">
        <v>33</v>
      </c>
      <c r="O60" s="26" t="s">
        <v>33</v>
      </c>
      <c r="P60" s="26" t="s">
        <v>33</v>
      </c>
      <c r="Q60" s="26" t="s">
        <v>33</v>
      </c>
      <c r="R60" s="26" t="s">
        <v>33</v>
      </c>
      <c r="S60" s="26" t="s">
        <v>33</v>
      </c>
      <c r="T60" s="26" t="s">
        <v>33</v>
      </c>
      <c r="U60" s="26" t="s">
        <v>33</v>
      </c>
      <c r="V60" s="26" t="s">
        <v>33</v>
      </c>
      <c r="W60" s="26" t="s">
        <v>33</v>
      </c>
      <c r="X60" s="26" t="s">
        <v>33</v>
      </c>
      <c r="Y60" s="26" t="s">
        <v>33</v>
      </c>
      <c r="Z60" s="26" t="s">
        <v>33</v>
      </c>
      <c r="AA60" s="26" t="s">
        <v>33</v>
      </c>
      <c r="AB60" s="26" t="s">
        <v>33</v>
      </c>
      <c r="AC60" s="31">
        <v>10000000</v>
      </c>
      <c r="AD60" s="16">
        <v>0.1</v>
      </c>
      <c r="AE60" s="31">
        <f t="shared" si="78"/>
        <v>10000000.1</v>
      </c>
      <c r="AF60" s="27">
        <f t="shared" si="79"/>
        <v>8988129.0528999995</v>
      </c>
      <c r="AG60" s="8">
        <f t="shared" si="80"/>
        <v>0.47335516735345512</v>
      </c>
      <c r="AH60" s="15">
        <f t="shared" si="81"/>
        <v>18988129.152899999</v>
      </c>
    </row>
    <row r="61" spans="1:34" ht="15" customHeight="1" x14ac:dyDescent="0.35">
      <c r="A61" s="14">
        <v>55</v>
      </c>
      <c r="B61" s="56" t="s">
        <v>90</v>
      </c>
      <c r="C61" s="95"/>
      <c r="D61" s="1">
        <v>1</v>
      </c>
      <c r="E61" s="24">
        <v>7770873</v>
      </c>
      <c r="F61" s="24">
        <v>3797625.6351000001</v>
      </c>
      <c r="G61" s="108">
        <f t="shared" si="5"/>
        <v>-3797625.6351000001</v>
      </c>
      <c r="H61" s="26" t="s">
        <v>33</v>
      </c>
      <c r="I61" s="26" t="s">
        <v>33</v>
      </c>
      <c r="J61" s="26" t="s">
        <v>33</v>
      </c>
      <c r="K61" s="26" t="s">
        <v>33</v>
      </c>
      <c r="L61" s="26" t="s">
        <v>33</v>
      </c>
      <c r="M61" s="26" t="s">
        <v>33</v>
      </c>
      <c r="N61" s="26" t="s">
        <v>33</v>
      </c>
      <c r="O61" s="26" t="s">
        <v>33</v>
      </c>
      <c r="P61" s="26" t="s">
        <v>33</v>
      </c>
      <c r="Q61" s="26" t="s">
        <v>33</v>
      </c>
      <c r="R61" s="26" t="s">
        <v>33</v>
      </c>
      <c r="S61" s="26" t="s">
        <v>33</v>
      </c>
      <c r="T61" s="26" t="s">
        <v>33</v>
      </c>
      <c r="U61" s="26" t="s">
        <v>33</v>
      </c>
      <c r="V61" s="26" t="s">
        <v>33</v>
      </c>
      <c r="W61" s="26" t="s">
        <v>33</v>
      </c>
      <c r="X61" s="26" t="s">
        <v>33</v>
      </c>
      <c r="Y61" s="26" t="s">
        <v>33</v>
      </c>
      <c r="Z61" s="26" t="s">
        <v>33</v>
      </c>
      <c r="AA61" s="26" t="s">
        <v>33</v>
      </c>
      <c r="AB61" s="26" t="s">
        <v>33</v>
      </c>
      <c r="AC61" s="32">
        <f>AC60/5</f>
        <v>2000000</v>
      </c>
      <c r="AD61" s="16">
        <v>0.1</v>
      </c>
      <c r="AE61" s="31">
        <f t="shared" si="78"/>
        <v>2000000.1</v>
      </c>
      <c r="AF61" s="27">
        <f t="shared" si="79"/>
        <v>1797625.5351</v>
      </c>
      <c r="AG61" s="8">
        <f t="shared" si="80"/>
        <v>0.47335511917900364</v>
      </c>
      <c r="AH61" s="15">
        <f>AE61+AF61</f>
        <v>3797625.6351000001</v>
      </c>
    </row>
    <row r="62" spans="1:34" ht="15.75" customHeight="1" thickBot="1" x14ac:dyDescent="0.4">
      <c r="A62" s="23">
        <v>56</v>
      </c>
      <c r="B62" s="58" t="s">
        <v>91</v>
      </c>
      <c r="C62" s="92"/>
      <c r="D62" s="1">
        <v>1</v>
      </c>
      <c r="E62" s="24">
        <v>1554175</v>
      </c>
      <c r="F62" s="24">
        <v>759525.32250000001</v>
      </c>
      <c r="G62" s="108">
        <f t="shared" si="5"/>
        <v>-759525.32250000001</v>
      </c>
      <c r="H62" s="26" t="s">
        <v>33</v>
      </c>
      <c r="I62" s="26" t="s">
        <v>33</v>
      </c>
      <c r="J62" s="26" t="s">
        <v>33</v>
      </c>
      <c r="K62" s="26" t="s">
        <v>33</v>
      </c>
      <c r="L62" s="26" t="s">
        <v>33</v>
      </c>
      <c r="M62" s="26" t="s">
        <v>33</v>
      </c>
      <c r="N62" s="26" t="s">
        <v>33</v>
      </c>
      <c r="O62" s="26" t="s">
        <v>33</v>
      </c>
      <c r="P62" s="26" t="s">
        <v>33</v>
      </c>
      <c r="Q62" s="26" t="s">
        <v>33</v>
      </c>
      <c r="R62" s="26" t="s">
        <v>33</v>
      </c>
      <c r="S62" s="26" t="s">
        <v>33</v>
      </c>
      <c r="T62" s="26" t="s">
        <v>33</v>
      </c>
      <c r="U62" s="26" t="s">
        <v>33</v>
      </c>
      <c r="V62" s="26" t="s">
        <v>33</v>
      </c>
      <c r="W62" s="26" t="s">
        <v>33</v>
      </c>
      <c r="X62" s="26" t="s">
        <v>33</v>
      </c>
      <c r="Y62" s="26" t="s">
        <v>33</v>
      </c>
      <c r="Z62" s="26" t="s">
        <v>33</v>
      </c>
      <c r="AA62" s="26" t="s">
        <v>33</v>
      </c>
      <c r="AB62" s="26" t="s">
        <v>33</v>
      </c>
      <c r="AC62" s="32">
        <f>AC61/8</f>
        <v>250000</v>
      </c>
      <c r="AD62" s="16">
        <v>0.1</v>
      </c>
      <c r="AE62" s="31">
        <f t="shared" si="78"/>
        <v>250000.1</v>
      </c>
      <c r="AF62" s="27">
        <f t="shared" si="79"/>
        <v>509525.22250000003</v>
      </c>
      <c r="AG62" s="8">
        <f t="shared" si="80"/>
        <v>0.67084691899788507</v>
      </c>
      <c r="AH62" s="15">
        <f t="shared" ref="AH62:AH63" si="82">AE62+AF62</f>
        <v>759525.32250000001</v>
      </c>
    </row>
    <row r="63" spans="1:34" ht="15" customHeight="1" x14ac:dyDescent="0.35">
      <c r="A63" s="14">
        <v>57</v>
      </c>
      <c r="B63" s="75" t="s">
        <v>106</v>
      </c>
      <c r="C63" s="91"/>
      <c r="D63" s="1">
        <v>1</v>
      </c>
      <c r="E63" s="24">
        <v>24478251</v>
      </c>
      <c r="F63" s="24">
        <v>11962521.263700001</v>
      </c>
      <c r="G63" s="108">
        <f t="shared" si="5"/>
        <v>-11962521.263700001</v>
      </c>
      <c r="H63" s="26" t="s">
        <v>33</v>
      </c>
      <c r="I63" s="26" t="s">
        <v>33</v>
      </c>
      <c r="J63" s="26" t="s">
        <v>33</v>
      </c>
      <c r="K63" s="26" t="s">
        <v>33</v>
      </c>
      <c r="L63" s="26" t="s">
        <v>33</v>
      </c>
      <c r="M63" s="26" t="s">
        <v>33</v>
      </c>
      <c r="N63" s="26" t="s">
        <v>33</v>
      </c>
      <c r="O63" s="26" t="s">
        <v>33</v>
      </c>
      <c r="P63" s="26" t="s">
        <v>33</v>
      </c>
      <c r="Q63" s="26" t="s">
        <v>33</v>
      </c>
      <c r="R63" s="26" t="s">
        <v>33</v>
      </c>
      <c r="S63" s="26" t="s">
        <v>33</v>
      </c>
      <c r="T63" s="26" t="s">
        <v>33</v>
      </c>
      <c r="U63" s="26" t="s">
        <v>33</v>
      </c>
      <c r="V63" s="26" t="s">
        <v>33</v>
      </c>
      <c r="W63" s="26" t="s">
        <v>33</v>
      </c>
      <c r="X63" s="26" t="s">
        <v>33</v>
      </c>
      <c r="Y63" s="26" t="s">
        <v>33</v>
      </c>
      <c r="Z63" s="26" t="s">
        <v>33</v>
      </c>
      <c r="AA63" s="26" t="s">
        <v>33</v>
      </c>
      <c r="AB63" s="26" t="s">
        <v>33</v>
      </c>
      <c r="AC63" s="31">
        <v>7000000</v>
      </c>
      <c r="AD63" s="16">
        <v>0.1</v>
      </c>
      <c r="AE63" s="31">
        <f t="shared" si="78"/>
        <v>7000000.0999999996</v>
      </c>
      <c r="AF63" s="27">
        <f t="shared" si="79"/>
        <v>4962521.1637000013</v>
      </c>
      <c r="AG63" s="8">
        <f t="shared" si="80"/>
        <v>0.41483906730921843</v>
      </c>
      <c r="AH63" s="15">
        <f t="shared" si="82"/>
        <v>11962521.263700001</v>
      </c>
    </row>
    <row r="64" spans="1:34" ht="15" customHeight="1" x14ac:dyDescent="0.35">
      <c r="A64" s="14">
        <v>58</v>
      </c>
      <c r="B64" s="63" t="s">
        <v>92</v>
      </c>
      <c r="C64" s="94"/>
      <c r="D64" s="1">
        <v>1</v>
      </c>
      <c r="E64" s="24">
        <v>3496893</v>
      </c>
      <c r="F64" s="24">
        <v>1708931.6091</v>
      </c>
      <c r="G64" s="108">
        <f t="shared" si="5"/>
        <v>-1708931.6091</v>
      </c>
      <c r="H64" s="26" t="s">
        <v>33</v>
      </c>
      <c r="I64" s="26" t="s">
        <v>33</v>
      </c>
      <c r="J64" s="26" t="s">
        <v>33</v>
      </c>
      <c r="K64" s="26" t="s">
        <v>33</v>
      </c>
      <c r="L64" s="26" t="s">
        <v>33</v>
      </c>
      <c r="M64" s="26" t="s">
        <v>33</v>
      </c>
      <c r="N64" s="26" t="s">
        <v>33</v>
      </c>
      <c r="O64" s="26" t="s">
        <v>33</v>
      </c>
      <c r="P64" s="26" t="s">
        <v>33</v>
      </c>
      <c r="Q64" s="26" t="s">
        <v>33</v>
      </c>
      <c r="R64" s="26" t="s">
        <v>33</v>
      </c>
      <c r="S64" s="26" t="s">
        <v>33</v>
      </c>
      <c r="T64" s="26" t="s">
        <v>33</v>
      </c>
      <c r="U64" s="26" t="s">
        <v>33</v>
      </c>
      <c r="V64" s="26" t="s">
        <v>33</v>
      </c>
      <c r="W64" s="26" t="s">
        <v>33</v>
      </c>
      <c r="X64" s="26" t="s">
        <v>33</v>
      </c>
      <c r="Y64" s="26" t="s">
        <v>33</v>
      </c>
      <c r="Z64" s="26" t="s">
        <v>33</v>
      </c>
      <c r="AA64" s="26" t="s">
        <v>33</v>
      </c>
      <c r="AB64" s="26" t="s">
        <v>33</v>
      </c>
      <c r="AC64" s="32">
        <f>AC63/5</f>
        <v>1400000</v>
      </c>
      <c r="AD64" s="16">
        <v>0.1</v>
      </c>
      <c r="AE64" s="31">
        <f t="shared" si="78"/>
        <v>1400000.1</v>
      </c>
      <c r="AF64" s="27">
        <f t="shared" si="79"/>
        <v>308931.50909999991</v>
      </c>
      <c r="AG64" s="8">
        <f t="shared" si="80"/>
        <v>0.18077464742003169</v>
      </c>
      <c r="AH64" s="15">
        <f>AE64+AF64</f>
        <v>1708931.6091</v>
      </c>
    </row>
    <row r="65" spans="1:34" ht="15" customHeight="1" x14ac:dyDescent="0.35">
      <c r="A65" s="14">
        <v>59</v>
      </c>
      <c r="B65" s="63" t="s">
        <v>93</v>
      </c>
      <c r="C65" s="94"/>
      <c r="D65" s="1">
        <v>1</v>
      </c>
      <c r="E65" s="24">
        <v>699379</v>
      </c>
      <c r="F65" s="24">
        <v>341786.51730000001</v>
      </c>
      <c r="G65" s="108">
        <f t="shared" si="5"/>
        <v>-341786.51730000001</v>
      </c>
      <c r="H65" s="26" t="s">
        <v>33</v>
      </c>
      <c r="I65" s="26" t="s">
        <v>33</v>
      </c>
      <c r="J65" s="26" t="s">
        <v>33</v>
      </c>
      <c r="K65" s="26" t="s">
        <v>33</v>
      </c>
      <c r="L65" s="26" t="s">
        <v>33</v>
      </c>
      <c r="M65" s="26" t="s">
        <v>33</v>
      </c>
      <c r="N65" s="26" t="s">
        <v>33</v>
      </c>
      <c r="O65" s="26" t="s">
        <v>33</v>
      </c>
      <c r="P65" s="26" t="s">
        <v>33</v>
      </c>
      <c r="Q65" s="26" t="s">
        <v>33</v>
      </c>
      <c r="R65" s="26" t="s">
        <v>33</v>
      </c>
      <c r="S65" s="26" t="s">
        <v>33</v>
      </c>
      <c r="T65" s="26" t="s">
        <v>33</v>
      </c>
      <c r="U65" s="26" t="s">
        <v>33</v>
      </c>
      <c r="V65" s="26" t="s">
        <v>33</v>
      </c>
      <c r="W65" s="26" t="s">
        <v>33</v>
      </c>
      <c r="X65" s="26" t="s">
        <v>33</v>
      </c>
      <c r="Y65" s="26" t="s">
        <v>33</v>
      </c>
      <c r="Z65" s="26" t="s">
        <v>33</v>
      </c>
      <c r="AA65" s="26" t="s">
        <v>33</v>
      </c>
      <c r="AB65" s="26" t="s">
        <v>33</v>
      </c>
      <c r="AC65" s="32">
        <f>AC64/8</f>
        <v>175000</v>
      </c>
      <c r="AD65" s="16">
        <v>0.1</v>
      </c>
      <c r="AE65" s="31">
        <f t="shared" si="78"/>
        <v>175000.1</v>
      </c>
      <c r="AF65" s="27">
        <f t="shared" si="79"/>
        <v>166786.4173</v>
      </c>
      <c r="AG65" s="8">
        <f t="shared" si="80"/>
        <v>0.48798419147003608</v>
      </c>
      <c r="AH65" s="15">
        <f t="shared" ref="AH65:AH66" si="83">AE65+AF65</f>
        <v>341786.51730000001</v>
      </c>
    </row>
    <row r="66" spans="1:34" ht="15" customHeight="1" x14ac:dyDescent="0.35">
      <c r="A66" s="23">
        <v>60</v>
      </c>
      <c r="B66" s="56" t="s">
        <v>94</v>
      </c>
      <c r="C66" s="95"/>
      <c r="D66" s="1">
        <v>1</v>
      </c>
      <c r="E66" s="24">
        <v>34191843</v>
      </c>
      <c r="F66" s="24">
        <v>16709553.6741</v>
      </c>
      <c r="G66" s="108">
        <f t="shared" si="5"/>
        <v>-16709553.6741</v>
      </c>
      <c r="H66" s="26" t="s">
        <v>33</v>
      </c>
      <c r="I66" s="26" t="s">
        <v>33</v>
      </c>
      <c r="J66" s="26" t="s">
        <v>33</v>
      </c>
      <c r="K66" s="26" t="s">
        <v>33</v>
      </c>
      <c r="L66" s="26" t="s">
        <v>33</v>
      </c>
      <c r="M66" s="26" t="s">
        <v>33</v>
      </c>
      <c r="N66" s="26" t="s">
        <v>33</v>
      </c>
      <c r="O66" s="26" t="s">
        <v>33</v>
      </c>
      <c r="P66" s="26" t="s">
        <v>33</v>
      </c>
      <c r="Q66" s="26" t="s">
        <v>33</v>
      </c>
      <c r="R66" s="26" t="s">
        <v>33</v>
      </c>
      <c r="S66" s="26" t="s">
        <v>33</v>
      </c>
      <c r="T66" s="26" t="s">
        <v>33</v>
      </c>
      <c r="U66" s="26" t="s">
        <v>33</v>
      </c>
      <c r="V66" s="26" t="s">
        <v>33</v>
      </c>
      <c r="W66" s="26" t="s">
        <v>33</v>
      </c>
      <c r="X66" s="26" t="s">
        <v>33</v>
      </c>
      <c r="Y66" s="26" t="s">
        <v>33</v>
      </c>
      <c r="Z66" s="26" t="s">
        <v>33</v>
      </c>
      <c r="AA66" s="26" t="s">
        <v>33</v>
      </c>
      <c r="AB66" s="26" t="s">
        <v>33</v>
      </c>
      <c r="AC66" s="31">
        <v>9000000</v>
      </c>
      <c r="AD66" s="16">
        <v>0.1</v>
      </c>
      <c r="AE66" s="31">
        <f t="shared" si="78"/>
        <v>9000000.0999999996</v>
      </c>
      <c r="AF66" s="27">
        <f t="shared" si="79"/>
        <v>7709553.5741000008</v>
      </c>
      <c r="AG66" s="8">
        <f t="shared" si="80"/>
        <v>0.46138596664313647</v>
      </c>
      <c r="AH66" s="15">
        <f t="shared" si="83"/>
        <v>16709553.6741</v>
      </c>
    </row>
    <row r="67" spans="1:34" ht="15" customHeight="1" x14ac:dyDescent="0.35">
      <c r="A67" s="14">
        <v>61</v>
      </c>
      <c r="B67" s="56" t="s">
        <v>95</v>
      </c>
      <c r="C67" s="95"/>
      <c r="D67" s="1">
        <v>1</v>
      </c>
      <c r="E67" s="24">
        <v>7770873</v>
      </c>
      <c r="F67" s="24">
        <v>3797625.6351000001</v>
      </c>
      <c r="G67" s="108">
        <f t="shared" si="5"/>
        <v>-3797625.6351000001</v>
      </c>
      <c r="H67" s="26" t="s">
        <v>33</v>
      </c>
      <c r="I67" s="26" t="s">
        <v>33</v>
      </c>
      <c r="J67" s="26" t="s">
        <v>33</v>
      </c>
      <c r="K67" s="26" t="s">
        <v>33</v>
      </c>
      <c r="L67" s="26" t="s">
        <v>33</v>
      </c>
      <c r="M67" s="26" t="s">
        <v>33</v>
      </c>
      <c r="N67" s="26" t="s">
        <v>33</v>
      </c>
      <c r="O67" s="26" t="s">
        <v>33</v>
      </c>
      <c r="P67" s="26" t="s">
        <v>33</v>
      </c>
      <c r="Q67" s="26" t="s">
        <v>33</v>
      </c>
      <c r="R67" s="26" t="s">
        <v>33</v>
      </c>
      <c r="S67" s="26" t="s">
        <v>33</v>
      </c>
      <c r="T67" s="26" t="s">
        <v>33</v>
      </c>
      <c r="U67" s="26" t="s">
        <v>33</v>
      </c>
      <c r="V67" s="26" t="s">
        <v>33</v>
      </c>
      <c r="W67" s="26" t="s">
        <v>33</v>
      </c>
      <c r="X67" s="26" t="s">
        <v>33</v>
      </c>
      <c r="Y67" s="26" t="s">
        <v>33</v>
      </c>
      <c r="Z67" s="26" t="s">
        <v>33</v>
      </c>
      <c r="AA67" s="26" t="s">
        <v>33</v>
      </c>
      <c r="AB67" s="26" t="s">
        <v>33</v>
      </c>
      <c r="AC67" s="32">
        <f>AC66/5</f>
        <v>1800000</v>
      </c>
      <c r="AD67" s="16">
        <v>0.1</v>
      </c>
      <c r="AE67" s="31">
        <f t="shared" si="78"/>
        <v>1800000.1</v>
      </c>
      <c r="AF67" s="27">
        <f t="shared" si="79"/>
        <v>1997625.5351</v>
      </c>
      <c r="AG67" s="8">
        <f t="shared" si="80"/>
        <v>0.526019604627879</v>
      </c>
      <c r="AH67" s="15">
        <f>AE67+AF67</f>
        <v>3797625.6351000001</v>
      </c>
    </row>
    <row r="68" spans="1:34" ht="15.75" customHeight="1" thickBot="1" x14ac:dyDescent="0.4">
      <c r="A68" s="14">
        <v>62</v>
      </c>
      <c r="B68" s="58" t="s">
        <v>96</v>
      </c>
      <c r="C68" s="92"/>
      <c r="D68" s="1">
        <v>1</v>
      </c>
      <c r="E68" s="24">
        <v>1398757</v>
      </c>
      <c r="F68" s="24">
        <v>683572.54590000003</v>
      </c>
      <c r="G68" s="108">
        <f t="shared" si="5"/>
        <v>-683572.54590000003</v>
      </c>
      <c r="H68" s="26" t="s">
        <v>33</v>
      </c>
      <c r="I68" s="26" t="s">
        <v>33</v>
      </c>
      <c r="J68" s="26" t="s">
        <v>33</v>
      </c>
      <c r="K68" s="26" t="s">
        <v>33</v>
      </c>
      <c r="L68" s="26" t="s">
        <v>33</v>
      </c>
      <c r="M68" s="26" t="s">
        <v>33</v>
      </c>
      <c r="N68" s="26" t="s">
        <v>33</v>
      </c>
      <c r="O68" s="26" t="s">
        <v>33</v>
      </c>
      <c r="P68" s="26" t="s">
        <v>33</v>
      </c>
      <c r="Q68" s="26" t="s">
        <v>33</v>
      </c>
      <c r="R68" s="26" t="s">
        <v>33</v>
      </c>
      <c r="S68" s="26" t="s">
        <v>33</v>
      </c>
      <c r="T68" s="26" t="s">
        <v>33</v>
      </c>
      <c r="U68" s="26" t="s">
        <v>33</v>
      </c>
      <c r="V68" s="26" t="s">
        <v>33</v>
      </c>
      <c r="W68" s="26" t="s">
        <v>33</v>
      </c>
      <c r="X68" s="26" t="s">
        <v>33</v>
      </c>
      <c r="Y68" s="26" t="s">
        <v>33</v>
      </c>
      <c r="Z68" s="26" t="s">
        <v>33</v>
      </c>
      <c r="AA68" s="26" t="s">
        <v>33</v>
      </c>
      <c r="AB68" s="26" t="s">
        <v>33</v>
      </c>
      <c r="AC68" s="32">
        <f>AC67/8</f>
        <v>225000</v>
      </c>
      <c r="AD68" s="16">
        <v>0.1</v>
      </c>
      <c r="AE68" s="31">
        <f t="shared" si="78"/>
        <v>225000.1</v>
      </c>
      <c r="AF68" s="27">
        <f t="shared" si="79"/>
        <v>458572.44590000005</v>
      </c>
      <c r="AG68" s="8">
        <f t="shared" si="80"/>
        <v>0.67084678670972353</v>
      </c>
      <c r="AH68" s="15">
        <f t="shared" ref="AH68" si="84">AE68+AF68</f>
        <v>683572.54590000003</v>
      </c>
    </row>
    <row r="69" spans="1:34" ht="15" customHeight="1" x14ac:dyDescent="0.35">
      <c r="A69" s="14">
        <v>63</v>
      </c>
      <c r="B69" s="75" t="s">
        <v>97</v>
      </c>
      <c r="C69" s="91"/>
      <c r="D69" s="1">
        <v>1</v>
      </c>
      <c r="E69" s="24">
        <v>3730019</v>
      </c>
      <c r="F69" s="24">
        <v>1822860.2853000001</v>
      </c>
      <c r="G69" s="108">
        <f t="shared" si="5"/>
        <v>-1822860.2853000001</v>
      </c>
      <c r="H69" s="26" t="s">
        <v>33</v>
      </c>
      <c r="I69" s="26" t="s">
        <v>33</v>
      </c>
      <c r="J69" s="26" t="s">
        <v>33</v>
      </c>
      <c r="K69" s="26" t="s">
        <v>33</v>
      </c>
      <c r="L69" s="26" t="s">
        <v>33</v>
      </c>
      <c r="M69" s="26" t="s">
        <v>33</v>
      </c>
      <c r="N69" s="26" t="s">
        <v>33</v>
      </c>
      <c r="O69" s="26" t="s">
        <v>33</v>
      </c>
      <c r="P69" s="26" t="s">
        <v>33</v>
      </c>
      <c r="Q69" s="26" t="s">
        <v>33</v>
      </c>
      <c r="R69" s="26" t="s">
        <v>33</v>
      </c>
      <c r="S69" s="26" t="s">
        <v>33</v>
      </c>
      <c r="T69" s="26" t="s">
        <v>33</v>
      </c>
      <c r="U69" s="26" t="s">
        <v>33</v>
      </c>
      <c r="V69" s="26" t="s">
        <v>33</v>
      </c>
      <c r="W69" s="26" t="s">
        <v>33</v>
      </c>
      <c r="X69" s="26" t="s">
        <v>33</v>
      </c>
      <c r="Y69" s="26" t="s">
        <v>33</v>
      </c>
      <c r="Z69" s="26" t="s">
        <v>33</v>
      </c>
      <c r="AA69" s="26" t="s">
        <v>33</v>
      </c>
      <c r="AB69" s="26" t="s">
        <v>33</v>
      </c>
      <c r="AC69" s="32">
        <v>1200000</v>
      </c>
      <c r="AD69" s="16">
        <v>0.1</v>
      </c>
      <c r="AE69" s="31">
        <f t="shared" si="78"/>
        <v>1200000.1000000001</v>
      </c>
      <c r="AF69" s="27">
        <f t="shared" si="79"/>
        <v>622860.18530000001</v>
      </c>
      <c r="AG69" s="8">
        <f t="shared" si="80"/>
        <v>0.34169386997067186</v>
      </c>
      <c r="AH69" s="15">
        <f>AE69+AF69</f>
        <v>1822860.2853000001</v>
      </c>
    </row>
    <row r="70" spans="1:34" ht="15" customHeight="1" x14ac:dyDescent="0.35">
      <c r="A70" s="23">
        <v>64</v>
      </c>
      <c r="B70" s="63" t="s">
        <v>98</v>
      </c>
      <c r="C70" s="94"/>
      <c r="D70" s="1">
        <v>1</v>
      </c>
      <c r="E70" s="24">
        <v>466252</v>
      </c>
      <c r="F70" s="24">
        <v>227857.3524</v>
      </c>
      <c r="G70" s="108">
        <f t="shared" ref="G70:G77" si="85">(E70*51.13%)-E70</f>
        <v>-227857.3524</v>
      </c>
      <c r="H70" s="26" t="s">
        <v>33</v>
      </c>
      <c r="I70" s="26" t="s">
        <v>33</v>
      </c>
      <c r="J70" s="26" t="s">
        <v>33</v>
      </c>
      <c r="K70" s="26" t="s">
        <v>33</v>
      </c>
      <c r="L70" s="26" t="s">
        <v>33</v>
      </c>
      <c r="M70" s="26" t="s">
        <v>33</v>
      </c>
      <c r="N70" s="26" t="s">
        <v>33</v>
      </c>
      <c r="O70" s="26" t="s">
        <v>33</v>
      </c>
      <c r="P70" s="26" t="s">
        <v>33</v>
      </c>
      <c r="Q70" s="26" t="s">
        <v>33</v>
      </c>
      <c r="R70" s="26" t="s">
        <v>33</v>
      </c>
      <c r="S70" s="26" t="s">
        <v>33</v>
      </c>
      <c r="T70" s="26" t="s">
        <v>33</v>
      </c>
      <c r="U70" s="26" t="s">
        <v>33</v>
      </c>
      <c r="V70" s="26" t="s">
        <v>33</v>
      </c>
      <c r="W70" s="26" t="s">
        <v>33</v>
      </c>
      <c r="X70" s="26" t="s">
        <v>33</v>
      </c>
      <c r="Y70" s="26" t="s">
        <v>33</v>
      </c>
      <c r="Z70" s="26" t="s">
        <v>33</v>
      </c>
      <c r="AA70" s="26" t="s">
        <v>33</v>
      </c>
      <c r="AB70" s="26" t="s">
        <v>33</v>
      </c>
      <c r="AC70" s="32">
        <f>AC69/8</f>
        <v>150000</v>
      </c>
      <c r="AD70" s="16">
        <v>0.1</v>
      </c>
      <c r="AE70" s="31">
        <f t="shared" si="78"/>
        <v>150000.1</v>
      </c>
      <c r="AF70" s="27">
        <f t="shared" si="79"/>
        <v>77857.252399999998</v>
      </c>
      <c r="AG70" s="8">
        <f t="shared" si="80"/>
        <v>0.34169295649201969</v>
      </c>
      <c r="AH70" s="15">
        <f t="shared" ref="AH70" si="86">AE70+AF70</f>
        <v>227857.3524</v>
      </c>
    </row>
    <row r="71" spans="1:34" ht="15" customHeight="1" x14ac:dyDescent="0.35">
      <c r="A71" s="14">
        <v>65</v>
      </c>
      <c r="B71" s="56" t="s">
        <v>99</v>
      </c>
      <c r="C71" s="95"/>
      <c r="D71" s="1">
        <v>1</v>
      </c>
      <c r="E71" s="24">
        <v>4973359</v>
      </c>
      <c r="F71" s="24">
        <v>2430480.5433</v>
      </c>
      <c r="G71" s="108">
        <f t="shared" si="85"/>
        <v>-2430480.5433</v>
      </c>
      <c r="H71" s="26" t="s">
        <v>33</v>
      </c>
      <c r="I71" s="26" t="s">
        <v>33</v>
      </c>
      <c r="J71" s="26" t="s">
        <v>33</v>
      </c>
      <c r="K71" s="26" t="s">
        <v>33</v>
      </c>
      <c r="L71" s="26" t="s">
        <v>33</v>
      </c>
      <c r="M71" s="26" t="s">
        <v>33</v>
      </c>
      <c r="N71" s="26" t="s">
        <v>33</v>
      </c>
      <c r="O71" s="26" t="s">
        <v>33</v>
      </c>
      <c r="P71" s="26" t="s">
        <v>33</v>
      </c>
      <c r="Q71" s="26" t="s">
        <v>33</v>
      </c>
      <c r="R71" s="26" t="s">
        <v>33</v>
      </c>
      <c r="S71" s="26" t="s">
        <v>33</v>
      </c>
      <c r="T71" s="26" t="s">
        <v>33</v>
      </c>
      <c r="U71" s="26" t="s">
        <v>33</v>
      </c>
      <c r="V71" s="26" t="s">
        <v>33</v>
      </c>
      <c r="W71" s="26" t="s">
        <v>33</v>
      </c>
      <c r="X71" s="26" t="s">
        <v>33</v>
      </c>
      <c r="Y71" s="26" t="s">
        <v>33</v>
      </c>
      <c r="Z71" s="26" t="s">
        <v>33</v>
      </c>
      <c r="AA71" s="26" t="s">
        <v>33</v>
      </c>
      <c r="AB71" s="26" t="s">
        <v>33</v>
      </c>
      <c r="AC71" s="32">
        <v>1800000</v>
      </c>
      <c r="AD71" s="16">
        <v>0.1</v>
      </c>
      <c r="AE71" s="31">
        <f t="shared" si="78"/>
        <v>1800000.1</v>
      </c>
      <c r="AF71" s="27">
        <f t="shared" si="79"/>
        <v>630480.44329999993</v>
      </c>
      <c r="AG71" s="8">
        <f t="shared" si="80"/>
        <v>0.25940567392650721</v>
      </c>
      <c r="AH71" s="15">
        <f>AE71+AF71</f>
        <v>2430480.5433</v>
      </c>
    </row>
    <row r="72" spans="1:34" ht="15.75" customHeight="1" thickBot="1" x14ac:dyDescent="0.4">
      <c r="A72" s="14">
        <v>66</v>
      </c>
      <c r="B72" s="58" t="s">
        <v>100</v>
      </c>
      <c r="C72" s="92"/>
      <c r="D72" s="1">
        <v>1</v>
      </c>
      <c r="E72" s="24">
        <v>621670</v>
      </c>
      <c r="F72" s="24">
        <v>303810.12900000002</v>
      </c>
      <c r="G72" s="108">
        <f t="shared" si="85"/>
        <v>-303810.12900000002</v>
      </c>
      <c r="H72" s="26" t="s">
        <v>33</v>
      </c>
      <c r="I72" s="26" t="s">
        <v>33</v>
      </c>
      <c r="J72" s="26" t="s">
        <v>33</v>
      </c>
      <c r="K72" s="26" t="s">
        <v>33</v>
      </c>
      <c r="L72" s="26" t="s">
        <v>33</v>
      </c>
      <c r="M72" s="26" t="s">
        <v>33</v>
      </c>
      <c r="N72" s="26" t="s">
        <v>33</v>
      </c>
      <c r="O72" s="26" t="s">
        <v>33</v>
      </c>
      <c r="P72" s="26" t="s">
        <v>33</v>
      </c>
      <c r="Q72" s="26" t="s">
        <v>33</v>
      </c>
      <c r="R72" s="26" t="s">
        <v>33</v>
      </c>
      <c r="S72" s="26" t="s">
        <v>33</v>
      </c>
      <c r="T72" s="26" t="s">
        <v>33</v>
      </c>
      <c r="U72" s="26" t="s">
        <v>33</v>
      </c>
      <c r="V72" s="26" t="s">
        <v>33</v>
      </c>
      <c r="W72" s="26" t="s">
        <v>33</v>
      </c>
      <c r="X72" s="26" t="s">
        <v>33</v>
      </c>
      <c r="Y72" s="26" t="s">
        <v>33</v>
      </c>
      <c r="Z72" s="26" t="s">
        <v>33</v>
      </c>
      <c r="AA72" s="26" t="s">
        <v>33</v>
      </c>
      <c r="AB72" s="26" t="s">
        <v>33</v>
      </c>
      <c r="AC72" s="32">
        <f>AC71/8</f>
        <v>225000</v>
      </c>
      <c r="AD72" s="16">
        <v>0.1</v>
      </c>
      <c r="AE72" s="31">
        <f t="shared" si="78"/>
        <v>225000.1</v>
      </c>
      <c r="AF72" s="27">
        <f t="shared" si="79"/>
        <v>78810.02900000001</v>
      </c>
      <c r="AG72" s="8">
        <f t="shared" si="80"/>
        <v>0.25940553482994638</v>
      </c>
      <c r="AH72" s="15">
        <f t="shared" ref="AH72" si="87">AE72+AF72</f>
        <v>303810.12900000002</v>
      </c>
    </row>
    <row r="73" spans="1:34" ht="15" customHeight="1" x14ac:dyDescent="0.35">
      <c r="A73" s="14">
        <v>67</v>
      </c>
      <c r="B73" s="75" t="s">
        <v>101</v>
      </c>
      <c r="C73" s="91"/>
      <c r="D73" s="1">
        <v>1</v>
      </c>
      <c r="E73" s="24">
        <v>994672</v>
      </c>
      <c r="F73" s="24">
        <v>486096.20640000002</v>
      </c>
      <c r="G73" s="108">
        <f t="shared" si="85"/>
        <v>-486096.20640000002</v>
      </c>
      <c r="H73" s="26" t="s">
        <v>33</v>
      </c>
      <c r="I73" s="26" t="s">
        <v>33</v>
      </c>
      <c r="J73" s="26" t="s">
        <v>33</v>
      </c>
      <c r="K73" s="26" t="s">
        <v>33</v>
      </c>
      <c r="L73" s="26" t="s">
        <v>33</v>
      </c>
      <c r="M73" s="26" t="s">
        <v>33</v>
      </c>
      <c r="N73" s="26" t="s">
        <v>33</v>
      </c>
      <c r="O73" s="26" t="s">
        <v>33</v>
      </c>
      <c r="P73" s="26" t="s">
        <v>33</v>
      </c>
      <c r="Q73" s="26" t="s">
        <v>33</v>
      </c>
      <c r="R73" s="26" t="s">
        <v>33</v>
      </c>
      <c r="S73" s="26" t="s">
        <v>33</v>
      </c>
      <c r="T73" s="26" t="s">
        <v>33</v>
      </c>
      <c r="U73" s="26" t="s">
        <v>33</v>
      </c>
      <c r="V73" s="26" t="s">
        <v>33</v>
      </c>
      <c r="W73" s="26" t="s">
        <v>33</v>
      </c>
      <c r="X73" s="26" t="s">
        <v>33</v>
      </c>
      <c r="Y73" s="26" t="s">
        <v>33</v>
      </c>
      <c r="Z73" s="26" t="s">
        <v>33</v>
      </c>
      <c r="AA73" s="26" t="s">
        <v>33</v>
      </c>
      <c r="AB73" s="26" t="s">
        <v>33</v>
      </c>
      <c r="AC73" s="32">
        <v>300000</v>
      </c>
      <c r="AD73" s="16">
        <v>0.1</v>
      </c>
      <c r="AE73" s="31">
        <f t="shared" si="78"/>
        <v>300000.09999999998</v>
      </c>
      <c r="AF73" s="27">
        <f t="shared" si="79"/>
        <v>186096.10640000005</v>
      </c>
      <c r="AG73" s="8">
        <f t="shared" si="80"/>
        <v>0.38283801426515318</v>
      </c>
      <c r="AH73" s="15">
        <f>AE73+AF73</f>
        <v>486096.20640000002</v>
      </c>
    </row>
    <row r="74" spans="1:34" ht="15.75" customHeight="1" thickBot="1" x14ac:dyDescent="0.4">
      <c r="A74" s="23">
        <v>68</v>
      </c>
      <c r="B74" s="65" t="s">
        <v>102</v>
      </c>
      <c r="C74" s="96"/>
      <c r="D74" s="1">
        <v>1</v>
      </c>
      <c r="E74" s="24">
        <v>124334</v>
      </c>
      <c r="F74" s="24">
        <v>60762.025800000003</v>
      </c>
      <c r="G74" s="108">
        <f t="shared" si="85"/>
        <v>-60762.025800000003</v>
      </c>
      <c r="H74" s="26" t="s">
        <v>33</v>
      </c>
      <c r="I74" s="26" t="s">
        <v>33</v>
      </c>
      <c r="J74" s="26" t="s">
        <v>33</v>
      </c>
      <c r="K74" s="26" t="s">
        <v>33</v>
      </c>
      <c r="L74" s="26" t="s">
        <v>33</v>
      </c>
      <c r="M74" s="26" t="s">
        <v>33</v>
      </c>
      <c r="N74" s="26" t="s">
        <v>33</v>
      </c>
      <c r="O74" s="26" t="s">
        <v>33</v>
      </c>
      <c r="P74" s="26" t="s">
        <v>33</v>
      </c>
      <c r="Q74" s="26" t="s">
        <v>33</v>
      </c>
      <c r="R74" s="26" t="s">
        <v>33</v>
      </c>
      <c r="S74" s="26" t="s">
        <v>33</v>
      </c>
      <c r="T74" s="26" t="s">
        <v>33</v>
      </c>
      <c r="U74" s="26" t="s">
        <v>33</v>
      </c>
      <c r="V74" s="26" t="s">
        <v>33</v>
      </c>
      <c r="W74" s="26" t="s">
        <v>33</v>
      </c>
      <c r="X74" s="26" t="s">
        <v>33</v>
      </c>
      <c r="Y74" s="26" t="s">
        <v>33</v>
      </c>
      <c r="Z74" s="26" t="s">
        <v>33</v>
      </c>
      <c r="AA74" s="26" t="s">
        <v>33</v>
      </c>
      <c r="AB74" s="26" t="s">
        <v>33</v>
      </c>
      <c r="AC74" s="32">
        <f>AC73/8</f>
        <v>37500</v>
      </c>
      <c r="AD74" s="16">
        <v>0.1</v>
      </c>
      <c r="AE74" s="31">
        <f t="shared" si="78"/>
        <v>37500.1</v>
      </c>
      <c r="AF74" s="27">
        <f t="shared" si="79"/>
        <v>23261.925800000005</v>
      </c>
      <c r="AG74" s="8">
        <f t="shared" si="80"/>
        <v>0.38283657422099976</v>
      </c>
      <c r="AH74" s="15">
        <f t="shared" ref="AH74" si="88">AE74+AF74</f>
        <v>60762.025800000003</v>
      </c>
    </row>
    <row r="75" spans="1:34" ht="15" customHeight="1" x14ac:dyDescent="0.35">
      <c r="A75" s="14">
        <v>69</v>
      </c>
      <c r="B75" s="67" t="s">
        <v>103</v>
      </c>
      <c r="C75" s="97"/>
      <c r="D75" s="1">
        <v>1</v>
      </c>
      <c r="E75" s="24">
        <v>1243340</v>
      </c>
      <c r="F75" s="24">
        <v>607620.25800000003</v>
      </c>
      <c r="G75" s="108">
        <f t="shared" si="85"/>
        <v>-607620.25800000003</v>
      </c>
      <c r="H75" s="26" t="s">
        <v>33</v>
      </c>
      <c r="I75" s="26" t="s">
        <v>33</v>
      </c>
      <c r="J75" s="26" t="s">
        <v>33</v>
      </c>
      <c r="K75" s="26" t="s">
        <v>33</v>
      </c>
      <c r="L75" s="26" t="s">
        <v>33</v>
      </c>
      <c r="M75" s="26" t="s">
        <v>33</v>
      </c>
      <c r="N75" s="26" t="s">
        <v>33</v>
      </c>
      <c r="O75" s="26" t="s">
        <v>33</v>
      </c>
      <c r="P75" s="26" t="s">
        <v>33</v>
      </c>
      <c r="Q75" s="26" t="s">
        <v>33</v>
      </c>
      <c r="R75" s="26" t="s">
        <v>33</v>
      </c>
      <c r="S75" s="26" t="s">
        <v>33</v>
      </c>
      <c r="T75" s="26" t="s">
        <v>33</v>
      </c>
      <c r="U75" s="26" t="s">
        <v>33</v>
      </c>
      <c r="V75" s="26" t="s">
        <v>33</v>
      </c>
      <c r="W75" s="26" t="s">
        <v>33</v>
      </c>
      <c r="X75" s="26" t="s">
        <v>33</v>
      </c>
      <c r="Y75" s="26" t="s">
        <v>33</v>
      </c>
      <c r="Z75" s="26" t="s">
        <v>33</v>
      </c>
      <c r="AA75" s="26" t="s">
        <v>33</v>
      </c>
      <c r="AB75" s="26" t="s">
        <v>33</v>
      </c>
      <c r="AC75" s="32">
        <v>400000</v>
      </c>
      <c r="AD75" s="16">
        <v>0.1</v>
      </c>
      <c r="AE75" s="31">
        <f t="shared" si="78"/>
        <v>400000.1</v>
      </c>
      <c r="AF75" s="27">
        <f t="shared" si="79"/>
        <v>207620.15800000005</v>
      </c>
      <c r="AG75" s="8">
        <f t="shared" si="80"/>
        <v>0.34169393674165494</v>
      </c>
      <c r="AH75" s="15">
        <f>AE75+AF75</f>
        <v>607620.25800000003</v>
      </c>
    </row>
    <row r="76" spans="1:34" ht="15.75" customHeight="1" thickBot="1" x14ac:dyDescent="0.4">
      <c r="A76" s="14">
        <v>70</v>
      </c>
      <c r="B76" s="58" t="s">
        <v>104</v>
      </c>
      <c r="C76" s="92"/>
      <c r="D76" s="1">
        <v>1</v>
      </c>
      <c r="E76" s="24">
        <v>155417</v>
      </c>
      <c r="F76" s="24">
        <v>75952.28790000001</v>
      </c>
      <c r="G76" s="108">
        <f t="shared" si="85"/>
        <v>-75952.28790000001</v>
      </c>
      <c r="H76" s="26" t="s">
        <v>33</v>
      </c>
      <c r="I76" s="26" t="s">
        <v>33</v>
      </c>
      <c r="J76" s="26" t="s">
        <v>33</v>
      </c>
      <c r="K76" s="26" t="s">
        <v>33</v>
      </c>
      <c r="L76" s="26" t="s">
        <v>33</v>
      </c>
      <c r="M76" s="26" t="s">
        <v>33</v>
      </c>
      <c r="N76" s="26" t="s">
        <v>33</v>
      </c>
      <c r="O76" s="26" t="s">
        <v>33</v>
      </c>
      <c r="P76" s="26" t="s">
        <v>33</v>
      </c>
      <c r="Q76" s="26" t="s">
        <v>33</v>
      </c>
      <c r="R76" s="26" t="s">
        <v>33</v>
      </c>
      <c r="S76" s="26" t="s">
        <v>33</v>
      </c>
      <c r="T76" s="26" t="s">
        <v>33</v>
      </c>
      <c r="U76" s="26" t="s">
        <v>33</v>
      </c>
      <c r="V76" s="26" t="s">
        <v>33</v>
      </c>
      <c r="W76" s="26" t="s">
        <v>33</v>
      </c>
      <c r="X76" s="26" t="s">
        <v>33</v>
      </c>
      <c r="Y76" s="26" t="s">
        <v>33</v>
      </c>
      <c r="Z76" s="26" t="s">
        <v>33</v>
      </c>
      <c r="AA76" s="26" t="s">
        <v>33</v>
      </c>
      <c r="AB76" s="26" t="s">
        <v>33</v>
      </c>
      <c r="AC76" s="32">
        <f>AC75/8</f>
        <v>50000</v>
      </c>
      <c r="AD76" s="16">
        <v>0.1</v>
      </c>
      <c r="AE76" s="31">
        <f t="shared" si="78"/>
        <v>50000.1</v>
      </c>
      <c r="AF76" s="27">
        <f t="shared" si="79"/>
        <v>25952.187900000012</v>
      </c>
      <c r="AG76" s="8">
        <f t="shared" si="80"/>
        <v>0.34169066683243399</v>
      </c>
      <c r="AH76" s="15">
        <f t="shared" ref="AH76:AH77" si="89">AE76+AF76</f>
        <v>75952.28790000001</v>
      </c>
    </row>
    <row r="77" spans="1:34" ht="15" customHeight="1" x14ac:dyDescent="0.35">
      <c r="A77" s="14">
        <v>71</v>
      </c>
      <c r="B77" s="90" t="s">
        <v>105</v>
      </c>
      <c r="C77" s="93"/>
      <c r="D77" s="1">
        <v>1</v>
      </c>
      <c r="E77" s="24">
        <v>139876</v>
      </c>
      <c r="F77" s="24">
        <v>68357.401200000008</v>
      </c>
      <c r="G77" s="108">
        <f t="shared" si="85"/>
        <v>-68357.401200000008</v>
      </c>
      <c r="H77" s="26" t="s">
        <v>33</v>
      </c>
      <c r="I77" s="26" t="s">
        <v>33</v>
      </c>
      <c r="J77" s="26" t="s">
        <v>33</v>
      </c>
      <c r="K77" s="26" t="s">
        <v>33</v>
      </c>
      <c r="L77" s="26" t="s">
        <v>33</v>
      </c>
      <c r="M77" s="26" t="s">
        <v>33</v>
      </c>
      <c r="N77" s="26" t="s">
        <v>33</v>
      </c>
      <c r="O77" s="26" t="s">
        <v>33</v>
      </c>
      <c r="P77" s="26" t="s">
        <v>33</v>
      </c>
      <c r="Q77" s="26" t="s">
        <v>33</v>
      </c>
      <c r="R77" s="26" t="s">
        <v>33</v>
      </c>
      <c r="S77" s="26" t="s">
        <v>33</v>
      </c>
      <c r="T77" s="26" t="s">
        <v>33</v>
      </c>
      <c r="U77" s="26" t="s">
        <v>33</v>
      </c>
      <c r="V77" s="26" t="s">
        <v>33</v>
      </c>
      <c r="W77" s="26" t="s">
        <v>33</v>
      </c>
      <c r="X77" s="26" t="s">
        <v>33</v>
      </c>
      <c r="Y77" s="26" t="s">
        <v>33</v>
      </c>
      <c r="Z77" s="26" t="s">
        <v>33</v>
      </c>
      <c r="AA77" s="26" t="s">
        <v>33</v>
      </c>
      <c r="AB77" s="26" t="s">
        <v>33</v>
      </c>
      <c r="AC77" s="31">
        <v>42000</v>
      </c>
      <c r="AD77" s="16">
        <v>0.1</v>
      </c>
      <c r="AE77" s="31">
        <f t="shared" si="78"/>
        <v>42000.1</v>
      </c>
      <c r="AF77" s="27">
        <f t="shared" si="79"/>
        <v>26357.301200000009</v>
      </c>
      <c r="AG77" s="8">
        <f t="shared" si="80"/>
        <v>0.38558079648001609</v>
      </c>
      <c r="AH77" s="15">
        <f t="shared" si="89"/>
        <v>68357.401200000008</v>
      </c>
    </row>
    <row r="79" spans="1:34" x14ac:dyDescent="0.35">
      <c r="AF79" s="43" t="s">
        <v>110</v>
      </c>
      <c r="AG79" s="42">
        <f>AVERAGE(AG5:AG77)</f>
        <v>0.65526128646683879</v>
      </c>
    </row>
  </sheetData>
  <mergeCells count="112">
    <mergeCell ref="A1:D1"/>
    <mergeCell ref="A3:A4"/>
    <mergeCell ref="B3:C4"/>
    <mergeCell ref="D3:D4"/>
    <mergeCell ref="E3:E4"/>
    <mergeCell ref="F3:F4"/>
    <mergeCell ref="AG3:AG4"/>
    <mergeCell ref="AH3:AH4"/>
    <mergeCell ref="B5:C5"/>
    <mergeCell ref="G3:G4"/>
    <mergeCell ref="B6:C6"/>
    <mergeCell ref="B7:C7"/>
    <mergeCell ref="B8:C8"/>
    <mergeCell ref="AA3:AA4"/>
    <mergeCell ref="AB3:AB4"/>
    <mergeCell ref="AC3:AC4"/>
    <mergeCell ref="AD3:AD4"/>
    <mergeCell ref="AE3:AE4"/>
    <mergeCell ref="AF3:AF4"/>
    <mergeCell ref="H3:H4"/>
    <mergeCell ref="I3:I4"/>
    <mergeCell ref="J3:O3"/>
    <mergeCell ref="P3:P4"/>
    <mergeCell ref="Q3:Q4"/>
    <mergeCell ref="R3:Z3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51:C51"/>
    <mergeCell ref="B52:C52"/>
    <mergeCell ref="B53:C53"/>
    <mergeCell ref="B54:C54"/>
    <mergeCell ref="A55:A56"/>
    <mergeCell ref="B55:C56"/>
    <mergeCell ref="B45:C45"/>
    <mergeCell ref="B46:C46"/>
    <mergeCell ref="B47:C47"/>
    <mergeCell ref="B48:C48"/>
    <mergeCell ref="B49:C49"/>
    <mergeCell ref="B50:C50"/>
    <mergeCell ref="AG55:AG56"/>
    <mergeCell ref="AH55:AH56"/>
    <mergeCell ref="B57:C57"/>
    <mergeCell ref="P55:P56"/>
    <mergeCell ref="Q55:Q56"/>
    <mergeCell ref="R55:Z55"/>
    <mergeCell ref="AA55:AA56"/>
    <mergeCell ref="AB55:AB56"/>
    <mergeCell ref="AC55:AC56"/>
    <mergeCell ref="D55:D56"/>
    <mergeCell ref="E55:E56"/>
    <mergeCell ref="F55:F56"/>
    <mergeCell ref="H55:H56"/>
    <mergeCell ref="I55:I56"/>
    <mergeCell ref="J55:O55"/>
    <mergeCell ref="G55:G56"/>
    <mergeCell ref="B58:C58"/>
    <mergeCell ref="B59:C59"/>
    <mergeCell ref="B60:C60"/>
    <mergeCell ref="B61:C61"/>
    <mergeCell ref="B62:C62"/>
    <mergeCell ref="B63:C63"/>
    <mergeCell ref="AD55:AD56"/>
    <mergeCell ref="AE55:AE56"/>
    <mergeCell ref="AF55:AF56"/>
    <mergeCell ref="B76:C76"/>
    <mergeCell ref="B77:C77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813AB-FEB5-45BD-A73B-93CADAC16227}">
  <dimension ref="A1:AH79"/>
  <sheetViews>
    <sheetView tabSelected="1" topLeftCell="D1" zoomScale="85" zoomScaleNormal="85" workbookViewId="0">
      <selection activeCell="G3" sqref="G3:G4"/>
    </sheetView>
  </sheetViews>
  <sheetFormatPr baseColWidth="10" defaultRowHeight="14.5" x14ac:dyDescent="0.35"/>
  <cols>
    <col min="3" max="3" width="78.1796875" customWidth="1"/>
    <col min="5" max="5" width="26.1796875" bestFit="1" customWidth="1"/>
    <col min="6" max="6" width="23.453125" bestFit="1" customWidth="1"/>
    <col min="7" max="7" width="23.453125" customWidth="1"/>
    <col min="10" max="10" width="17.1796875" bestFit="1" customWidth="1"/>
    <col min="11" max="11" width="12.1796875" bestFit="1" customWidth="1"/>
    <col min="12" max="12" width="12.81640625" bestFit="1" customWidth="1"/>
    <col min="13" max="14" width="13.1796875" bestFit="1" customWidth="1"/>
    <col min="15" max="15" width="14.26953125" bestFit="1" customWidth="1"/>
    <col min="21" max="22" width="15.81640625" bestFit="1" customWidth="1"/>
    <col min="23" max="23" width="14.54296875" bestFit="1" customWidth="1"/>
    <col min="24" max="24" width="15.81640625" bestFit="1" customWidth="1"/>
    <col min="25" max="25" width="12.81640625" bestFit="1" customWidth="1"/>
    <col min="26" max="26" width="12.54296875" bestFit="1" customWidth="1"/>
    <col min="27" max="27" width="17.7265625" bestFit="1" customWidth="1"/>
    <col min="28" max="28" width="14.1796875" bestFit="1" customWidth="1"/>
    <col min="29" max="29" width="33.81640625" bestFit="1" customWidth="1"/>
    <col min="31" max="31" width="16.7265625" bestFit="1" customWidth="1"/>
    <col min="32" max="32" width="22.81640625" bestFit="1" customWidth="1"/>
    <col min="34" max="34" width="40" bestFit="1" customWidth="1"/>
  </cols>
  <sheetData>
    <row r="1" spans="1:34" x14ac:dyDescent="0.35">
      <c r="A1" s="50" t="s">
        <v>3</v>
      </c>
      <c r="B1" s="51"/>
      <c r="C1" s="51"/>
      <c r="D1" s="51"/>
      <c r="E1" s="11"/>
      <c r="F1" s="12"/>
      <c r="G1" s="12"/>
      <c r="H1" s="10"/>
      <c r="I1" s="10"/>
      <c r="J1" s="10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35">
      <c r="A2" s="2"/>
      <c r="B2" s="2"/>
      <c r="C2" s="9"/>
      <c r="D2" s="2"/>
      <c r="E2" s="11"/>
      <c r="F2" s="12"/>
      <c r="G2" s="12"/>
      <c r="H2" s="10"/>
      <c r="I2" s="10"/>
      <c r="J2" s="10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x14ac:dyDescent="0.35">
      <c r="A3" s="52" t="s">
        <v>0</v>
      </c>
      <c r="B3" s="86" t="s">
        <v>1</v>
      </c>
      <c r="C3" s="87"/>
      <c r="D3" s="52" t="s">
        <v>2</v>
      </c>
      <c r="E3" s="46" t="s">
        <v>31</v>
      </c>
      <c r="F3" s="46" t="s">
        <v>32</v>
      </c>
      <c r="G3" s="110" t="s">
        <v>112</v>
      </c>
      <c r="H3" s="47" t="s">
        <v>4</v>
      </c>
      <c r="I3" s="47" t="s">
        <v>5</v>
      </c>
      <c r="J3" s="48" t="s">
        <v>6</v>
      </c>
      <c r="K3" s="48"/>
      <c r="L3" s="48"/>
      <c r="M3" s="48"/>
      <c r="N3" s="48"/>
      <c r="O3" s="48"/>
      <c r="P3" s="49" t="s">
        <v>7</v>
      </c>
      <c r="Q3" s="49" t="s">
        <v>8</v>
      </c>
      <c r="R3" s="48" t="s">
        <v>9</v>
      </c>
      <c r="S3" s="48"/>
      <c r="T3" s="48"/>
      <c r="U3" s="48"/>
      <c r="V3" s="48"/>
      <c r="W3" s="48"/>
      <c r="X3" s="48"/>
      <c r="Y3" s="48"/>
      <c r="Z3" s="48"/>
      <c r="AA3" s="49" t="s">
        <v>10</v>
      </c>
      <c r="AB3" s="49" t="s">
        <v>11</v>
      </c>
      <c r="AC3" s="53" t="s">
        <v>12</v>
      </c>
      <c r="AD3" s="53" t="s">
        <v>108</v>
      </c>
      <c r="AE3" s="54" t="s">
        <v>13</v>
      </c>
      <c r="AF3" s="53" t="s">
        <v>14</v>
      </c>
      <c r="AG3" s="55" t="s">
        <v>15</v>
      </c>
      <c r="AH3" s="55" t="s">
        <v>34</v>
      </c>
    </row>
    <row r="4" spans="1:34" ht="39.5" thickBot="1" x14ac:dyDescent="0.4">
      <c r="A4" s="52"/>
      <c r="B4" s="88"/>
      <c r="C4" s="89"/>
      <c r="D4" s="52"/>
      <c r="E4" s="46"/>
      <c r="F4" s="46"/>
      <c r="G4" s="111"/>
      <c r="H4" s="47"/>
      <c r="I4" s="47"/>
      <c r="J4" s="4" t="s">
        <v>16</v>
      </c>
      <c r="K4" s="3" t="s">
        <v>17</v>
      </c>
      <c r="L4" s="4" t="s">
        <v>18</v>
      </c>
      <c r="M4" s="4" t="s">
        <v>19</v>
      </c>
      <c r="N4" s="4" t="s">
        <v>20</v>
      </c>
      <c r="O4" s="4" t="s">
        <v>21</v>
      </c>
      <c r="P4" s="49"/>
      <c r="Q4" s="49"/>
      <c r="R4" s="4" t="s">
        <v>22</v>
      </c>
      <c r="S4" s="4" t="s">
        <v>23</v>
      </c>
      <c r="T4" s="4" t="s">
        <v>24</v>
      </c>
      <c r="U4" s="4" t="s">
        <v>25</v>
      </c>
      <c r="V4" s="4" t="s">
        <v>26</v>
      </c>
      <c r="W4" s="4" t="s">
        <v>27</v>
      </c>
      <c r="X4" s="4" t="s">
        <v>28</v>
      </c>
      <c r="Y4" s="4" t="s">
        <v>29</v>
      </c>
      <c r="Z4" s="4" t="s">
        <v>30</v>
      </c>
      <c r="AA4" s="49"/>
      <c r="AB4" s="49"/>
      <c r="AC4" s="53"/>
      <c r="AD4" s="53"/>
      <c r="AE4" s="54"/>
      <c r="AF4" s="53"/>
      <c r="AG4" s="55"/>
      <c r="AH4" s="55" t="s">
        <v>35</v>
      </c>
    </row>
    <row r="5" spans="1:34" ht="15" customHeight="1" x14ac:dyDescent="0.35">
      <c r="A5" s="14">
        <v>1</v>
      </c>
      <c r="B5" s="69" t="s">
        <v>36</v>
      </c>
      <c r="C5" s="85"/>
      <c r="D5" s="17">
        <v>1</v>
      </c>
      <c r="E5" s="28">
        <v>21347814</v>
      </c>
      <c r="F5" s="28">
        <v>8863612.3728</v>
      </c>
      <c r="G5" s="112">
        <f>(21347814*58.48%)-21347814</f>
        <v>-8863612.3728</v>
      </c>
      <c r="H5" s="18">
        <v>4000</v>
      </c>
      <c r="I5" s="18">
        <v>40</v>
      </c>
      <c r="J5" s="19">
        <v>200000</v>
      </c>
      <c r="K5" s="20">
        <f>(665500/12)</f>
        <v>55458.333333333336</v>
      </c>
      <c r="L5" s="20">
        <f>(319000/12)</f>
        <v>26583.333333333332</v>
      </c>
      <c r="M5" s="20">
        <f>(5093602/12)</f>
        <v>424466.83333333331</v>
      </c>
      <c r="N5" s="20">
        <f>(1465288/12)</f>
        <v>122107.33333333333</v>
      </c>
      <c r="O5" s="20">
        <f>(900000/6)</f>
        <v>150000</v>
      </c>
      <c r="P5" s="20">
        <f>(350000/12)</f>
        <v>29166.666666666668</v>
      </c>
      <c r="Q5" s="20">
        <f t="shared" ref="Q5" si="0">(180000000-110000000)/20/365</f>
        <v>9589.0410958904104</v>
      </c>
      <c r="R5" s="20">
        <f>+(H5/150000)*200000</f>
        <v>5333.3333333333339</v>
      </c>
      <c r="S5" s="20">
        <f>(200000/150000)*H5</f>
        <v>5333.333333333333</v>
      </c>
      <c r="T5" s="20">
        <f>+(H5/100000)*300000</f>
        <v>12000</v>
      </c>
      <c r="U5" s="20">
        <f>+(H5/45000)*300000</f>
        <v>26666.666666666668</v>
      </c>
      <c r="V5" s="20">
        <f>+(H5/40000)*700000</f>
        <v>70000</v>
      </c>
      <c r="W5" s="20">
        <f>+(H5/6000)*150000</f>
        <v>100000</v>
      </c>
      <c r="X5" s="20">
        <f>+(H5/90000)*1900000</f>
        <v>84444.444444444453</v>
      </c>
      <c r="Y5" s="20">
        <f>+(H5/50000)*530000</f>
        <v>42400</v>
      </c>
      <c r="Z5" s="20">
        <f>+(H5/50000)*1800000</f>
        <v>144000</v>
      </c>
      <c r="AA5" s="20">
        <v>400000</v>
      </c>
      <c r="AB5" s="20">
        <f t="shared" ref="AB5:AB36" si="1">+(H5/I5)*13747</f>
        <v>1374700</v>
      </c>
      <c r="AC5" s="20">
        <f>3092909/1</f>
        <v>3092909</v>
      </c>
      <c r="AD5" s="21">
        <v>0.1</v>
      </c>
      <c r="AE5" s="22">
        <f>SUM(J5:AD5)</f>
        <v>6375158.4188736677</v>
      </c>
      <c r="AF5" s="22">
        <f>+F5-AE5</f>
        <v>2488453.9539263323</v>
      </c>
      <c r="AG5" s="8">
        <f>(F5-AE5)/F5</f>
        <v>0.28074941110497076</v>
      </c>
      <c r="AH5" s="15">
        <f t="shared" ref="AH5" si="2">AE5+AF5</f>
        <v>8863612.3728</v>
      </c>
    </row>
    <row r="6" spans="1:34" ht="15" customHeight="1" x14ac:dyDescent="0.35">
      <c r="A6" s="14">
        <v>2</v>
      </c>
      <c r="B6" s="63" t="s">
        <v>37</v>
      </c>
      <c r="C6" s="64"/>
      <c r="D6" s="1">
        <v>1</v>
      </c>
      <c r="E6" s="24">
        <v>1537043</v>
      </c>
      <c r="F6" s="24">
        <v>638180.25360000005</v>
      </c>
      <c r="G6" s="112">
        <f>(E6*58.48%)-E6</f>
        <v>-638180.25360000005</v>
      </c>
      <c r="H6" s="5">
        <v>150</v>
      </c>
      <c r="I6" s="5">
        <v>40</v>
      </c>
      <c r="J6" s="13">
        <f>J5/30</f>
        <v>6666.666666666667</v>
      </c>
      <c r="K6" s="6">
        <f>(665500/365)</f>
        <v>1823.2876712328766</v>
      </c>
      <c r="L6" s="6">
        <f>(319000/365)</f>
        <v>873.97260273972597</v>
      </c>
      <c r="M6" s="6">
        <f t="shared" ref="M6" si="3">(5093602/365)</f>
        <v>13955.07397260274</v>
      </c>
      <c r="N6" s="6">
        <f>(1465288/365)</f>
        <v>4014.4876712328769</v>
      </c>
      <c r="O6" s="6">
        <f>(900000/6)/365</f>
        <v>410.95890410958901</v>
      </c>
      <c r="P6" s="6">
        <f t="shared" ref="P6" si="4">(350000/365)</f>
        <v>958.90410958904113</v>
      </c>
      <c r="Q6" s="6">
        <f>(180000000-110000000)/20/365</f>
        <v>9589.0410958904104</v>
      </c>
      <c r="R6" s="6">
        <f>+(H6/150000)*200000</f>
        <v>200</v>
      </c>
      <c r="S6" s="6">
        <f>(200000/150000)*H6</f>
        <v>200</v>
      </c>
      <c r="T6" s="6">
        <f>+(H6/100000)*300000</f>
        <v>450</v>
      </c>
      <c r="U6" s="6">
        <f>+(H6/45000)*300000</f>
        <v>1000.0000000000001</v>
      </c>
      <c r="V6" s="6">
        <f>+(H6/40000)*700000</f>
        <v>2625</v>
      </c>
      <c r="W6" s="6">
        <f>+(H6/6000)*150000</f>
        <v>3750</v>
      </c>
      <c r="X6" s="6">
        <f>+(H6/90000)*1900000</f>
        <v>3166.666666666667</v>
      </c>
      <c r="Y6" s="6">
        <f>+(H6/50000)*530000</f>
        <v>1590</v>
      </c>
      <c r="Z6" s="6">
        <f>+(H6/50000)*1800000</f>
        <v>5400</v>
      </c>
      <c r="AA6" s="6">
        <f>AA5/30</f>
        <v>13333.333333333334</v>
      </c>
      <c r="AB6" s="6">
        <f t="shared" si="1"/>
        <v>51551.25</v>
      </c>
      <c r="AC6" s="6">
        <v>114600</v>
      </c>
      <c r="AD6" s="16">
        <v>0.1</v>
      </c>
      <c r="AE6" s="7">
        <f>SUM(K6:AD6)</f>
        <v>229492.07602739727</v>
      </c>
      <c r="AF6" s="7">
        <f>+F6-AE6</f>
        <v>408688.17757260276</v>
      </c>
      <c r="AG6" s="8">
        <f>(F6-AE6)/F6</f>
        <v>0.64039615025249774</v>
      </c>
      <c r="AH6" s="15">
        <f>AE6+AF6</f>
        <v>638180.25360000005</v>
      </c>
    </row>
    <row r="7" spans="1:34" ht="15" customHeight="1" x14ac:dyDescent="0.35">
      <c r="A7" s="14">
        <v>3</v>
      </c>
      <c r="B7" s="63" t="s">
        <v>38</v>
      </c>
      <c r="C7" s="64"/>
      <c r="D7" s="1">
        <v>1</v>
      </c>
      <c r="E7" s="24">
        <v>307409</v>
      </c>
      <c r="F7" s="24">
        <v>127636.21679999999</v>
      </c>
      <c r="G7" s="112">
        <f t="shared" ref="G7:G70" si="5">(E7*58.48%)-E7</f>
        <v>-127636.21679999999</v>
      </c>
      <c r="H7" s="5">
        <v>30</v>
      </c>
      <c r="I7" s="5">
        <v>40</v>
      </c>
      <c r="J7" s="13">
        <f>J6/24</f>
        <v>277.77777777777777</v>
      </c>
      <c r="K7" s="6">
        <f>(665500/365)/24</f>
        <v>75.970319634703188</v>
      </c>
      <c r="L7" s="6">
        <f>(319000/365)/24</f>
        <v>36.415525114155251</v>
      </c>
      <c r="M7" s="6">
        <f>(5093602/365)/24</f>
        <v>581.46141552511415</v>
      </c>
      <c r="N7" s="6">
        <f>(1465288/365)/24</f>
        <v>167.27031963470321</v>
      </c>
      <c r="O7" s="6">
        <f>(900000/6)/1440</f>
        <v>104.16666666666667</v>
      </c>
      <c r="P7" s="6">
        <f>(350000/365)/24</f>
        <v>39.954337899543383</v>
      </c>
      <c r="Q7" s="6">
        <f>(180000000-110000000)/20/365/24</f>
        <v>399.54337899543378</v>
      </c>
      <c r="R7" s="6">
        <f>+(H7/150000)*200000</f>
        <v>40</v>
      </c>
      <c r="S7" s="6">
        <f>(200000/150000)*H7</f>
        <v>40</v>
      </c>
      <c r="T7" s="6">
        <f>+(H7/100000)*300000</f>
        <v>89.999999999999986</v>
      </c>
      <c r="U7" s="6">
        <f>+(H7/45000)*300000</f>
        <v>200</v>
      </c>
      <c r="V7" s="6">
        <f>+(H7/40000)*700000</f>
        <v>525</v>
      </c>
      <c r="W7" s="6">
        <f>+(H7/6000)*150000</f>
        <v>750</v>
      </c>
      <c r="X7" s="6">
        <f>+(H7/90000)*1900000</f>
        <v>633.33333333333326</v>
      </c>
      <c r="Y7" s="6">
        <f>+(H7/50000)*530000/8</f>
        <v>39.75</v>
      </c>
      <c r="Z7" s="6">
        <f>+(H7/50000)*1800000/8</f>
        <v>135</v>
      </c>
      <c r="AA7" s="6">
        <f>$AA$6/8</f>
        <v>1666.6666666666667</v>
      </c>
      <c r="AB7" s="6">
        <f t="shared" si="1"/>
        <v>10310.25</v>
      </c>
      <c r="AC7" s="6">
        <f>(3092909/30)/8</f>
        <v>12887.120833333332</v>
      </c>
      <c r="AD7" s="16">
        <v>0.1</v>
      </c>
      <c r="AE7" s="7">
        <f>SUM(J7:AD7)</f>
        <v>28999.780574581426</v>
      </c>
      <c r="AF7" s="7">
        <f>+F7-AE7</f>
        <v>98636.436225418569</v>
      </c>
      <c r="AG7" s="8">
        <f>(F7-AE7)/F7</f>
        <v>0.7727934805524459</v>
      </c>
      <c r="AH7" s="15">
        <f t="shared" ref="AH7" si="6">AE7+AF7</f>
        <v>127636.21679999999</v>
      </c>
    </row>
    <row r="8" spans="1:34" ht="15" customHeight="1" x14ac:dyDescent="0.35">
      <c r="A8" s="23">
        <v>4</v>
      </c>
      <c r="B8" s="63" t="s">
        <v>39</v>
      </c>
      <c r="C8" s="64"/>
      <c r="D8" s="1">
        <v>1</v>
      </c>
      <c r="E8" s="24">
        <v>375722</v>
      </c>
      <c r="F8" s="24">
        <v>155999.77439999999</v>
      </c>
      <c r="G8" s="112">
        <f t="shared" si="5"/>
        <v>-155999.77439999999</v>
      </c>
      <c r="H8" s="5">
        <v>30</v>
      </c>
      <c r="I8" s="5">
        <v>40</v>
      </c>
      <c r="J8" s="13">
        <v>277.77999999999997</v>
      </c>
      <c r="K8" s="6">
        <f>(665500/365)/24</f>
        <v>75.970319634703188</v>
      </c>
      <c r="L8" s="6">
        <f>(319000/365)/24</f>
        <v>36.415525114155251</v>
      </c>
      <c r="M8" s="6">
        <f>(5093602/365)/24</f>
        <v>581.46141552511415</v>
      </c>
      <c r="N8" s="6">
        <f>(1465288/365)/24</f>
        <v>167.27031963470321</v>
      </c>
      <c r="O8" s="6">
        <f>(900000/6)/1440</f>
        <v>104.16666666666667</v>
      </c>
      <c r="P8" s="6">
        <f>(350000/365)/24</f>
        <v>39.954337899543383</v>
      </c>
      <c r="Q8" s="6">
        <f>(180000000-110000000)/20/365/24</f>
        <v>399.54337899543378</v>
      </c>
      <c r="R8" s="6">
        <f>+(H8/150000)*200000</f>
        <v>40</v>
      </c>
      <c r="S8" s="6">
        <f>(200000/150000)*H8</f>
        <v>40</v>
      </c>
      <c r="T8" s="6">
        <f>+(H8/100000)*300000</f>
        <v>89.999999999999986</v>
      </c>
      <c r="U8" s="6">
        <f>+(H8/45000)*300000</f>
        <v>200</v>
      </c>
      <c r="V8" s="6">
        <f>+(H8/40000)*700000</f>
        <v>525</v>
      </c>
      <c r="W8" s="6">
        <f>+(H8/6000)*150000</f>
        <v>750</v>
      </c>
      <c r="X8" s="6">
        <f>+(H8/90000)*1900000</f>
        <v>633.33333333333326</v>
      </c>
      <c r="Y8" s="6">
        <f>+(H8/50000)*530000/8</f>
        <v>39.75</v>
      </c>
      <c r="Z8" s="6">
        <f>+(H8/50000)*15800000/8</f>
        <v>1185</v>
      </c>
      <c r="AA8" s="6">
        <f t="shared" ref="AA8:AA9" si="7">$AA$6/8</f>
        <v>1666.6666666666667</v>
      </c>
      <c r="AB8" s="6">
        <f t="shared" si="1"/>
        <v>10310.25</v>
      </c>
      <c r="AC8" s="6">
        <v>13928</v>
      </c>
      <c r="AD8" s="16">
        <v>0.1</v>
      </c>
      <c r="AE8" s="7">
        <f>SUM(J8:AD8)</f>
        <v>31090.661963470317</v>
      </c>
      <c r="AF8" s="7">
        <f>+F8-AE8</f>
        <v>124909.11243652969</v>
      </c>
      <c r="AG8" s="8">
        <f>(F8-AE8)/F8</f>
        <v>0.80070059663195059</v>
      </c>
      <c r="AH8" s="15">
        <f t="shared" ref="AH8" si="8">AE8+AF8</f>
        <v>155999.77439999999</v>
      </c>
    </row>
    <row r="9" spans="1:34" ht="15.75" customHeight="1" thickBot="1" x14ac:dyDescent="0.4">
      <c r="A9" s="14">
        <v>5</v>
      </c>
      <c r="B9" s="65" t="s">
        <v>40</v>
      </c>
      <c r="C9" s="66"/>
      <c r="D9" s="1">
        <v>1</v>
      </c>
      <c r="E9" s="24">
        <v>478191</v>
      </c>
      <c r="F9" s="24">
        <v>198544.9032</v>
      </c>
      <c r="G9" s="112">
        <f t="shared" si="5"/>
        <v>-198544.9032</v>
      </c>
      <c r="H9" s="5">
        <v>30</v>
      </c>
      <c r="I9" s="5">
        <v>40</v>
      </c>
      <c r="J9" s="13">
        <v>277.77999999999997</v>
      </c>
      <c r="K9" s="6">
        <f>(665500/365)/24</f>
        <v>75.970319634703188</v>
      </c>
      <c r="L9" s="6">
        <f>(319000/365)/24</f>
        <v>36.415525114155251</v>
      </c>
      <c r="M9" s="6">
        <f>(5093602/365)/24</f>
        <v>581.46141552511415</v>
      </c>
      <c r="N9" s="6">
        <f>(1465288/365)/24</f>
        <v>167.27031963470321</v>
      </c>
      <c r="O9" s="6">
        <f>(900000/6)/1440</f>
        <v>104.16666666666667</v>
      </c>
      <c r="P9" s="6">
        <f>(350000/365)/24</f>
        <v>39.954337899543383</v>
      </c>
      <c r="Q9" s="6">
        <f>(180000000-110000000)/20/365/24</f>
        <v>399.54337899543378</v>
      </c>
      <c r="R9" s="6">
        <f>+(H9/150000)*200000</f>
        <v>40</v>
      </c>
      <c r="S9" s="6">
        <f>(200000/150000)*H9</f>
        <v>40</v>
      </c>
      <c r="T9" s="6">
        <f>+(H9/100000)*300000</f>
        <v>89.999999999999986</v>
      </c>
      <c r="U9" s="6">
        <f>+(H9/45000)*300000</f>
        <v>200</v>
      </c>
      <c r="V9" s="6">
        <f>+(H9/40000)*700000</f>
        <v>525</v>
      </c>
      <c r="W9" s="6">
        <f>+(H9/6000)*150000</f>
        <v>750</v>
      </c>
      <c r="X9" s="6">
        <f>+(H9/90000)*1900000</f>
        <v>633.33333333333326</v>
      </c>
      <c r="Y9" s="6">
        <f>+(H9/50000)*530000/8</f>
        <v>39.75</v>
      </c>
      <c r="Z9" s="6">
        <f>+(H9/50000)*1500000/8</f>
        <v>112.49999999999999</v>
      </c>
      <c r="AA9" s="6">
        <f t="shared" si="7"/>
        <v>1666.6666666666667</v>
      </c>
      <c r="AB9" s="6">
        <f t="shared" si="1"/>
        <v>10310.25</v>
      </c>
      <c r="AC9" s="6">
        <v>17711</v>
      </c>
      <c r="AD9" s="16">
        <v>0.1</v>
      </c>
      <c r="AE9" s="7">
        <f>SUM(J9:AD9)</f>
        <v>33801.161963470317</v>
      </c>
      <c r="AF9" s="7">
        <f>+F9-AE9</f>
        <v>164743.74123652969</v>
      </c>
      <c r="AG9" s="8">
        <f>(F9-AE9)/F9</f>
        <v>0.82975557962612911</v>
      </c>
      <c r="AH9" s="15">
        <f t="shared" ref="AH9" si="9">AE9+AF9</f>
        <v>198544.9032</v>
      </c>
    </row>
    <row r="10" spans="1:34" ht="15" customHeight="1" x14ac:dyDescent="0.35">
      <c r="A10" s="14">
        <v>6</v>
      </c>
      <c r="B10" s="67" t="s">
        <v>41</v>
      </c>
      <c r="C10" s="68"/>
      <c r="D10" s="1">
        <v>1</v>
      </c>
      <c r="E10" s="24">
        <v>7770604</v>
      </c>
      <c r="F10" s="24">
        <v>3226354.7807999998</v>
      </c>
      <c r="G10" s="112">
        <f t="shared" si="5"/>
        <v>-3226354.7807999998</v>
      </c>
      <c r="H10" s="5">
        <v>1000</v>
      </c>
      <c r="I10" s="5">
        <v>40</v>
      </c>
      <c r="J10" s="13">
        <v>50000</v>
      </c>
      <c r="K10" s="6">
        <f>$K$5/4</f>
        <v>13864.583333333334</v>
      </c>
      <c r="L10" s="6">
        <f t="shared" ref="L10:Y10" si="10">$K$5/4</f>
        <v>13864.583333333334</v>
      </c>
      <c r="M10" s="6">
        <f t="shared" si="10"/>
        <v>13864.583333333334</v>
      </c>
      <c r="N10" s="6">
        <f t="shared" si="10"/>
        <v>13864.583333333334</v>
      </c>
      <c r="O10" s="6">
        <f t="shared" si="10"/>
        <v>13864.583333333334</v>
      </c>
      <c r="P10" s="6">
        <f t="shared" si="10"/>
        <v>13864.583333333334</v>
      </c>
      <c r="Q10" s="6">
        <f t="shared" si="10"/>
        <v>13864.583333333334</v>
      </c>
      <c r="R10" s="6">
        <f t="shared" si="10"/>
        <v>13864.583333333334</v>
      </c>
      <c r="S10" s="6">
        <f t="shared" si="10"/>
        <v>13864.583333333334</v>
      </c>
      <c r="T10" s="6">
        <f t="shared" si="10"/>
        <v>13864.583333333334</v>
      </c>
      <c r="U10" s="6">
        <f t="shared" si="10"/>
        <v>13864.583333333334</v>
      </c>
      <c r="V10" s="6">
        <f t="shared" si="10"/>
        <v>13864.583333333334</v>
      </c>
      <c r="W10" s="6">
        <f t="shared" si="10"/>
        <v>13864.583333333334</v>
      </c>
      <c r="X10" s="6">
        <f t="shared" si="10"/>
        <v>13864.583333333334</v>
      </c>
      <c r="Y10" s="6">
        <f t="shared" si="10"/>
        <v>13864.583333333334</v>
      </c>
      <c r="Z10" s="6">
        <f>$K$5/4</f>
        <v>13864.583333333334</v>
      </c>
      <c r="AA10" s="6">
        <f>AA5/4</f>
        <v>100000</v>
      </c>
      <c r="AB10" s="6">
        <f t="shared" si="1"/>
        <v>343675</v>
      </c>
      <c r="AC10" s="6">
        <f>3092909/4</f>
        <v>773227.25</v>
      </c>
      <c r="AD10" s="16">
        <v>0.1</v>
      </c>
      <c r="AE10" s="7">
        <f>SUM(J10:AD10)</f>
        <v>1488735.6833333336</v>
      </c>
      <c r="AF10" s="7">
        <f>+F10-AE10</f>
        <v>1737619.0974666663</v>
      </c>
      <c r="AG10" s="8">
        <f>(F10-AE10)/F10</f>
        <v>0.53857037291968557</v>
      </c>
      <c r="AH10" s="15">
        <f t="shared" ref="AH10" si="11">AE10+AF10</f>
        <v>3226354.7807999998</v>
      </c>
    </row>
    <row r="11" spans="1:34" ht="15" customHeight="1" x14ac:dyDescent="0.35">
      <c r="A11" s="14">
        <v>7</v>
      </c>
      <c r="B11" s="56" t="s">
        <v>42</v>
      </c>
      <c r="C11" s="57"/>
      <c r="D11" s="1">
        <v>1</v>
      </c>
      <c r="E11" s="24">
        <v>1451651</v>
      </c>
      <c r="F11" s="24">
        <v>602725.4952</v>
      </c>
      <c r="G11" s="112">
        <f t="shared" si="5"/>
        <v>-602725.4952</v>
      </c>
      <c r="H11" s="5">
        <v>150</v>
      </c>
      <c r="I11" s="5">
        <v>40</v>
      </c>
      <c r="J11" s="13">
        <v>6666.67</v>
      </c>
      <c r="K11" s="6">
        <f>(665500/365)</f>
        <v>1823.2876712328766</v>
      </c>
      <c r="L11" s="6">
        <f>(319000/365)</f>
        <v>873.97260273972597</v>
      </c>
      <c r="M11" s="6">
        <f t="shared" ref="M11:M12" si="12">(5093602/365)</f>
        <v>13955.07397260274</v>
      </c>
      <c r="N11" s="6">
        <f>(1465288/365)</f>
        <v>4014.4876712328769</v>
      </c>
      <c r="O11" s="6">
        <f>(900000/6)/365</f>
        <v>410.95890410958901</v>
      </c>
      <c r="P11" s="6">
        <f t="shared" ref="P11:P12" si="13">(350000/365)</f>
        <v>958.90410958904113</v>
      </c>
      <c r="Q11" s="6">
        <f>(180000000-110000000)/20/365</f>
        <v>9589.0410958904104</v>
      </c>
      <c r="R11" s="6">
        <f t="shared" ref="R11:R19" si="14">+(H11/150000)*200000</f>
        <v>200</v>
      </c>
      <c r="S11" s="6">
        <f t="shared" ref="S11:S19" si="15">(200000/150000)*H11</f>
        <v>200</v>
      </c>
      <c r="T11" s="6">
        <f t="shared" ref="T11:T19" si="16">+(H11/100000)*300000</f>
        <v>450</v>
      </c>
      <c r="U11" s="6">
        <f t="shared" ref="U11:U19" si="17">+(H11/45000)*300000</f>
        <v>1000.0000000000001</v>
      </c>
      <c r="V11" s="6">
        <f t="shared" ref="V11:V19" si="18">+(H11/40000)*700000</f>
        <v>2625</v>
      </c>
      <c r="W11" s="6">
        <f t="shared" ref="W11:W19" si="19">+(H11/6000)*150000</f>
        <v>3750</v>
      </c>
      <c r="X11" s="6">
        <f t="shared" ref="X11:X19" si="20">+(H11/90000)*1900000</f>
        <v>3166.666666666667</v>
      </c>
      <c r="Y11" s="6">
        <f>+(H11/50000)*530000</f>
        <v>1590</v>
      </c>
      <c r="Z11" s="6">
        <f>+(H11/50000)*1800000</f>
        <v>5400</v>
      </c>
      <c r="AA11" s="6">
        <f>$AA$5/30</f>
        <v>13333.333333333334</v>
      </c>
      <c r="AB11" s="6">
        <f t="shared" si="1"/>
        <v>51551.25</v>
      </c>
      <c r="AC11" s="6">
        <f>3092909/30</f>
        <v>103096.96666666666</v>
      </c>
      <c r="AD11" s="16">
        <v>0.1</v>
      </c>
      <c r="AE11" s="7">
        <f>SUM(K11:AD11)</f>
        <v>217989.04269406394</v>
      </c>
      <c r="AF11" s="7">
        <f>+F11-AE11</f>
        <v>384736.45250593603</v>
      </c>
      <c r="AG11" s="8">
        <f>(F11-AE11)/F11</f>
        <v>0.63832782181923542</v>
      </c>
      <c r="AH11" s="15">
        <f>AE11+AF11</f>
        <v>602725.4952</v>
      </c>
    </row>
    <row r="12" spans="1:34" ht="15" customHeight="1" x14ac:dyDescent="0.35">
      <c r="A12" s="23">
        <v>8</v>
      </c>
      <c r="B12" s="56" t="s">
        <v>43</v>
      </c>
      <c r="C12" s="57"/>
      <c r="D12" s="1">
        <v>1</v>
      </c>
      <c r="E12" s="24">
        <v>1622434</v>
      </c>
      <c r="F12" s="24">
        <v>673634.59680000006</v>
      </c>
      <c r="G12" s="112">
        <f t="shared" si="5"/>
        <v>-673634.59680000006</v>
      </c>
      <c r="H12" s="5">
        <v>150</v>
      </c>
      <c r="I12" s="5">
        <v>40</v>
      </c>
      <c r="J12" s="13">
        <v>6666.67</v>
      </c>
      <c r="K12" s="6">
        <f>(665500/365)</f>
        <v>1823.2876712328766</v>
      </c>
      <c r="L12" s="6">
        <f>(319000/365)</f>
        <v>873.97260273972597</v>
      </c>
      <c r="M12" s="6">
        <f t="shared" si="12"/>
        <v>13955.07397260274</v>
      </c>
      <c r="N12" s="6">
        <f>(1465288/365)</f>
        <v>4014.4876712328769</v>
      </c>
      <c r="O12" s="6">
        <f>(900000/6)/365</f>
        <v>410.95890410958901</v>
      </c>
      <c r="P12" s="6">
        <f t="shared" si="13"/>
        <v>958.90410958904113</v>
      </c>
      <c r="Q12" s="6">
        <f>(180000000-110000000)/20/365</f>
        <v>9589.0410958904104</v>
      </c>
      <c r="R12" s="6">
        <f t="shared" si="14"/>
        <v>200</v>
      </c>
      <c r="S12" s="6">
        <f t="shared" si="15"/>
        <v>200</v>
      </c>
      <c r="T12" s="6">
        <f t="shared" si="16"/>
        <v>450</v>
      </c>
      <c r="U12" s="6">
        <f t="shared" si="17"/>
        <v>1000.0000000000001</v>
      </c>
      <c r="V12" s="6">
        <f t="shared" si="18"/>
        <v>2625</v>
      </c>
      <c r="W12" s="6">
        <f t="shared" si="19"/>
        <v>3750</v>
      </c>
      <c r="X12" s="6">
        <f t="shared" si="20"/>
        <v>3166.666666666667</v>
      </c>
      <c r="Y12" s="6">
        <f>+(H12/50000)*530000</f>
        <v>1590</v>
      </c>
      <c r="Z12" s="6">
        <f>+(H12/50000)*1800000</f>
        <v>5400</v>
      </c>
      <c r="AA12" s="6">
        <f>$AA$5/30</f>
        <v>13333.333333333334</v>
      </c>
      <c r="AB12" s="6">
        <f t="shared" si="1"/>
        <v>51551.25</v>
      </c>
      <c r="AC12" s="6">
        <f>3092909/30</f>
        <v>103096.96666666666</v>
      </c>
      <c r="AD12" s="16">
        <v>0.1</v>
      </c>
      <c r="AE12" s="7">
        <f>SUM(K12:AD12)</f>
        <v>217989.04269406394</v>
      </c>
      <c r="AF12" s="7">
        <f>+F12-AE12</f>
        <v>455645.55410593608</v>
      </c>
      <c r="AG12" s="8">
        <f>(F12-AE12)/F12</f>
        <v>0.67639868301065864</v>
      </c>
      <c r="AH12" s="15">
        <f>AE12+AF12</f>
        <v>673634.59680000006</v>
      </c>
    </row>
    <row r="13" spans="1:34" ht="15" customHeight="1" x14ac:dyDescent="0.35">
      <c r="A13" s="14">
        <v>9</v>
      </c>
      <c r="B13" s="56" t="s">
        <v>44</v>
      </c>
      <c r="C13" s="57"/>
      <c r="D13" s="1">
        <v>1</v>
      </c>
      <c r="E13" s="24">
        <v>256174</v>
      </c>
      <c r="F13" s="24">
        <v>106363.4448</v>
      </c>
      <c r="G13" s="112">
        <f t="shared" si="5"/>
        <v>-106363.4448</v>
      </c>
      <c r="H13" s="5">
        <v>30</v>
      </c>
      <c r="I13" s="5">
        <v>40</v>
      </c>
      <c r="J13" s="13">
        <v>277.77999999999997</v>
      </c>
      <c r="K13" s="6">
        <f>(665500/365)/24</f>
        <v>75.970319634703188</v>
      </c>
      <c r="L13" s="6">
        <f>(319000/365)/24</f>
        <v>36.415525114155251</v>
      </c>
      <c r="M13" s="6">
        <f>(5093602/365)/24</f>
        <v>581.46141552511415</v>
      </c>
      <c r="N13" s="6">
        <f>(1465288/365)/24</f>
        <v>167.27031963470321</v>
      </c>
      <c r="O13" s="6">
        <f>(900000/6)/1440</f>
        <v>104.16666666666667</v>
      </c>
      <c r="P13" s="6">
        <f>(350000/365)/24</f>
        <v>39.954337899543383</v>
      </c>
      <c r="Q13" s="6">
        <f>(180000000-110000000)/20/365/24</f>
        <v>399.54337899543378</v>
      </c>
      <c r="R13" s="6">
        <f t="shared" si="14"/>
        <v>40</v>
      </c>
      <c r="S13" s="6">
        <f t="shared" si="15"/>
        <v>40</v>
      </c>
      <c r="T13" s="6">
        <f t="shared" si="16"/>
        <v>89.999999999999986</v>
      </c>
      <c r="U13" s="6">
        <f t="shared" si="17"/>
        <v>200</v>
      </c>
      <c r="V13" s="6">
        <f t="shared" si="18"/>
        <v>525</v>
      </c>
      <c r="W13" s="6">
        <f t="shared" si="19"/>
        <v>750</v>
      </c>
      <c r="X13" s="6">
        <f t="shared" si="20"/>
        <v>633.33333333333326</v>
      </c>
      <c r="Y13" s="6">
        <f>+(H13/50000)*530000/8</f>
        <v>39.75</v>
      </c>
      <c r="Z13" s="6">
        <f>+(H13/50000)*1800000/8</f>
        <v>135</v>
      </c>
      <c r="AA13" s="6">
        <f>$AA$12/8</f>
        <v>1666.6666666666667</v>
      </c>
      <c r="AB13" s="6">
        <f t="shared" si="1"/>
        <v>10310.25</v>
      </c>
      <c r="AC13" s="6">
        <f>(3092909/30)/8</f>
        <v>12887.120833333332</v>
      </c>
      <c r="AD13" s="16">
        <v>0.1</v>
      </c>
      <c r="AE13" s="7">
        <f>SUM(J13:AD13)</f>
        <v>28999.782796803651</v>
      </c>
      <c r="AF13" s="7">
        <f>+F13-AE13</f>
        <v>77363.662003196339</v>
      </c>
      <c r="AG13" s="8">
        <f>(F13-AE13)/F13</f>
        <v>0.72735197838568255</v>
      </c>
      <c r="AH13" s="15">
        <f t="shared" ref="AH13:AH14" si="21">AE13+AF13</f>
        <v>106363.4448</v>
      </c>
    </row>
    <row r="14" spans="1:34" ht="15.75" customHeight="1" thickBot="1" x14ac:dyDescent="0.4">
      <c r="A14" s="14">
        <v>10</v>
      </c>
      <c r="B14" s="58" t="s">
        <v>45</v>
      </c>
      <c r="C14" s="59"/>
      <c r="D14" s="1">
        <v>1</v>
      </c>
      <c r="E14" s="24">
        <v>341565</v>
      </c>
      <c r="F14" s="24">
        <v>141817.788</v>
      </c>
      <c r="G14" s="112">
        <f t="shared" si="5"/>
        <v>-141817.788</v>
      </c>
      <c r="H14" s="5">
        <v>30</v>
      </c>
      <c r="I14" s="5">
        <v>40</v>
      </c>
      <c r="J14" s="13">
        <v>277.77999999999997</v>
      </c>
      <c r="K14" s="6">
        <f>(665500/365)/24</f>
        <v>75.970319634703188</v>
      </c>
      <c r="L14" s="6">
        <f>(319000/365)/24</f>
        <v>36.415525114155251</v>
      </c>
      <c r="M14" s="6">
        <f>(5093602/365)/24</f>
        <v>581.46141552511415</v>
      </c>
      <c r="N14" s="6">
        <f>(1465288/365)/24</f>
        <v>167.27031963470321</v>
      </c>
      <c r="O14" s="6">
        <f>(900000/6)/1440</f>
        <v>104.16666666666667</v>
      </c>
      <c r="P14" s="6">
        <f>(350000/365)/24</f>
        <v>39.954337899543383</v>
      </c>
      <c r="Q14" s="6">
        <f>(180000000-110000000)/20/365/24</f>
        <v>399.54337899543378</v>
      </c>
      <c r="R14" s="6">
        <f t="shared" si="14"/>
        <v>40</v>
      </c>
      <c r="S14" s="6">
        <f t="shared" si="15"/>
        <v>40</v>
      </c>
      <c r="T14" s="6">
        <f t="shared" si="16"/>
        <v>89.999999999999986</v>
      </c>
      <c r="U14" s="6">
        <f t="shared" si="17"/>
        <v>200</v>
      </c>
      <c r="V14" s="6">
        <f t="shared" si="18"/>
        <v>525</v>
      </c>
      <c r="W14" s="6">
        <f t="shared" si="19"/>
        <v>750</v>
      </c>
      <c r="X14" s="6">
        <f t="shared" si="20"/>
        <v>633.33333333333326</v>
      </c>
      <c r="Y14" s="6">
        <f>+(H14/50000)*530000/8</f>
        <v>39.75</v>
      </c>
      <c r="Z14" s="6">
        <f>+(H14/50000)*1800000/8</f>
        <v>135</v>
      </c>
      <c r="AA14" s="6">
        <f>$AA$12/8</f>
        <v>1666.6666666666667</v>
      </c>
      <c r="AB14" s="6">
        <f t="shared" si="1"/>
        <v>10310.25</v>
      </c>
      <c r="AC14" s="6">
        <v>14325</v>
      </c>
      <c r="AD14" s="16">
        <v>0.1</v>
      </c>
      <c r="AE14" s="7">
        <f>SUM(J14:AD14)</f>
        <v>30437.661963470317</v>
      </c>
      <c r="AF14" s="7">
        <f>+F14-AE14</f>
        <v>111380.12603652969</v>
      </c>
      <c r="AG14" s="8">
        <f>(F14-AE14)/F14</f>
        <v>0.78537486451649985</v>
      </c>
      <c r="AH14" s="15">
        <f t="shared" si="21"/>
        <v>141817.788</v>
      </c>
    </row>
    <row r="15" spans="1:34" ht="15" customHeight="1" x14ac:dyDescent="0.35">
      <c r="A15" s="14">
        <v>11</v>
      </c>
      <c r="B15" s="60" t="s">
        <v>46</v>
      </c>
      <c r="C15" s="61"/>
      <c r="D15" s="17">
        <v>1</v>
      </c>
      <c r="E15" s="29">
        <v>17078251</v>
      </c>
      <c r="F15" s="29">
        <v>7090889.815200001</v>
      </c>
      <c r="G15" s="112">
        <f t="shared" si="5"/>
        <v>-7090889.815200001</v>
      </c>
      <c r="H15" s="18">
        <v>4000</v>
      </c>
      <c r="I15" s="18">
        <v>45</v>
      </c>
      <c r="J15" s="19">
        <v>200000</v>
      </c>
      <c r="K15" s="20">
        <f>(665500/12)</f>
        <v>55458.333333333336</v>
      </c>
      <c r="L15" s="20">
        <f>(319000/12)</f>
        <v>26583.333333333332</v>
      </c>
      <c r="M15" s="20">
        <f>(5093602/12)</f>
        <v>424466.83333333331</v>
      </c>
      <c r="N15" s="20">
        <f>(1465288/12)</f>
        <v>122107.33333333333</v>
      </c>
      <c r="O15" s="20">
        <f>(900000/6)</f>
        <v>150000</v>
      </c>
      <c r="P15" s="20">
        <f>(350000/12)</f>
        <v>29166.666666666668</v>
      </c>
      <c r="Q15" s="20">
        <f t="shared" ref="Q15" si="22">(180000000-110000000)/20/365</f>
        <v>9589.0410958904104</v>
      </c>
      <c r="R15" s="20">
        <f t="shared" si="14"/>
        <v>5333.3333333333339</v>
      </c>
      <c r="S15" s="20">
        <f t="shared" si="15"/>
        <v>5333.333333333333</v>
      </c>
      <c r="T15" s="20">
        <f t="shared" si="16"/>
        <v>12000</v>
      </c>
      <c r="U15" s="20">
        <f t="shared" si="17"/>
        <v>26666.666666666668</v>
      </c>
      <c r="V15" s="20">
        <f t="shared" si="18"/>
        <v>70000</v>
      </c>
      <c r="W15" s="20">
        <f t="shared" si="19"/>
        <v>100000</v>
      </c>
      <c r="X15" s="20">
        <f t="shared" si="20"/>
        <v>84444.444444444453</v>
      </c>
      <c r="Y15" s="20">
        <f>+(H15/50000)*530000</f>
        <v>42400</v>
      </c>
      <c r="Z15" s="20">
        <f>+(H15/50000)*1800000</f>
        <v>144000</v>
      </c>
      <c r="AA15" s="20">
        <v>250000</v>
      </c>
      <c r="AB15" s="20">
        <f t="shared" si="1"/>
        <v>1221955.5555555555</v>
      </c>
      <c r="AC15" s="20">
        <f>3092909/1</f>
        <v>3092909</v>
      </c>
      <c r="AD15" s="21">
        <v>0.1</v>
      </c>
      <c r="AE15" s="22">
        <f>SUM(J15:AD15)</f>
        <v>6072413.9744292237</v>
      </c>
      <c r="AF15" s="22">
        <f>+F15-AE15</f>
        <v>1018475.8407707773</v>
      </c>
      <c r="AG15" s="8">
        <f>(F15-AE15)/F15</f>
        <v>0.14363159875754619</v>
      </c>
      <c r="AH15" s="15">
        <f t="shared" ref="AH15" si="23">AE15+AF15</f>
        <v>7090889.815200001</v>
      </c>
    </row>
    <row r="16" spans="1:34" ht="15" customHeight="1" x14ac:dyDescent="0.35">
      <c r="A16" s="23">
        <v>12</v>
      </c>
      <c r="B16" s="62" t="s">
        <v>47</v>
      </c>
      <c r="C16" s="57"/>
      <c r="D16" s="1">
        <v>1</v>
      </c>
      <c r="E16" s="24">
        <v>1280869</v>
      </c>
      <c r="F16" s="24">
        <v>531816.8088</v>
      </c>
      <c r="G16" s="112">
        <f t="shared" si="5"/>
        <v>-531816.8088</v>
      </c>
      <c r="H16" s="5">
        <v>150</v>
      </c>
      <c r="I16" s="5">
        <v>40</v>
      </c>
      <c r="J16" s="13">
        <v>6666.67</v>
      </c>
      <c r="K16" s="6">
        <f>(665500/365)</f>
        <v>1823.2876712328766</v>
      </c>
      <c r="L16" s="6">
        <f>(319000/365)</f>
        <v>873.97260273972597</v>
      </c>
      <c r="M16" s="6">
        <f t="shared" ref="M16" si="24">(5093602/365)</f>
        <v>13955.07397260274</v>
      </c>
      <c r="N16" s="6">
        <f>(1465288/365)</f>
        <v>4014.4876712328769</v>
      </c>
      <c r="O16" s="6">
        <f>(900000/6)/365</f>
        <v>410.95890410958901</v>
      </c>
      <c r="P16" s="6">
        <f t="shared" ref="P16" si="25">(350000/365)</f>
        <v>958.90410958904113</v>
      </c>
      <c r="Q16" s="6">
        <f>(180000000-110000000)/20/365</f>
        <v>9589.0410958904104</v>
      </c>
      <c r="R16" s="6">
        <f t="shared" si="14"/>
        <v>200</v>
      </c>
      <c r="S16" s="6">
        <f t="shared" si="15"/>
        <v>200</v>
      </c>
      <c r="T16" s="6">
        <f t="shared" si="16"/>
        <v>450</v>
      </c>
      <c r="U16" s="6">
        <f t="shared" si="17"/>
        <v>1000.0000000000001</v>
      </c>
      <c r="V16" s="6">
        <f t="shared" si="18"/>
        <v>2625</v>
      </c>
      <c r="W16" s="6">
        <f t="shared" si="19"/>
        <v>3750</v>
      </c>
      <c r="X16" s="6">
        <f t="shared" si="20"/>
        <v>3166.666666666667</v>
      </c>
      <c r="Y16" s="6">
        <f>+(H16/50000)*530000</f>
        <v>1590</v>
      </c>
      <c r="Z16" s="6">
        <f>+(H16/50000)*1800000</f>
        <v>5400</v>
      </c>
      <c r="AA16" s="6">
        <f>AA15/30</f>
        <v>8333.3333333333339</v>
      </c>
      <c r="AB16" s="6">
        <f t="shared" si="1"/>
        <v>51551.25</v>
      </c>
      <c r="AC16" s="6">
        <v>114600</v>
      </c>
      <c r="AD16" s="16">
        <v>0.1</v>
      </c>
      <c r="AE16" s="7">
        <f>SUM(K16:AD16)</f>
        <v>224492.07602739727</v>
      </c>
      <c r="AF16" s="7">
        <f>+F16-AE16</f>
        <v>307324.7327726027</v>
      </c>
      <c r="AG16" s="8">
        <f>(F16-AE16)/F16</f>
        <v>0.57787705782759136</v>
      </c>
      <c r="AH16" s="15">
        <f>AE16+AF16</f>
        <v>531816.8088</v>
      </c>
    </row>
    <row r="17" spans="1:34" ht="15" customHeight="1" x14ac:dyDescent="0.35">
      <c r="A17" s="14">
        <v>13</v>
      </c>
      <c r="B17" s="62" t="s">
        <v>48</v>
      </c>
      <c r="C17" s="57"/>
      <c r="D17" s="1">
        <v>1</v>
      </c>
      <c r="E17" s="24">
        <v>256174</v>
      </c>
      <c r="F17" s="24">
        <v>106363.4448</v>
      </c>
      <c r="G17" s="112">
        <f t="shared" si="5"/>
        <v>-106363.4448</v>
      </c>
      <c r="H17" s="5">
        <v>30</v>
      </c>
      <c r="I17" s="5">
        <v>40</v>
      </c>
      <c r="J17" s="13">
        <v>277.77999999999997</v>
      </c>
      <c r="K17" s="6">
        <f>(665500/365)/24</f>
        <v>75.970319634703188</v>
      </c>
      <c r="L17" s="6">
        <f>(319000/365)/24</f>
        <v>36.415525114155251</v>
      </c>
      <c r="M17" s="6">
        <f>(5093602/365)/24</f>
        <v>581.46141552511415</v>
      </c>
      <c r="N17" s="6">
        <f>(1465288/365)/24</f>
        <v>167.27031963470321</v>
      </c>
      <c r="O17" s="6">
        <f>(900000/6)/1440</f>
        <v>104.16666666666667</v>
      </c>
      <c r="P17" s="6">
        <f>(350000/365)/24</f>
        <v>39.954337899543383</v>
      </c>
      <c r="Q17" s="6">
        <f>(180000000-110000000)/20/365/24</f>
        <v>399.54337899543378</v>
      </c>
      <c r="R17" s="6">
        <f t="shared" si="14"/>
        <v>40</v>
      </c>
      <c r="S17" s="6">
        <f t="shared" si="15"/>
        <v>40</v>
      </c>
      <c r="T17" s="6">
        <f t="shared" si="16"/>
        <v>89.999999999999986</v>
      </c>
      <c r="U17" s="6">
        <f t="shared" si="17"/>
        <v>200</v>
      </c>
      <c r="V17" s="6">
        <f t="shared" si="18"/>
        <v>525</v>
      </c>
      <c r="W17" s="6">
        <f t="shared" si="19"/>
        <v>750</v>
      </c>
      <c r="X17" s="6">
        <f t="shared" si="20"/>
        <v>633.33333333333326</v>
      </c>
      <c r="Y17" s="6">
        <f>+(H17/50000)*530000/8</f>
        <v>39.75</v>
      </c>
      <c r="Z17" s="6">
        <f>+(H17/50000)*1800000/8</f>
        <v>135</v>
      </c>
      <c r="AA17" s="6">
        <f>$AA$6/8</f>
        <v>1666.6666666666667</v>
      </c>
      <c r="AB17" s="6">
        <f t="shared" si="1"/>
        <v>10310.25</v>
      </c>
      <c r="AC17" s="6">
        <f>(3092909/30)/8</f>
        <v>12887.120833333332</v>
      </c>
      <c r="AD17" s="16">
        <v>0.1</v>
      </c>
      <c r="AE17" s="7">
        <f>SUM(J17:AD17)</f>
        <v>28999.782796803651</v>
      </c>
      <c r="AF17" s="7">
        <f>+F17-AE17</f>
        <v>77363.662003196339</v>
      </c>
      <c r="AG17" s="8">
        <f>(F17-AE17)/F17</f>
        <v>0.72735197838568255</v>
      </c>
      <c r="AH17" s="15">
        <f t="shared" ref="AH17:AH20" si="26">AE17+AF17</f>
        <v>106363.4448</v>
      </c>
    </row>
    <row r="18" spans="1:34" ht="15" customHeight="1" x14ac:dyDescent="0.35">
      <c r="A18" s="14">
        <v>14</v>
      </c>
      <c r="B18" s="62" t="s">
        <v>49</v>
      </c>
      <c r="C18" s="57"/>
      <c r="D18" s="1">
        <v>1</v>
      </c>
      <c r="E18" s="24">
        <v>341565</v>
      </c>
      <c r="F18" s="24">
        <v>141817.788</v>
      </c>
      <c r="G18" s="112">
        <f t="shared" si="5"/>
        <v>-141817.788</v>
      </c>
      <c r="H18" s="5">
        <v>30</v>
      </c>
      <c r="I18" s="5">
        <v>40</v>
      </c>
      <c r="J18" s="13">
        <v>277.77999999999997</v>
      </c>
      <c r="K18" s="6">
        <f>(665500/365)/24</f>
        <v>75.970319634703188</v>
      </c>
      <c r="L18" s="6">
        <f>(319000/365)/24</f>
        <v>36.415525114155251</v>
      </c>
      <c r="M18" s="6">
        <f>(5093602/365)/24</f>
        <v>581.46141552511415</v>
      </c>
      <c r="N18" s="6">
        <f>(1465288/365)/24</f>
        <v>167.27031963470321</v>
      </c>
      <c r="O18" s="6">
        <f>(900000/6)/1440</f>
        <v>104.16666666666667</v>
      </c>
      <c r="P18" s="6">
        <f>(350000/365)/24</f>
        <v>39.954337899543383</v>
      </c>
      <c r="Q18" s="6">
        <f>(180000000-110000000)/20/365/24</f>
        <v>399.54337899543378</v>
      </c>
      <c r="R18" s="6">
        <f t="shared" si="14"/>
        <v>40</v>
      </c>
      <c r="S18" s="6">
        <f t="shared" si="15"/>
        <v>40</v>
      </c>
      <c r="T18" s="6">
        <f t="shared" si="16"/>
        <v>89.999999999999986</v>
      </c>
      <c r="U18" s="6">
        <f t="shared" si="17"/>
        <v>200</v>
      </c>
      <c r="V18" s="6">
        <f t="shared" si="18"/>
        <v>525</v>
      </c>
      <c r="W18" s="6">
        <f t="shared" si="19"/>
        <v>750</v>
      </c>
      <c r="X18" s="6">
        <f t="shared" si="20"/>
        <v>633.33333333333326</v>
      </c>
      <c r="Y18" s="6">
        <f>+(H18/50000)*530000/8</f>
        <v>39.75</v>
      </c>
      <c r="Z18" s="6">
        <f>+(H18/50000)*1800000/8</f>
        <v>135</v>
      </c>
      <c r="AA18" s="6">
        <f t="shared" ref="AA18:AA19" si="27">$AA$6/8</f>
        <v>1666.6666666666667</v>
      </c>
      <c r="AB18" s="6">
        <f t="shared" si="1"/>
        <v>10310.25</v>
      </c>
      <c r="AC18" s="6">
        <v>13928</v>
      </c>
      <c r="AD18" s="16">
        <v>0.1</v>
      </c>
      <c r="AE18" s="7">
        <f>SUM(J18:AD18)</f>
        <v>30040.661963470317</v>
      </c>
      <c r="AF18" s="7">
        <f>+F18-AE18</f>
        <v>111777.12603652969</v>
      </c>
      <c r="AG18" s="8">
        <f>(F18-AE18)/F18</f>
        <v>0.78817423126448494</v>
      </c>
      <c r="AH18" s="15">
        <f t="shared" si="26"/>
        <v>141817.788</v>
      </c>
    </row>
    <row r="19" spans="1:34" ht="15.75" customHeight="1" thickBot="1" x14ac:dyDescent="0.4">
      <c r="A19" s="14">
        <v>15</v>
      </c>
      <c r="B19" s="70" t="s">
        <v>50</v>
      </c>
      <c r="C19" s="59"/>
      <c r="D19" s="1">
        <v>1</v>
      </c>
      <c r="E19" s="24">
        <v>426956</v>
      </c>
      <c r="F19" s="24">
        <v>177272.1312</v>
      </c>
      <c r="G19" s="112">
        <f t="shared" si="5"/>
        <v>-177272.1312</v>
      </c>
      <c r="H19" s="5">
        <v>30</v>
      </c>
      <c r="I19" s="5">
        <v>40</v>
      </c>
      <c r="J19" s="13">
        <v>277.77999999999997</v>
      </c>
      <c r="K19" s="6">
        <f>(665500/365)/24</f>
        <v>75.970319634703188</v>
      </c>
      <c r="L19" s="6">
        <f>(319000/365)/24</f>
        <v>36.415525114155251</v>
      </c>
      <c r="M19" s="6">
        <f>(5093602/365)/24</f>
        <v>581.46141552511415</v>
      </c>
      <c r="N19" s="6">
        <f>(1465288/365)/24</f>
        <v>167.27031963470321</v>
      </c>
      <c r="O19" s="6">
        <f>(900000/6)/1440</f>
        <v>104.16666666666667</v>
      </c>
      <c r="P19" s="6">
        <f>(350000/365)/24</f>
        <v>39.954337899543383</v>
      </c>
      <c r="Q19" s="6">
        <f>(180000000-110000000)/20/365/24</f>
        <v>399.54337899543378</v>
      </c>
      <c r="R19" s="6">
        <f t="shared" si="14"/>
        <v>40</v>
      </c>
      <c r="S19" s="6">
        <f t="shared" si="15"/>
        <v>40</v>
      </c>
      <c r="T19" s="6">
        <f t="shared" si="16"/>
        <v>89.999999999999986</v>
      </c>
      <c r="U19" s="6">
        <f t="shared" si="17"/>
        <v>200</v>
      </c>
      <c r="V19" s="6">
        <f t="shared" si="18"/>
        <v>525</v>
      </c>
      <c r="W19" s="6">
        <f t="shared" si="19"/>
        <v>750</v>
      </c>
      <c r="X19" s="6">
        <f t="shared" si="20"/>
        <v>633.33333333333326</v>
      </c>
      <c r="Y19" s="6">
        <f>+(H19/50000)*530000/8</f>
        <v>39.75</v>
      </c>
      <c r="Z19" s="6">
        <f>+(H19/50000)*1800000/8</f>
        <v>135</v>
      </c>
      <c r="AA19" s="6">
        <f t="shared" si="27"/>
        <v>1666.6666666666667</v>
      </c>
      <c r="AB19" s="6">
        <f t="shared" si="1"/>
        <v>10310.25</v>
      </c>
      <c r="AC19" s="6">
        <v>17711</v>
      </c>
      <c r="AD19" s="16">
        <v>0.1</v>
      </c>
      <c r="AE19" s="7">
        <f>SUM(J19:AD19)</f>
        <v>33823.661963470317</v>
      </c>
      <c r="AF19" s="7">
        <f>+F19-AE19</f>
        <v>143448.46923652969</v>
      </c>
      <c r="AG19" s="8">
        <f>(F19-AE19)/F19</f>
        <v>0.80919921403037598</v>
      </c>
      <c r="AH19" s="15">
        <f t="shared" si="26"/>
        <v>177272.1312</v>
      </c>
    </row>
    <row r="20" spans="1:34" ht="15" customHeight="1" x14ac:dyDescent="0.35">
      <c r="A20" s="23">
        <v>16</v>
      </c>
      <c r="B20" s="71" t="s">
        <v>51</v>
      </c>
      <c r="C20" s="72"/>
      <c r="D20" s="1">
        <v>1</v>
      </c>
      <c r="E20" s="24">
        <v>6933770</v>
      </c>
      <c r="F20" s="24">
        <v>2878901.304</v>
      </c>
      <c r="G20" s="112">
        <f t="shared" si="5"/>
        <v>-2878901.304</v>
      </c>
      <c r="H20" s="5">
        <v>1000</v>
      </c>
      <c r="I20" s="5">
        <v>40</v>
      </c>
      <c r="J20" s="13">
        <v>50000</v>
      </c>
      <c r="K20" s="6">
        <f>$K$5/4</f>
        <v>13864.583333333334</v>
      </c>
      <c r="L20" s="6">
        <f t="shared" ref="L20:Z20" si="28">$K$5/4</f>
        <v>13864.583333333334</v>
      </c>
      <c r="M20" s="6">
        <f t="shared" si="28"/>
        <v>13864.583333333334</v>
      </c>
      <c r="N20" s="6">
        <f t="shared" si="28"/>
        <v>13864.583333333334</v>
      </c>
      <c r="O20" s="6">
        <f t="shared" si="28"/>
        <v>13864.583333333334</v>
      </c>
      <c r="P20" s="6">
        <f t="shared" si="28"/>
        <v>13864.583333333334</v>
      </c>
      <c r="Q20" s="6">
        <f t="shared" si="28"/>
        <v>13864.583333333334</v>
      </c>
      <c r="R20" s="6">
        <f t="shared" si="28"/>
        <v>13864.583333333334</v>
      </c>
      <c r="S20" s="6">
        <f t="shared" si="28"/>
        <v>13864.583333333334</v>
      </c>
      <c r="T20" s="6">
        <f t="shared" si="28"/>
        <v>13864.583333333334</v>
      </c>
      <c r="U20" s="6">
        <f t="shared" si="28"/>
        <v>13864.583333333334</v>
      </c>
      <c r="V20" s="6">
        <f t="shared" si="28"/>
        <v>13864.583333333334</v>
      </c>
      <c r="W20" s="6">
        <f t="shared" si="28"/>
        <v>13864.583333333334</v>
      </c>
      <c r="X20" s="6">
        <f t="shared" si="28"/>
        <v>13864.583333333334</v>
      </c>
      <c r="Y20" s="6">
        <f t="shared" si="28"/>
        <v>13864.583333333334</v>
      </c>
      <c r="Z20" s="6">
        <f t="shared" si="28"/>
        <v>13864.583333333334</v>
      </c>
      <c r="AA20" s="6">
        <f>AA15/4</f>
        <v>62500</v>
      </c>
      <c r="AB20" s="6">
        <f t="shared" si="1"/>
        <v>343675</v>
      </c>
      <c r="AC20" s="6">
        <f>3092909/4</f>
        <v>773227.25</v>
      </c>
      <c r="AD20" s="16">
        <v>0.1</v>
      </c>
      <c r="AE20" s="7">
        <f>SUM(J20:AD20)</f>
        <v>1451235.6833333336</v>
      </c>
      <c r="AF20" s="7">
        <f>+F20-AE20</f>
        <v>1427665.6206666664</v>
      </c>
      <c r="AG20" s="8">
        <f>(F20-AE20)/F20</f>
        <v>0.49590641356236864</v>
      </c>
      <c r="AH20" s="15">
        <f t="shared" si="26"/>
        <v>2878901.304</v>
      </c>
    </row>
    <row r="21" spans="1:34" ht="15" customHeight="1" x14ac:dyDescent="0.35">
      <c r="A21" s="14">
        <v>17</v>
      </c>
      <c r="B21" s="56" t="s">
        <v>52</v>
      </c>
      <c r="C21" s="57"/>
      <c r="D21" s="1">
        <v>1</v>
      </c>
      <c r="E21" s="24">
        <v>1451651</v>
      </c>
      <c r="F21" s="24">
        <v>602725.4952</v>
      </c>
      <c r="G21" s="112">
        <f t="shared" si="5"/>
        <v>-602725.4952</v>
      </c>
      <c r="H21" s="5">
        <v>150</v>
      </c>
      <c r="I21" s="5">
        <v>40</v>
      </c>
      <c r="J21" s="13">
        <v>6666.67</v>
      </c>
      <c r="K21" s="6">
        <f>(665500/365)</f>
        <v>1823.2876712328766</v>
      </c>
      <c r="L21" s="6">
        <f>(319000/365)</f>
        <v>873.97260273972597</v>
      </c>
      <c r="M21" s="6">
        <f t="shared" ref="M21:M22" si="29">(5093602/365)</f>
        <v>13955.07397260274</v>
      </c>
      <c r="N21" s="6">
        <f>(1465288/365)</f>
        <v>4014.4876712328769</v>
      </c>
      <c r="O21" s="6">
        <f>(900000/6)/365</f>
        <v>410.95890410958901</v>
      </c>
      <c r="P21" s="6">
        <f t="shared" ref="P21:P22" si="30">(350000/365)</f>
        <v>958.90410958904113</v>
      </c>
      <c r="Q21" s="6">
        <f>(180000000-110000000)/20/365</f>
        <v>9589.0410958904104</v>
      </c>
      <c r="R21" s="6">
        <f>+(H21/150000)*200000</f>
        <v>200</v>
      </c>
      <c r="S21" s="6">
        <f>(200000/150000)*H21</f>
        <v>200</v>
      </c>
      <c r="T21" s="6">
        <f>+(H21/100000)*300000</f>
        <v>450</v>
      </c>
      <c r="U21" s="6">
        <f>+(H21/45000)*300000</f>
        <v>1000.0000000000001</v>
      </c>
      <c r="V21" s="6">
        <f>+(H21/40000)*700000</f>
        <v>2625</v>
      </c>
      <c r="W21" s="6">
        <f>+(H21/6000)*150000</f>
        <v>3750</v>
      </c>
      <c r="X21" s="6">
        <f>+(H21/90000)*1900000</f>
        <v>3166.666666666667</v>
      </c>
      <c r="Y21" s="6">
        <f>+(H21/50000)*530000</f>
        <v>1590</v>
      </c>
      <c r="Z21" s="6">
        <f>+(H21/50000)*1800000</f>
        <v>5400</v>
      </c>
      <c r="AA21" s="6">
        <f>$AA$5/30</f>
        <v>13333.333333333334</v>
      </c>
      <c r="AB21" s="6">
        <f t="shared" si="1"/>
        <v>51551.25</v>
      </c>
      <c r="AC21" s="6">
        <f>3092909/30</f>
        <v>103096.96666666666</v>
      </c>
      <c r="AD21" s="16">
        <v>0.1</v>
      </c>
      <c r="AE21" s="7">
        <f>SUM(K21:AD21)</f>
        <v>217989.04269406394</v>
      </c>
      <c r="AF21" s="7">
        <f>+F21-AE21</f>
        <v>384736.45250593603</v>
      </c>
      <c r="AG21" s="8">
        <f>(F21-AE21)/F21</f>
        <v>0.63832782181923542</v>
      </c>
      <c r="AH21" s="15">
        <f>AE21+AF21</f>
        <v>602725.4952</v>
      </c>
    </row>
    <row r="22" spans="1:34" ht="15" customHeight="1" x14ac:dyDescent="0.35">
      <c r="A22" s="14">
        <v>18</v>
      </c>
      <c r="B22" s="56" t="s">
        <v>53</v>
      </c>
      <c r="C22" s="57"/>
      <c r="D22" s="1">
        <v>1</v>
      </c>
      <c r="E22" s="24">
        <v>1622434</v>
      </c>
      <c r="F22" s="24">
        <v>673634.59680000006</v>
      </c>
      <c r="G22" s="112">
        <f t="shared" si="5"/>
        <v>-673634.59680000006</v>
      </c>
      <c r="H22" s="5">
        <v>150</v>
      </c>
      <c r="I22" s="5">
        <v>40</v>
      </c>
      <c r="J22" s="13">
        <v>6666.67</v>
      </c>
      <c r="K22" s="6">
        <f>(665500/365)</f>
        <v>1823.2876712328766</v>
      </c>
      <c r="L22" s="6">
        <f>(319000/365)</f>
        <v>873.97260273972597</v>
      </c>
      <c r="M22" s="6">
        <f t="shared" si="29"/>
        <v>13955.07397260274</v>
      </c>
      <c r="N22" s="6">
        <f>(1465288/365)</f>
        <v>4014.4876712328769</v>
      </c>
      <c r="O22" s="6">
        <f>(900000/6)/365</f>
        <v>410.95890410958901</v>
      </c>
      <c r="P22" s="6">
        <f t="shared" si="30"/>
        <v>958.90410958904113</v>
      </c>
      <c r="Q22" s="6">
        <f>(180000000-110000000)/20/365</f>
        <v>9589.0410958904104</v>
      </c>
      <c r="R22" s="6">
        <f>+(H22/150000)*200000</f>
        <v>200</v>
      </c>
      <c r="S22" s="6">
        <f>(200000/150000)*H22</f>
        <v>200</v>
      </c>
      <c r="T22" s="6">
        <f>+(H22/100000)*300000</f>
        <v>450</v>
      </c>
      <c r="U22" s="6">
        <f>+(H22/45000)*300000</f>
        <v>1000.0000000000001</v>
      </c>
      <c r="V22" s="6">
        <f>+(H22/40000)*700000</f>
        <v>2625</v>
      </c>
      <c r="W22" s="6">
        <f>+(H22/6000)*150000</f>
        <v>3750</v>
      </c>
      <c r="X22" s="6">
        <f>+(H22/90000)*1900000</f>
        <v>3166.666666666667</v>
      </c>
      <c r="Y22" s="6">
        <f>+(H22/50000)*530000</f>
        <v>1590</v>
      </c>
      <c r="Z22" s="6">
        <f>+(H22/50000)*1800000</f>
        <v>5400</v>
      </c>
      <c r="AA22" s="6">
        <f>$AA$5/30</f>
        <v>13333.333333333334</v>
      </c>
      <c r="AB22" s="6">
        <f t="shared" si="1"/>
        <v>51551.25</v>
      </c>
      <c r="AC22" s="6">
        <f>3092909/30</f>
        <v>103096.96666666666</v>
      </c>
      <c r="AD22" s="16">
        <v>0.1</v>
      </c>
      <c r="AE22" s="7">
        <f>SUM(K22:AD22)</f>
        <v>217989.04269406394</v>
      </c>
      <c r="AF22" s="7">
        <f>+F22-AE22</f>
        <v>455645.55410593608</v>
      </c>
      <c r="AG22" s="8">
        <f>(F22-AE22)/F22</f>
        <v>0.67639868301065864</v>
      </c>
      <c r="AH22" s="15">
        <f>AE22+AF22</f>
        <v>673634.59680000006</v>
      </c>
    </row>
    <row r="23" spans="1:34" ht="15" customHeight="1" x14ac:dyDescent="0.35">
      <c r="A23" s="14">
        <v>19</v>
      </c>
      <c r="B23" s="56" t="s">
        <v>54</v>
      </c>
      <c r="C23" s="57"/>
      <c r="D23" s="1">
        <v>1</v>
      </c>
      <c r="E23" s="24">
        <v>256174</v>
      </c>
      <c r="F23" s="24">
        <v>106363.4448</v>
      </c>
      <c r="G23" s="112">
        <f t="shared" si="5"/>
        <v>-106363.4448</v>
      </c>
      <c r="H23" s="5">
        <v>30</v>
      </c>
      <c r="I23" s="5">
        <v>40</v>
      </c>
      <c r="J23" s="13">
        <v>277.77999999999997</v>
      </c>
      <c r="K23" s="6">
        <f>(665500/365)/24</f>
        <v>75.970319634703188</v>
      </c>
      <c r="L23" s="6">
        <f>(319000/365)/24</f>
        <v>36.415525114155251</v>
      </c>
      <c r="M23" s="6">
        <f>(5093602/365)/24</f>
        <v>581.46141552511415</v>
      </c>
      <c r="N23" s="6">
        <f>(1465288/365)/24</f>
        <v>167.27031963470321</v>
      </c>
      <c r="O23" s="6">
        <f>(900000/6)/1440</f>
        <v>104.16666666666667</v>
      </c>
      <c r="P23" s="6">
        <f>(350000/365)/24</f>
        <v>39.954337899543383</v>
      </c>
      <c r="Q23" s="6">
        <f>(180000000-110000000)/20/365/24</f>
        <v>399.54337899543378</v>
      </c>
      <c r="R23" s="6">
        <f>+(H23/150000)*200000</f>
        <v>40</v>
      </c>
      <c r="S23" s="6">
        <f>(200000/150000)*H23</f>
        <v>40</v>
      </c>
      <c r="T23" s="6">
        <f>+(H23/100000)*300000</f>
        <v>89.999999999999986</v>
      </c>
      <c r="U23" s="6">
        <f>+(H23/45000)*300000</f>
        <v>200</v>
      </c>
      <c r="V23" s="6">
        <f>+(H23/40000)*700000</f>
        <v>525</v>
      </c>
      <c r="W23" s="6">
        <f>+(H23/6000)*150000</f>
        <v>750</v>
      </c>
      <c r="X23" s="6">
        <f>+(H23/90000)*1900000</f>
        <v>633.33333333333326</v>
      </c>
      <c r="Y23" s="6">
        <f>+(H23/50000)*530000/8</f>
        <v>39.75</v>
      </c>
      <c r="Z23" s="6">
        <f>+(H23/50000)*1800000/8</f>
        <v>135</v>
      </c>
      <c r="AA23" s="6">
        <f>$AA$12/8</f>
        <v>1666.6666666666667</v>
      </c>
      <c r="AB23" s="6">
        <f t="shared" si="1"/>
        <v>10310.25</v>
      </c>
      <c r="AC23" s="6">
        <f>(3092909/30)/8</f>
        <v>12887.120833333332</v>
      </c>
      <c r="AD23" s="16">
        <v>0.1</v>
      </c>
      <c r="AE23" s="7">
        <f>SUM(J23:AD23)</f>
        <v>28999.782796803651</v>
      </c>
      <c r="AF23" s="7">
        <f>+F23-AE23</f>
        <v>77363.662003196339</v>
      </c>
      <c r="AG23" s="8">
        <f>(F23-AE23)/F23</f>
        <v>0.72735197838568255</v>
      </c>
      <c r="AH23" s="15">
        <f t="shared" ref="AH23:AH24" si="31">AE23+AF23</f>
        <v>106363.4448</v>
      </c>
    </row>
    <row r="24" spans="1:34" ht="15.75" customHeight="1" thickBot="1" x14ac:dyDescent="0.4">
      <c r="A24" s="23">
        <v>20</v>
      </c>
      <c r="B24" s="58" t="s">
        <v>55</v>
      </c>
      <c r="C24" s="59"/>
      <c r="D24" s="1">
        <v>1</v>
      </c>
      <c r="E24" s="24">
        <v>341565</v>
      </c>
      <c r="F24" s="24">
        <v>141817.788</v>
      </c>
      <c r="G24" s="112">
        <f t="shared" si="5"/>
        <v>-141817.788</v>
      </c>
      <c r="H24" s="5">
        <v>30</v>
      </c>
      <c r="I24" s="5">
        <v>40</v>
      </c>
      <c r="J24" s="13">
        <v>277.77999999999997</v>
      </c>
      <c r="K24" s="6">
        <f>(665500/365)/24</f>
        <v>75.970319634703188</v>
      </c>
      <c r="L24" s="6">
        <f>(319000/365)/24</f>
        <v>36.415525114155251</v>
      </c>
      <c r="M24" s="6">
        <f>(5093602/365)/24</f>
        <v>581.46141552511415</v>
      </c>
      <c r="N24" s="6">
        <f>(1465288/365)/24</f>
        <v>167.27031963470321</v>
      </c>
      <c r="O24" s="6">
        <f>(900000/6)/1440</f>
        <v>104.16666666666667</v>
      </c>
      <c r="P24" s="6">
        <f>(350000/365)/24</f>
        <v>39.954337899543383</v>
      </c>
      <c r="Q24" s="6">
        <f>(180000000-110000000)/20/365/24</f>
        <v>399.54337899543378</v>
      </c>
      <c r="R24" s="6">
        <f>+(H24/150000)*200000</f>
        <v>40</v>
      </c>
      <c r="S24" s="6">
        <f>(200000/150000)*H24</f>
        <v>40</v>
      </c>
      <c r="T24" s="6">
        <f>+(H24/100000)*300000</f>
        <v>89.999999999999986</v>
      </c>
      <c r="U24" s="6">
        <f>+(H24/45000)*300000</f>
        <v>200</v>
      </c>
      <c r="V24" s="6">
        <f>+(H24/40000)*700000</f>
        <v>525</v>
      </c>
      <c r="W24" s="6">
        <f>+(H24/6000)*150000</f>
        <v>750</v>
      </c>
      <c r="X24" s="6">
        <f>+(H24/90000)*1900000</f>
        <v>633.33333333333326</v>
      </c>
      <c r="Y24" s="6">
        <f>+(H24/50000)*530000/8</f>
        <v>39.75</v>
      </c>
      <c r="Z24" s="6">
        <f>+(H24/50000)*1800000/8</f>
        <v>135</v>
      </c>
      <c r="AA24" s="6">
        <f>$AA$12/8</f>
        <v>1666.6666666666667</v>
      </c>
      <c r="AB24" s="6">
        <f t="shared" si="1"/>
        <v>10310.25</v>
      </c>
      <c r="AC24" s="6">
        <v>14325</v>
      </c>
      <c r="AD24" s="16">
        <v>0.1</v>
      </c>
      <c r="AE24" s="7">
        <f>SUM(J24:AD24)</f>
        <v>30437.661963470317</v>
      </c>
      <c r="AF24" s="7">
        <f>+F24-AE24</f>
        <v>111380.12603652969</v>
      </c>
      <c r="AG24" s="8">
        <f>(F24-AE24)/F24</f>
        <v>0.78537486451649985</v>
      </c>
      <c r="AH24" s="15">
        <f t="shared" si="31"/>
        <v>141817.788</v>
      </c>
    </row>
    <row r="25" spans="1:34" ht="15" customHeight="1" x14ac:dyDescent="0.35">
      <c r="A25" s="14">
        <v>21</v>
      </c>
      <c r="B25" s="69" t="s">
        <v>56</v>
      </c>
      <c r="C25" s="61"/>
      <c r="D25" s="17">
        <v>1</v>
      </c>
      <c r="E25" s="29">
        <v>20493902</v>
      </c>
      <c r="F25" s="29">
        <v>8509068.1104000006</v>
      </c>
      <c r="G25" s="112">
        <f t="shared" si="5"/>
        <v>-8509068.1104000006</v>
      </c>
      <c r="H25" s="18">
        <v>4000</v>
      </c>
      <c r="I25" s="18">
        <v>32</v>
      </c>
      <c r="J25" s="19">
        <v>200000</v>
      </c>
      <c r="K25" s="20">
        <f>(900000/12)</f>
        <v>75000</v>
      </c>
      <c r="L25" s="20">
        <f>(400000/12)</f>
        <v>33333.333333333336</v>
      </c>
      <c r="M25" s="20">
        <f>(5093602/12)</f>
        <v>424466.83333333331</v>
      </c>
      <c r="N25" s="20">
        <f>(1465288/12)</f>
        <v>122107.33333333333</v>
      </c>
      <c r="O25" s="20">
        <f>(900000/6)</f>
        <v>150000</v>
      </c>
      <c r="P25" s="20">
        <f>(350000/12)</f>
        <v>29166.666666666668</v>
      </c>
      <c r="Q25" s="20">
        <f t="shared" ref="Q25" si="32">(180000000-110000000)/20/365</f>
        <v>9589.0410958904104</v>
      </c>
      <c r="R25" s="20">
        <f>+(H25/150000)*200000</f>
        <v>5333.3333333333339</v>
      </c>
      <c r="S25" s="20">
        <f>(200000/150000)*H25</f>
        <v>5333.333333333333</v>
      </c>
      <c r="T25" s="20">
        <f>+(H25/100000)*300000</f>
        <v>12000</v>
      </c>
      <c r="U25" s="20">
        <f>+(H25/45000)*300000</f>
        <v>26666.666666666668</v>
      </c>
      <c r="V25" s="20">
        <f>+(H25/40000)*700000</f>
        <v>70000</v>
      </c>
      <c r="W25" s="20">
        <f>+(H25/6000)*150000</f>
        <v>100000</v>
      </c>
      <c r="X25" s="20">
        <f>+(H25/90000)*1900000</f>
        <v>84444.444444444453</v>
      </c>
      <c r="Y25" s="20">
        <f>+(H25/50000)*530000</f>
        <v>42400</v>
      </c>
      <c r="Z25" s="20">
        <f t="shared" ref="Z25:Z32" si="33">+(H25/50000)*2400000</f>
        <v>192000</v>
      </c>
      <c r="AA25" s="20">
        <v>300000</v>
      </c>
      <c r="AB25" s="20">
        <f t="shared" si="1"/>
        <v>1718375</v>
      </c>
      <c r="AC25" s="20">
        <f>3092909/1</f>
        <v>3092909</v>
      </c>
      <c r="AD25" s="21">
        <v>0.1</v>
      </c>
      <c r="AE25" s="22">
        <f>SUM(J25:AD25)</f>
        <v>6693125.0855403347</v>
      </c>
      <c r="AF25" s="22">
        <f>+F25-AE25</f>
        <v>1815943.0248596659</v>
      </c>
      <c r="AG25" s="8">
        <f>(F25-AE25)/F25</f>
        <v>0.21341267942610237</v>
      </c>
      <c r="AH25" s="15">
        <f t="shared" ref="AH25:AH26" si="34">AE25+AF25</f>
        <v>8509068.1104000006</v>
      </c>
    </row>
    <row r="26" spans="1:34" ht="15" customHeight="1" x14ac:dyDescent="0.35">
      <c r="A26" s="14">
        <v>22</v>
      </c>
      <c r="B26" s="63" t="s">
        <v>57</v>
      </c>
      <c r="C26" s="57"/>
      <c r="D26" s="1">
        <v>1</v>
      </c>
      <c r="E26" s="24">
        <v>7651057</v>
      </c>
      <c r="F26" s="24">
        <v>3176718.8663999997</v>
      </c>
      <c r="G26" s="112">
        <f t="shared" si="5"/>
        <v>-3176718.8663999997</v>
      </c>
      <c r="H26" s="5">
        <v>1000</v>
      </c>
      <c r="I26" s="5">
        <v>32</v>
      </c>
      <c r="J26" s="13">
        <v>50000</v>
      </c>
      <c r="K26" s="6">
        <f>K25/4</f>
        <v>18750</v>
      </c>
      <c r="L26" s="6">
        <f>L25/4</f>
        <v>8333.3333333333339</v>
      </c>
      <c r="M26" s="6">
        <f t="shared" ref="M26:Y26" si="35">$K$5/4</f>
        <v>13864.583333333334</v>
      </c>
      <c r="N26" s="6">
        <f t="shared" si="35"/>
        <v>13864.583333333334</v>
      </c>
      <c r="O26" s="6">
        <f t="shared" si="35"/>
        <v>13864.583333333334</v>
      </c>
      <c r="P26" s="6">
        <f t="shared" si="35"/>
        <v>13864.583333333334</v>
      </c>
      <c r="Q26" s="6">
        <f t="shared" si="35"/>
        <v>13864.583333333334</v>
      </c>
      <c r="R26" s="6">
        <f t="shared" si="35"/>
        <v>13864.583333333334</v>
      </c>
      <c r="S26" s="6">
        <f t="shared" si="35"/>
        <v>13864.583333333334</v>
      </c>
      <c r="T26" s="6">
        <f t="shared" si="35"/>
        <v>13864.583333333334</v>
      </c>
      <c r="U26" s="6">
        <f t="shared" si="35"/>
        <v>13864.583333333334</v>
      </c>
      <c r="V26" s="6">
        <f t="shared" si="35"/>
        <v>13864.583333333334</v>
      </c>
      <c r="W26" s="6">
        <f t="shared" si="35"/>
        <v>13864.583333333334</v>
      </c>
      <c r="X26" s="6">
        <f t="shared" si="35"/>
        <v>13864.583333333334</v>
      </c>
      <c r="Y26" s="6">
        <f t="shared" si="35"/>
        <v>13864.583333333334</v>
      </c>
      <c r="Z26" s="30">
        <f t="shared" si="33"/>
        <v>48000</v>
      </c>
      <c r="AA26" s="6">
        <f>AA25/4</f>
        <v>75000</v>
      </c>
      <c r="AB26" s="6">
        <f t="shared" si="1"/>
        <v>429593.75</v>
      </c>
      <c r="AC26" s="6">
        <f>3092909/4</f>
        <v>773227.25</v>
      </c>
      <c r="AD26" s="16">
        <v>0.1</v>
      </c>
      <c r="AE26" s="7">
        <f>SUM(J26:AD26)</f>
        <v>1583144.0166666668</v>
      </c>
      <c r="AF26" s="7">
        <f>+F26-AE26</f>
        <v>1593574.8497333329</v>
      </c>
      <c r="AG26" s="8">
        <f>(F26-AE26)/F26</f>
        <v>0.50164176206730038</v>
      </c>
      <c r="AH26" s="15">
        <f t="shared" si="34"/>
        <v>3176718.8663999997</v>
      </c>
    </row>
    <row r="27" spans="1:34" ht="15" customHeight="1" x14ac:dyDescent="0.35">
      <c r="A27" s="14">
        <v>23</v>
      </c>
      <c r="B27" s="63" t="s">
        <v>58</v>
      </c>
      <c r="C27" s="57"/>
      <c r="D27" s="1">
        <v>1</v>
      </c>
      <c r="E27" s="24">
        <v>1622434</v>
      </c>
      <c r="F27" s="24">
        <v>673634.59680000006</v>
      </c>
      <c r="G27" s="112">
        <f t="shared" si="5"/>
        <v>-673634.59680000006</v>
      </c>
      <c r="H27" s="5">
        <v>150</v>
      </c>
      <c r="I27" s="5">
        <v>32</v>
      </c>
      <c r="J27" s="13">
        <v>6666.67</v>
      </c>
      <c r="K27" s="6">
        <f>(900000/365)</f>
        <v>2465.7534246575342</v>
      </c>
      <c r="L27" s="6">
        <f>L26/7</f>
        <v>1190.4761904761906</v>
      </c>
      <c r="M27" s="6">
        <f t="shared" ref="M27:M28" si="36">(5093602/365)</f>
        <v>13955.07397260274</v>
      </c>
      <c r="N27" s="6">
        <f>(1465288/365)</f>
        <v>4014.4876712328769</v>
      </c>
      <c r="O27" s="6">
        <f>(900000/6)/365</f>
        <v>410.95890410958901</v>
      </c>
      <c r="P27" s="6">
        <f t="shared" ref="P27:P28" si="37">(350000/365)</f>
        <v>958.90410958904113</v>
      </c>
      <c r="Q27" s="6">
        <f>(180000000-110000000)/20/365</f>
        <v>9589.0410958904104</v>
      </c>
      <c r="R27" s="6">
        <f t="shared" ref="R27:R32" si="38">+(H27/150000)*200000</f>
        <v>200</v>
      </c>
      <c r="S27" s="6">
        <f t="shared" ref="S27:S32" si="39">(200000/150000)*H27</f>
        <v>200</v>
      </c>
      <c r="T27" s="6">
        <f t="shared" ref="T27:T32" si="40">+(H27/100000)*300000</f>
        <v>450</v>
      </c>
      <c r="U27" s="6">
        <f t="shared" ref="U27:U32" si="41">+(H27/45000)*300000</f>
        <v>1000.0000000000001</v>
      </c>
      <c r="V27" s="6">
        <f t="shared" ref="V27:V32" si="42">+(H27/40000)*700000</f>
        <v>2625</v>
      </c>
      <c r="W27" s="6">
        <f t="shared" ref="W27:W32" si="43">+(H27/6000)*150000</f>
        <v>3750</v>
      </c>
      <c r="X27" s="6">
        <f t="shared" ref="X27:X32" si="44">+(H27/90000)*1900000</f>
        <v>3166.666666666667</v>
      </c>
      <c r="Y27" s="6">
        <f>+(H27/50000)*530000</f>
        <v>1590</v>
      </c>
      <c r="Z27" s="30">
        <f t="shared" si="33"/>
        <v>7200</v>
      </c>
      <c r="AA27" s="6">
        <f>$AA$25/30</f>
        <v>10000</v>
      </c>
      <c r="AB27" s="6">
        <f t="shared" si="1"/>
        <v>64439.0625</v>
      </c>
      <c r="AC27" s="6">
        <f>3092909/30</f>
        <v>103096.96666666666</v>
      </c>
      <c r="AD27" s="16">
        <v>0.1</v>
      </c>
      <c r="AE27" s="7">
        <f>SUM(K27:AD27)</f>
        <v>230302.49120189171</v>
      </c>
      <c r="AF27" s="7">
        <f>+F27-AE27</f>
        <v>443332.10559810838</v>
      </c>
      <c r="AG27" s="8">
        <f>(F27-AE27)/F27</f>
        <v>0.65811956170910901</v>
      </c>
      <c r="AH27" s="15">
        <f>AE27+AF27</f>
        <v>673634.59680000006</v>
      </c>
    </row>
    <row r="28" spans="1:34" ht="15" customHeight="1" x14ac:dyDescent="0.35">
      <c r="A28" s="23">
        <v>24</v>
      </c>
      <c r="B28" s="63" t="s">
        <v>59</v>
      </c>
      <c r="C28" s="57"/>
      <c r="D28" s="1">
        <v>1</v>
      </c>
      <c r="E28" s="24">
        <v>1963999</v>
      </c>
      <c r="F28" s="24">
        <v>815452.38480000012</v>
      </c>
      <c r="G28" s="112">
        <f t="shared" si="5"/>
        <v>-815452.38480000012</v>
      </c>
      <c r="H28" s="5">
        <v>150</v>
      </c>
      <c r="I28" s="5">
        <v>32</v>
      </c>
      <c r="J28" s="13">
        <v>6666.67</v>
      </c>
      <c r="K28" s="6">
        <f>(900000/365)</f>
        <v>2465.7534246575342</v>
      </c>
      <c r="L28" s="6">
        <f>L26/7</f>
        <v>1190.4761904761906</v>
      </c>
      <c r="M28" s="6">
        <f t="shared" si="36"/>
        <v>13955.07397260274</v>
      </c>
      <c r="N28" s="6">
        <f>(1465288/365)</f>
        <v>4014.4876712328769</v>
      </c>
      <c r="O28" s="6">
        <f>(900000/6)/365</f>
        <v>410.95890410958901</v>
      </c>
      <c r="P28" s="6">
        <f t="shared" si="37"/>
        <v>958.90410958904113</v>
      </c>
      <c r="Q28" s="6">
        <f>(180000000-110000000)/20/365</f>
        <v>9589.0410958904104</v>
      </c>
      <c r="R28" s="6">
        <f t="shared" si="38"/>
        <v>200</v>
      </c>
      <c r="S28" s="6">
        <f t="shared" si="39"/>
        <v>200</v>
      </c>
      <c r="T28" s="6">
        <f t="shared" si="40"/>
        <v>450</v>
      </c>
      <c r="U28" s="6">
        <f t="shared" si="41"/>
        <v>1000.0000000000001</v>
      </c>
      <c r="V28" s="6">
        <f t="shared" si="42"/>
        <v>2625</v>
      </c>
      <c r="W28" s="6">
        <f t="shared" si="43"/>
        <v>3750</v>
      </c>
      <c r="X28" s="6">
        <f t="shared" si="44"/>
        <v>3166.666666666667</v>
      </c>
      <c r="Y28" s="6">
        <f>+(H28/50000)*530000</f>
        <v>1590</v>
      </c>
      <c r="Z28" s="30">
        <f t="shared" si="33"/>
        <v>7200</v>
      </c>
      <c r="AA28" s="6">
        <f>$AA$25/30</f>
        <v>10000</v>
      </c>
      <c r="AB28" s="6">
        <f t="shared" si="1"/>
        <v>64439.0625</v>
      </c>
      <c r="AC28" s="6">
        <v>114600</v>
      </c>
      <c r="AD28" s="16">
        <v>0.1</v>
      </c>
      <c r="AE28" s="7">
        <f>SUM(K28:AD28)</f>
        <v>241805.52453522506</v>
      </c>
      <c r="AF28" s="7">
        <f>+F28-AE28</f>
        <v>573646.86026477511</v>
      </c>
      <c r="AG28" s="8">
        <f>(F28-AE28)/F28</f>
        <v>0.70347070038365167</v>
      </c>
      <c r="AH28" s="15">
        <f>AE28+AF28</f>
        <v>815452.38480000012</v>
      </c>
    </row>
    <row r="29" spans="1:34" ht="15" customHeight="1" x14ac:dyDescent="0.35">
      <c r="A29" s="14">
        <v>25</v>
      </c>
      <c r="B29" s="63" t="s">
        <v>60</v>
      </c>
      <c r="C29" s="57"/>
      <c r="D29" s="1">
        <v>1</v>
      </c>
      <c r="E29" s="24">
        <v>341565</v>
      </c>
      <c r="F29" s="24">
        <v>141817.788</v>
      </c>
      <c r="G29" s="112">
        <f t="shared" si="5"/>
        <v>-141817.788</v>
      </c>
      <c r="H29" s="5">
        <v>30</v>
      </c>
      <c r="I29" s="5">
        <v>32</v>
      </c>
      <c r="J29" s="13">
        <v>277.77999999999997</v>
      </c>
      <c r="K29" s="6">
        <f>$K$28/24</f>
        <v>102.73972602739725</v>
      </c>
      <c r="L29" s="6">
        <f>$L$28/24</f>
        <v>49.603174603174608</v>
      </c>
      <c r="M29" s="6">
        <f>(5093602/365)/24</f>
        <v>581.46141552511415</v>
      </c>
      <c r="N29" s="6">
        <f>(1465288/365)/24</f>
        <v>167.27031963470321</v>
      </c>
      <c r="O29" s="6">
        <f>(900000/6)/1440</f>
        <v>104.16666666666667</v>
      </c>
      <c r="P29" s="6">
        <f>(350000/365)/24</f>
        <v>39.954337899543383</v>
      </c>
      <c r="Q29" s="6">
        <f>(180000000-110000000)/20/365/24</f>
        <v>399.54337899543378</v>
      </c>
      <c r="R29" s="6">
        <f t="shared" si="38"/>
        <v>40</v>
      </c>
      <c r="S29" s="6">
        <f t="shared" si="39"/>
        <v>40</v>
      </c>
      <c r="T29" s="6">
        <f t="shared" si="40"/>
        <v>89.999999999999986</v>
      </c>
      <c r="U29" s="6">
        <f t="shared" si="41"/>
        <v>200</v>
      </c>
      <c r="V29" s="6">
        <f t="shared" si="42"/>
        <v>525</v>
      </c>
      <c r="W29" s="6">
        <f t="shared" si="43"/>
        <v>750</v>
      </c>
      <c r="X29" s="6">
        <f t="shared" si="44"/>
        <v>633.33333333333326</v>
      </c>
      <c r="Y29" s="6">
        <f>+(H29/50000)*530000/8</f>
        <v>39.75</v>
      </c>
      <c r="Z29" s="30">
        <f t="shared" si="33"/>
        <v>1439.9999999999998</v>
      </c>
      <c r="AA29" s="6">
        <f>$AA$28/8</f>
        <v>1250</v>
      </c>
      <c r="AB29" s="6">
        <f t="shared" si="1"/>
        <v>12887.8125</v>
      </c>
      <c r="AC29" s="6">
        <f>(3092909/30)/8</f>
        <v>12887.120833333332</v>
      </c>
      <c r="AD29" s="16">
        <v>0.1</v>
      </c>
      <c r="AE29" s="7">
        <f>SUM(J29:AD29)</f>
        <v>32505.635686018701</v>
      </c>
      <c r="AF29" s="7">
        <f>+F29-AE29</f>
        <v>109312.15231398129</v>
      </c>
      <c r="AG29" s="8">
        <f>(F29-AE29)/F29</f>
        <v>0.77079295803133874</v>
      </c>
      <c r="AH29" s="15">
        <f t="shared" ref="AH29:AH32" si="45">AE29+AF29</f>
        <v>141817.788</v>
      </c>
    </row>
    <row r="30" spans="1:34" ht="15" customHeight="1" x14ac:dyDescent="0.35">
      <c r="A30" s="14">
        <v>26</v>
      </c>
      <c r="B30" s="63" t="s">
        <v>61</v>
      </c>
      <c r="C30" s="57"/>
      <c r="D30" s="1">
        <v>1</v>
      </c>
      <c r="E30" s="24">
        <v>512348</v>
      </c>
      <c r="F30" s="24">
        <v>212726.88959999999</v>
      </c>
      <c r="G30" s="112">
        <f t="shared" si="5"/>
        <v>-212726.88959999999</v>
      </c>
      <c r="H30" s="5">
        <v>30</v>
      </c>
      <c r="I30" s="5">
        <v>32</v>
      </c>
      <c r="J30" s="13">
        <v>277.77999999999997</v>
      </c>
      <c r="K30" s="6">
        <f t="shared" ref="K30:K32" si="46">$K$28/24</f>
        <v>102.73972602739725</v>
      </c>
      <c r="L30" s="6">
        <f t="shared" ref="L30:L32" si="47">$L$28/24</f>
        <v>49.603174603174608</v>
      </c>
      <c r="M30" s="6">
        <f>(5093602/365)/24</f>
        <v>581.46141552511415</v>
      </c>
      <c r="N30" s="6">
        <f>(1465288/365)/24</f>
        <v>167.27031963470321</v>
      </c>
      <c r="O30" s="6">
        <f>(900000/6)/1440</f>
        <v>104.16666666666667</v>
      </c>
      <c r="P30" s="6">
        <f>(350000/365)/24</f>
        <v>39.954337899543383</v>
      </c>
      <c r="Q30" s="6">
        <f>(180000000-110000000)/20/365/24</f>
        <v>399.54337899543378</v>
      </c>
      <c r="R30" s="6">
        <f t="shared" si="38"/>
        <v>40</v>
      </c>
      <c r="S30" s="6">
        <f t="shared" si="39"/>
        <v>40</v>
      </c>
      <c r="T30" s="6">
        <f t="shared" si="40"/>
        <v>89.999999999999986</v>
      </c>
      <c r="U30" s="6">
        <f t="shared" si="41"/>
        <v>200</v>
      </c>
      <c r="V30" s="6">
        <f t="shared" si="42"/>
        <v>525</v>
      </c>
      <c r="W30" s="6">
        <f t="shared" si="43"/>
        <v>750</v>
      </c>
      <c r="X30" s="6">
        <f t="shared" si="44"/>
        <v>633.33333333333326</v>
      </c>
      <c r="Y30" s="6">
        <f>+(H30/50000)*530000/8</f>
        <v>39.75</v>
      </c>
      <c r="Z30" s="30">
        <f t="shared" si="33"/>
        <v>1439.9999999999998</v>
      </c>
      <c r="AA30" s="6">
        <f t="shared" ref="AA30:AA32" si="48">$AA$28/8</f>
        <v>1250</v>
      </c>
      <c r="AB30" s="6">
        <f t="shared" si="1"/>
        <v>12887.8125</v>
      </c>
      <c r="AC30" s="6">
        <v>14325</v>
      </c>
      <c r="AD30" s="16">
        <v>0.1</v>
      </c>
      <c r="AE30" s="7">
        <f>SUM(J30:AD30)</f>
        <v>33943.514852685366</v>
      </c>
      <c r="AF30" s="7">
        <f>+F30-AE30</f>
        <v>178783.37474731464</v>
      </c>
      <c r="AG30" s="8">
        <f>(F30-AE30)/F30</f>
        <v>0.8404361812626937</v>
      </c>
      <c r="AH30" s="15">
        <f t="shared" si="45"/>
        <v>212726.88959999999</v>
      </c>
    </row>
    <row r="31" spans="1:34" ht="15" customHeight="1" x14ac:dyDescent="0.35">
      <c r="A31" s="14">
        <v>27</v>
      </c>
      <c r="B31" s="63" t="s">
        <v>62</v>
      </c>
      <c r="C31" s="57"/>
      <c r="D31" s="1">
        <v>1</v>
      </c>
      <c r="E31" s="24">
        <v>512348</v>
      </c>
      <c r="F31" s="24">
        <v>212726.88959999999</v>
      </c>
      <c r="G31" s="112">
        <f t="shared" si="5"/>
        <v>-212726.88959999999</v>
      </c>
      <c r="H31" s="5">
        <v>30</v>
      </c>
      <c r="I31" s="5">
        <v>32</v>
      </c>
      <c r="J31" s="13">
        <v>277.77999999999997</v>
      </c>
      <c r="K31" s="6">
        <f t="shared" si="46"/>
        <v>102.73972602739725</v>
      </c>
      <c r="L31" s="6">
        <f t="shared" si="47"/>
        <v>49.603174603174608</v>
      </c>
      <c r="M31" s="6">
        <f>(5093602/365)/24</f>
        <v>581.46141552511415</v>
      </c>
      <c r="N31" s="6">
        <f>(1465288/365)/24</f>
        <v>167.27031963470321</v>
      </c>
      <c r="O31" s="6">
        <f>(900000/6)/1440</f>
        <v>104.16666666666667</v>
      </c>
      <c r="P31" s="6">
        <f>(350000/365)/24</f>
        <v>39.954337899543383</v>
      </c>
      <c r="Q31" s="6">
        <f>(180000000-110000000)/20/365/24</f>
        <v>399.54337899543378</v>
      </c>
      <c r="R31" s="6">
        <f t="shared" si="38"/>
        <v>40</v>
      </c>
      <c r="S31" s="6">
        <f t="shared" si="39"/>
        <v>40</v>
      </c>
      <c r="T31" s="6">
        <f t="shared" si="40"/>
        <v>89.999999999999986</v>
      </c>
      <c r="U31" s="6">
        <f t="shared" si="41"/>
        <v>200</v>
      </c>
      <c r="V31" s="6">
        <f t="shared" si="42"/>
        <v>525</v>
      </c>
      <c r="W31" s="6">
        <f t="shared" si="43"/>
        <v>750</v>
      </c>
      <c r="X31" s="6">
        <f t="shared" si="44"/>
        <v>633.33333333333326</v>
      </c>
      <c r="Y31" s="6">
        <f>+(H31/50000)*530000/8</f>
        <v>39.75</v>
      </c>
      <c r="Z31" s="30">
        <f t="shared" si="33"/>
        <v>1439.9999999999998</v>
      </c>
      <c r="AA31" s="6">
        <f t="shared" si="48"/>
        <v>1250</v>
      </c>
      <c r="AB31" s="6">
        <f t="shared" si="1"/>
        <v>12887.8125</v>
      </c>
      <c r="AC31" s="6">
        <v>13928</v>
      </c>
      <c r="AD31" s="16">
        <v>0.1</v>
      </c>
      <c r="AE31" s="7">
        <f>SUM(J31:AD31)</f>
        <v>33546.514852685366</v>
      </c>
      <c r="AF31" s="7">
        <f>+F31-AE31</f>
        <v>179180.37474731464</v>
      </c>
      <c r="AG31" s="8">
        <f>(F31-AE31)/F31</f>
        <v>0.84230242394008392</v>
      </c>
      <c r="AH31" s="15">
        <f t="shared" si="45"/>
        <v>212726.88959999999</v>
      </c>
    </row>
    <row r="32" spans="1:34" ht="15.75" customHeight="1" thickBot="1" x14ac:dyDescent="0.4">
      <c r="A32" s="23">
        <v>28</v>
      </c>
      <c r="B32" s="65" t="s">
        <v>63</v>
      </c>
      <c r="C32" s="59"/>
      <c r="D32" s="1">
        <v>1</v>
      </c>
      <c r="E32" s="24">
        <v>597739</v>
      </c>
      <c r="F32" s="24">
        <v>248181.2328</v>
      </c>
      <c r="G32" s="112">
        <f t="shared" si="5"/>
        <v>-248181.2328</v>
      </c>
      <c r="H32" s="5">
        <v>30</v>
      </c>
      <c r="I32" s="5">
        <v>32</v>
      </c>
      <c r="J32" s="13">
        <v>277.77999999999997</v>
      </c>
      <c r="K32" s="6">
        <f t="shared" si="46"/>
        <v>102.73972602739725</v>
      </c>
      <c r="L32" s="6">
        <f t="shared" si="47"/>
        <v>49.603174603174608</v>
      </c>
      <c r="M32" s="6">
        <f>(5093602/365)/24</f>
        <v>581.46141552511415</v>
      </c>
      <c r="N32" s="6">
        <f>(1465288/365)/24</f>
        <v>167.27031963470321</v>
      </c>
      <c r="O32" s="6">
        <f>(900000/6)/1440</f>
        <v>104.16666666666667</v>
      </c>
      <c r="P32" s="6">
        <f>(350000/365)/24</f>
        <v>39.954337899543383</v>
      </c>
      <c r="Q32" s="6">
        <f>(180000000-110000000)/20/365/24</f>
        <v>399.54337899543378</v>
      </c>
      <c r="R32" s="6">
        <f t="shared" si="38"/>
        <v>40</v>
      </c>
      <c r="S32" s="6">
        <f t="shared" si="39"/>
        <v>40</v>
      </c>
      <c r="T32" s="6">
        <f t="shared" si="40"/>
        <v>89.999999999999986</v>
      </c>
      <c r="U32" s="6">
        <f t="shared" si="41"/>
        <v>200</v>
      </c>
      <c r="V32" s="6">
        <f t="shared" si="42"/>
        <v>525</v>
      </c>
      <c r="W32" s="6">
        <f t="shared" si="43"/>
        <v>750</v>
      </c>
      <c r="X32" s="6">
        <f t="shared" si="44"/>
        <v>633.33333333333326</v>
      </c>
      <c r="Y32" s="6">
        <f>+(H32/50000)*530000/8</f>
        <v>39.75</v>
      </c>
      <c r="Z32" s="30">
        <f t="shared" si="33"/>
        <v>1439.9999999999998</v>
      </c>
      <c r="AA32" s="6">
        <f t="shared" si="48"/>
        <v>1250</v>
      </c>
      <c r="AB32" s="6">
        <f t="shared" si="1"/>
        <v>12887.8125</v>
      </c>
      <c r="AC32" s="6">
        <v>17711</v>
      </c>
      <c r="AD32" s="16">
        <v>0.1</v>
      </c>
      <c r="AE32" s="7">
        <f>SUM(J32:AD32)</f>
        <v>37329.514852685366</v>
      </c>
      <c r="AF32" s="7">
        <f>+F32-AE32</f>
        <v>210851.71794731464</v>
      </c>
      <c r="AG32" s="8">
        <f>(F32-AE32)/F32</f>
        <v>0.84958768061738243</v>
      </c>
      <c r="AH32" s="15">
        <f t="shared" si="45"/>
        <v>248181.2328</v>
      </c>
    </row>
    <row r="33" spans="1:34" ht="25.5" customHeight="1" x14ac:dyDescent="0.35">
      <c r="A33" s="33">
        <v>29</v>
      </c>
      <c r="B33" s="77" t="s">
        <v>64</v>
      </c>
      <c r="C33" s="78"/>
      <c r="D33" s="34">
        <v>1</v>
      </c>
      <c r="E33" s="35">
        <v>1366260</v>
      </c>
      <c r="F33" s="35">
        <v>567271.152</v>
      </c>
      <c r="G33" s="112">
        <f t="shared" si="5"/>
        <v>-567271.152</v>
      </c>
      <c r="H33" s="36">
        <v>150</v>
      </c>
      <c r="I33" s="36">
        <v>30</v>
      </c>
      <c r="J33" s="37">
        <v>6666.67</v>
      </c>
      <c r="K33" s="38">
        <f>(965300/365)</f>
        <v>2644.6575342465753</v>
      </c>
      <c r="L33" s="38">
        <f>(319000/365)</f>
        <v>873.97260273972597</v>
      </c>
      <c r="M33" s="38">
        <f>(7658840/365)</f>
        <v>20983.123287671231</v>
      </c>
      <c r="N33" s="38">
        <f>(1465288/365)</f>
        <v>4014.4876712328769</v>
      </c>
      <c r="O33" s="38">
        <f>(1200000/6)/365</f>
        <v>547.94520547945206</v>
      </c>
      <c r="P33" s="38">
        <f t="shared" ref="P33:P34" si="49">(350000/365)</f>
        <v>958.90410958904113</v>
      </c>
      <c r="Q33" s="38">
        <f>(180000000-110000000)/20/365</f>
        <v>9589.0410958904104</v>
      </c>
      <c r="R33" s="38">
        <f t="shared" ref="R33:R38" si="50">+(H33/150000)*300000</f>
        <v>300</v>
      </c>
      <c r="S33" s="38">
        <f t="shared" ref="S33:S38" si="51">(300000/150000)*H33</f>
        <v>300</v>
      </c>
      <c r="T33" s="38">
        <f t="shared" ref="T33:T38" si="52">+(H33/100000)*400000</f>
        <v>600</v>
      </c>
      <c r="U33" s="38">
        <f t="shared" ref="U33:U38" si="53">+(H33/45000)*400000</f>
        <v>1333.3333333333335</v>
      </c>
      <c r="V33" s="38">
        <f t="shared" ref="V33:V38" si="54">+(H33/40000)*800000</f>
        <v>3000</v>
      </c>
      <c r="W33" s="38">
        <f>+(H33/6000)*350000</f>
        <v>8750</v>
      </c>
      <c r="X33" s="38">
        <f t="shared" ref="X33:X38" si="55">+(H33/90000)*2900000</f>
        <v>4833.3333333333339</v>
      </c>
      <c r="Y33" s="38">
        <f>+(H33/50000)*730000</f>
        <v>2190</v>
      </c>
      <c r="Z33" s="38">
        <f t="shared" ref="Z33:Z38" si="56">+(H33/50000)*3200000</f>
        <v>9600</v>
      </c>
      <c r="AA33" s="38">
        <v>16666</v>
      </c>
      <c r="AB33" s="38">
        <f t="shared" si="1"/>
        <v>68735</v>
      </c>
      <c r="AC33" s="38">
        <f>3092909/30</f>
        <v>103096.96666666666</v>
      </c>
      <c r="AD33" s="39">
        <v>0.1</v>
      </c>
      <c r="AE33" s="40">
        <f>SUM(K33:AD33)</f>
        <v>259016.86484018268</v>
      </c>
      <c r="AF33" s="40">
        <f>+F33-AE33</f>
        <v>308254.28715981729</v>
      </c>
      <c r="AG33" s="8">
        <f>(F33-AE33)/F33</f>
        <v>0.54339848954599634</v>
      </c>
      <c r="AH33" s="15">
        <f>AE33+AF33</f>
        <v>567271.152</v>
      </c>
    </row>
    <row r="34" spans="1:34" x14ac:dyDescent="0.35">
      <c r="A34" s="14">
        <v>30</v>
      </c>
      <c r="B34" s="56" t="s">
        <v>65</v>
      </c>
      <c r="C34" s="57"/>
      <c r="D34" s="1">
        <v>1</v>
      </c>
      <c r="E34" s="24">
        <v>1622434</v>
      </c>
      <c r="F34" s="24">
        <v>673634.59680000006</v>
      </c>
      <c r="G34" s="112">
        <f t="shared" si="5"/>
        <v>-673634.59680000006</v>
      </c>
      <c r="H34" s="5">
        <v>150</v>
      </c>
      <c r="I34" s="5">
        <v>30</v>
      </c>
      <c r="J34" s="13">
        <v>6666.67</v>
      </c>
      <c r="K34" s="6">
        <f>(965300/365)</f>
        <v>2644.6575342465753</v>
      </c>
      <c r="L34" s="6">
        <f>(319000/365)</f>
        <v>873.97260273972597</v>
      </c>
      <c r="M34" s="6">
        <f>(5093602/365)</f>
        <v>13955.07397260274</v>
      </c>
      <c r="N34" s="6">
        <f>(1465288/365)</f>
        <v>4014.4876712328769</v>
      </c>
      <c r="O34" s="6">
        <f>(1200000/6)/365</f>
        <v>547.94520547945206</v>
      </c>
      <c r="P34" s="6">
        <f t="shared" si="49"/>
        <v>958.90410958904113</v>
      </c>
      <c r="Q34" s="6">
        <f>(180000000-110000000)/20/365</f>
        <v>9589.0410958904104</v>
      </c>
      <c r="R34" s="6">
        <f t="shared" si="50"/>
        <v>300</v>
      </c>
      <c r="S34" s="6">
        <f t="shared" si="51"/>
        <v>300</v>
      </c>
      <c r="T34" s="6">
        <f t="shared" si="52"/>
        <v>600</v>
      </c>
      <c r="U34" s="41">
        <f t="shared" si="53"/>
        <v>1333.3333333333335</v>
      </c>
      <c r="V34" s="6">
        <f t="shared" si="54"/>
        <v>3000</v>
      </c>
      <c r="W34" s="6">
        <f>+(H34/6000)*2350000</f>
        <v>58750</v>
      </c>
      <c r="X34" s="6">
        <f t="shared" si="55"/>
        <v>4833.3333333333339</v>
      </c>
      <c r="Y34" s="6">
        <f>+(H34/50000)*730000</f>
        <v>2190</v>
      </c>
      <c r="Z34" s="6">
        <f t="shared" si="56"/>
        <v>9600</v>
      </c>
      <c r="AA34" s="6">
        <f>AA33</f>
        <v>16666</v>
      </c>
      <c r="AB34" s="6">
        <f t="shared" si="1"/>
        <v>68735</v>
      </c>
      <c r="AC34" s="6">
        <f>3092909/30</f>
        <v>103096.96666666666</v>
      </c>
      <c r="AD34" s="16">
        <v>0.1</v>
      </c>
      <c r="AE34" s="7">
        <f>SUM(K34:AD34)</f>
        <v>301988.81552511413</v>
      </c>
      <c r="AF34" s="7">
        <f>+F34-AE34</f>
        <v>371645.78127488593</v>
      </c>
      <c r="AG34" s="8">
        <f>(F34-AE34)/F34</f>
        <v>0.55170233690539849</v>
      </c>
      <c r="AH34" s="15">
        <f>AE34+AF34</f>
        <v>673634.59680000006</v>
      </c>
    </row>
    <row r="35" spans="1:34" x14ac:dyDescent="0.35">
      <c r="A35" s="14">
        <v>31</v>
      </c>
      <c r="B35" s="56" t="s">
        <v>66</v>
      </c>
      <c r="C35" s="57"/>
      <c r="D35" s="1">
        <v>1</v>
      </c>
      <c r="E35" s="24">
        <v>597739</v>
      </c>
      <c r="F35" s="24">
        <v>248181.2328</v>
      </c>
      <c r="G35" s="112">
        <f t="shared" si="5"/>
        <v>-248181.2328</v>
      </c>
      <c r="H35" s="5">
        <v>30</v>
      </c>
      <c r="I35" s="5">
        <v>30</v>
      </c>
      <c r="J35" s="13">
        <v>277.77999999999997</v>
      </c>
      <c r="K35" s="6">
        <f>(965300/365)/24</f>
        <v>110.19406392694064</v>
      </c>
      <c r="L35" s="6">
        <f>(319000/365)/24</f>
        <v>36.415525114155251</v>
      </c>
      <c r="M35" s="6">
        <f>(7658840/365)/24</f>
        <v>874.29680365296792</v>
      </c>
      <c r="N35" s="6">
        <f>(1465288/365)/24</f>
        <v>167.27031963470321</v>
      </c>
      <c r="O35" s="6">
        <f>(1200000/6)/1440</f>
        <v>138.88888888888889</v>
      </c>
      <c r="P35" s="6">
        <f>(350000/365)/24</f>
        <v>39.954337899543383</v>
      </c>
      <c r="Q35" s="6">
        <f>(180000000-110000000)/20/365/24</f>
        <v>399.54337899543378</v>
      </c>
      <c r="R35" s="6">
        <f t="shared" si="50"/>
        <v>60</v>
      </c>
      <c r="S35" s="6">
        <f t="shared" si="51"/>
        <v>60</v>
      </c>
      <c r="T35" s="6">
        <f t="shared" si="52"/>
        <v>119.99999999999999</v>
      </c>
      <c r="U35" s="6">
        <f t="shared" si="53"/>
        <v>266.66666666666669</v>
      </c>
      <c r="V35" s="6">
        <f t="shared" si="54"/>
        <v>600</v>
      </c>
      <c r="W35" s="6">
        <f>+(H35/6000)*350000</f>
        <v>1750</v>
      </c>
      <c r="X35" s="6">
        <f t="shared" si="55"/>
        <v>966.66666666666663</v>
      </c>
      <c r="Y35" s="6">
        <f>+(H35/50000)*730000/8</f>
        <v>54.749999999999993</v>
      </c>
      <c r="Z35" s="6">
        <f t="shared" si="56"/>
        <v>1919.9999999999998</v>
      </c>
      <c r="AA35" s="6">
        <f>$AA$34/8</f>
        <v>2083.25</v>
      </c>
      <c r="AB35" s="6">
        <f t="shared" si="1"/>
        <v>13747</v>
      </c>
      <c r="AC35" s="6">
        <f>(3092909/30)/8</f>
        <v>12887.120833333332</v>
      </c>
      <c r="AD35" s="16">
        <v>0.1</v>
      </c>
      <c r="AE35" s="7">
        <f>SUM(J35:AD35)</f>
        <v>36559.8974847793</v>
      </c>
      <c r="AF35" s="7">
        <f>+F35-AE35</f>
        <v>211621.3353152207</v>
      </c>
      <c r="AG35" s="8">
        <f>(F35-AE35)/F35</f>
        <v>0.85268871029324944</v>
      </c>
      <c r="AH35" s="15">
        <f t="shared" ref="AH35:AH38" si="57">AE35+AF35</f>
        <v>248181.2328</v>
      </c>
    </row>
    <row r="36" spans="1:34" x14ac:dyDescent="0.35">
      <c r="A36" s="23">
        <v>32</v>
      </c>
      <c r="B36" s="56" t="s">
        <v>67</v>
      </c>
      <c r="C36" s="57"/>
      <c r="D36" s="1">
        <v>1</v>
      </c>
      <c r="E36" s="24">
        <v>717287</v>
      </c>
      <c r="F36" s="24">
        <v>297817.5624</v>
      </c>
      <c r="G36" s="112">
        <f t="shared" si="5"/>
        <v>-297817.5624</v>
      </c>
      <c r="H36" s="5">
        <v>30</v>
      </c>
      <c r="I36" s="5">
        <v>30</v>
      </c>
      <c r="J36" s="13">
        <v>277.77999999999997</v>
      </c>
      <c r="K36" s="6">
        <f>(965300/365)/24</f>
        <v>110.19406392694064</v>
      </c>
      <c r="L36" s="6">
        <f>(319000/365)/24</f>
        <v>36.415525114155251</v>
      </c>
      <c r="M36" s="6">
        <f>(7658840/365)/24</f>
        <v>874.29680365296792</v>
      </c>
      <c r="N36" s="6">
        <f>(1465288/365)/24</f>
        <v>167.27031963470321</v>
      </c>
      <c r="O36" s="6">
        <f>(1200000/6)/1440</f>
        <v>138.88888888888889</v>
      </c>
      <c r="P36" s="6">
        <f>(350000/365)/24</f>
        <v>39.954337899543383</v>
      </c>
      <c r="Q36" s="6">
        <f>(180000000-110000000)/20/365/24</f>
        <v>399.54337899543378</v>
      </c>
      <c r="R36" s="6">
        <f t="shared" si="50"/>
        <v>60</v>
      </c>
      <c r="S36" s="6">
        <f t="shared" si="51"/>
        <v>60</v>
      </c>
      <c r="T36" s="6">
        <f t="shared" si="52"/>
        <v>119.99999999999999</v>
      </c>
      <c r="U36" s="6">
        <f t="shared" si="53"/>
        <v>266.66666666666669</v>
      </c>
      <c r="V36" s="6">
        <f t="shared" si="54"/>
        <v>600</v>
      </c>
      <c r="W36" s="6">
        <f>+(H36/6000)*350000</f>
        <v>1750</v>
      </c>
      <c r="X36" s="6">
        <f t="shared" si="55"/>
        <v>966.66666666666663</v>
      </c>
      <c r="Y36" s="6">
        <f>+(H36/50000)*730000/8</f>
        <v>54.749999999999993</v>
      </c>
      <c r="Z36" s="6">
        <f t="shared" si="56"/>
        <v>1919.9999999999998</v>
      </c>
      <c r="AA36" s="6">
        <f t="shared" ref="AA36:AA38" si="58">$AA$34/8</f>
        <v>2083.25</v>
      </c>
      <c r="AB36" s="6">
        <f t="shared" si="1"/>
        <v>13747</v>
      </c>
      <c r="AC36" s="6">
        <v>14325</v>
      </c>
      <c r="AD36" s="16">
        <v>0.1</v>
      </c>
      <c r="AE36" s="7">
        <f>SUM(J36:AD36)</f>
        <v>37997.776651445965</v>
      </c>
      <c r="AF36" s="7">
        <f>+F36-AE36</f>
        <v>259819.78574855404</v>
      </c>
      <c r="AG36" s="8">
        <f>(F36-AE36)/F36</f>
        <v>0.87241257249829018</v>
      </c>
      <c r="AH36" s="15">
        <f t="shared" si="57"/>
        <v>297817.5624</v>
      </c>
    </row>
    <row r="37" spans="1:34" x14ac:dyDescent="0.35">
      <c r="A37" s="14">
        <v>33</v>
      </c>
      <c r="B37" s="56" t="s">
        <v>68</v>
      </c>
      <c r="C37" s="57"/>
      <c r="D37" s="1">
        <v>1</v>
      </c>
      <c r="E37" s="24">
        <v>768521</v>
      </c>
      <c r="F37" s="24">
        <v>319089.9192</v>
      </c>
      <c r="G37" s="112">
        <f t="shared" si="5"/>
        <v>-319089.9192</v>
      </c>
      <c r="H37" s="5">
        <v>30</v>
      </c>
      <c r="I37" s="5">
        <v>30</v>
      </c>
      <c r="J37" s="13">
        <v>277.77999999999997</v>
      </c>
      <c r="K37" s="6">
        <f>(965300/365)/24</f>
        <v>110.19406392694064</v>
      </c>
      <c r="L37" s="6">
        <f>(319000/365)/24</f>
        <v>36.415525114155251</v>
      </c>
      <c r="M37" s="6">
        <f>(7658840/365)/24</f>
        <v>874.29680365296792</v>
      </c>
      <c r="N37" s="6">
        <f>(1465288/365)/24</f>
        <v>167.27031963470321</v>
      </c>
      <c r="O37" s="6">
        <f>(1200000/6)/1440</f>
        <v>138.88888888888889</v>
      </c>
      <c r="P37" s="6">
        <f>(350000/365)/24</f>
        <v>39.954337899543383</v>
      </c>
      <c r="Q37" s="6">
        <f>(180000000-110000000)/20/365/24</f>
        <v>399.54337899543378</v>
      </c>
      <c r="R37" s="6">
        <f t="shared" si="50"/>
        <v>60</v>
      </c>
      <c r="S37" s="6">
        <f t="shared" si="51"/>
        <v>60</v>
      </c>
      <c r="T37" s="6">
        <f t="shared" si="52"/>
        <v>119.99999999999999</v>
      </c>
      <c r="U37" s="6">
        <f t="shared" si="53"/>
        <v>266.66666666666669</v>
      </c>
      <c r="V37" s="6">
        <f t="shared" si="54"/>
        <v>600</v>
      </c>
      <c r="W37" s="6">
        <f>+(H37/6000)*350000</f>
        <v>1750</v>
      </c>
      <c r="X37" s="6">
        <f t="shared" si="55"/>
        <v>966.66666666666663</v>
      </c>
      <c r="Y37" s="6">
        <f>+(H37/50000)*730000/8</f>
        <v>54.749999999999993</v>
      </c>
      <c r="Z37" s="6">
        <f t="shared" si="56"/>
        <v>1919.9999999999998</v>
      </c>
      <c r="AA37" s="6">
        <f t="shared" si="58"/>
        <v>2083.25</v>
      </c>
      <c r="AB37" s="6">
        <f t="shared" ref="AB37:AB54" si="59">+(H37/I37)*13747</f>
        <v>13747</v>
      </c>
      <c r="AC37" s="6">
        <f>(3092909/30)/8</f>
        <v>12887.120833333332</v>
      </c>
      <c r="AD37" s="16">
        <v>0.1</v>
      </c>
      <c r="AE37" s="7">
        <f>SUM(J37:AD37)</f>
        <v>36559.8974847793</v>
      </c>
      <c r="AF37" s="7">
        <f>+F37-AE37</f>
        <v>282530.0217152207</v>
      </c>
      <c r="AG37" s="8">
        <f>(F37-AE37)/F37</f>
        <v>0.8854244672585091</v>
      </c>
      <c r="AH37" s="15">
        <f t="shared" si="57"/>
        <v>319089.9192</v>
      </c>
    </row>
    <row r="38" spans="1:34" ht="15" thickBot="1" x14ac:dyDescent="0.4">
      <c r="A38" s="14">
        <v>34</v>
      </c>
      <c r="B38" s="73" t="s">
        <v>69</v>
      </c>
      <c r="C38" s="74"/>
      <c r="D38" s="1">
        <v>1</v>
      </c>
      <c r="E38" s="24">
        <v>853913</v>
      </c>
      <c r="F38" s="24">
        <v>354544.6776</v>
      </c>
      <c r="G38" s="112">
        <f t="shared" si="5"/>
        <v>-354544.6776</v>
      </c>
      <c r="H38" s="5">
        <v>30</v>
      </c>
      <c r="I38" s="5">
        <v>30</v>
      </c>
      <c r="J38" s="13">
        <v>277.77999999999997</v>
      </c>
      <c r="K38" s="6">
        <f>(965300/365)/24</f>
        <v>110.19406392694064</v>
      </c>
      <c r="L38" s="6">
        <f>(319000/365)/24</f>
        <v>36.415525114155251</v>
      </c>
      <c r="M38" s="6">
        <f>(7658840/365)/24</f>
        <v>874.29680365296792</v>
      </c>
      <c r="N38" s="6">
        <f>(1465288/365)/24</f>
        <v>167.27031963470321</v>
      </c>
      <c r="O38" s="6">
        <f>(1200000/6)/1440</f>
        <v>138.88888888888889</v>
      </c>
      <c r="P38" s="6">
        <f>(350000/365)/24</f>
        <v>39.954337899543383</v>
      </c>
      <c r="Q38" s="6">
        <f>(180000000-110000000)/20/365/24</f>
        <v>399.54337899543378</v>
      </c>
      <c r="R38" s="6">
        <f t="shared" si="50"/>
        <v>60</v>
      </c>
      <c r="S38" s="6">
        <f t="shared" si="51"/>
        <v>60</v>
      </c>
      <c r="T38" s="6">
        <f t="shared" si="52"/>
        <v>119.99999999999999</v>
      </c>
      <c r="U38" s="6">
        <f t="shared" si="53"/>
        <v>266.66666666666669</v>
      </c>
      <c r="V38" s="6">
        <f t="shared" si="54"/>
        <v>600</v>
      </c>
      <c r="W38" s="6">
        <f>+(H38/6000)*350000</f>
        <v>1750</v>
      </c>
      <c r="X38" s="6">
        <f t="shared" si="55"/>
        <v>966.66666666666663</v>
      </c>
      <c r="Y38" s="6">
        <f>+(H38/50000)*730000/8</f>
        <v>54.749999999999993</v>
      </c>
      <c r="Z38" s="6">
        <f t="shared" si="56"/>
        <v>1919.9999999999998</v>
      </c>
      <c r="AA38" s="6">
        <f t="shared" si="58"/>
        <v>2083.25</v>
      </c>
      <c r="AB38" s="6">
        <f t="shared" si="59"/>
        <v>13747</v>
      </c>
      <c r="AC38" s="6">
        <v>14325</v>
      </c>
      <c r="AD38" s="16">
        <v>0.1</v>
      </c>
      <c r="AE38" s="7">
        <f>SUM(J38:AD38)</f>
        <v>37997.776651445965</v>
      </c>
      <c r="AF38" s="7">
        <f>+F38-AE38</f>
        <v>316546.90094855404</v>
      </c>
      <c r="AG38" s="8">
        <f>(F38-AE38)/F38</f>
        <v>0.89282654894536218</v>
      </c>
      <c r="AH38" s="15">
        <f t="shared" si="57"/>
        <v>354544.6776</v>
      </c>
    </row>
    <row r="39" spans="1:34" x14ac:dyDescent="0.35">
      <c r="A39" s="14">
        <v>35</v>
      </c>
      <c r="B39" s="75" t="s">
        <v>70</v>
      </c>
      <c r="C39" s="76"/>
      <c r="D39" s="1">
        <v>1</v>
      </c>
      <c r="E39" s="24">
        <v>2817911</v>
      </c>
      <c r="F39" s="24">
        <v>1169996.6472</v>
      </c>
      <c r="G39" s="112">
        <f t="shared" si="5"/>
        <v>-1169996.6472</v>
      </c>
      <c r="H39" s="5">
        <v>150</v>
      </c>
      <c r="I39" s="5">
        <v>25</v>
      </c>
      <c r="J39" s="13">
        <v>6666.67</v>
      </c>
      <c r="K39" s="6">
        <f>(965300/365)</f>
        <v>2644.6575342465753</v>
      </c>
      <c r="L39" s="6">
        <f>(319000/365)</f>
        <v>873.97260273972597</v>
      </c>
      <c r="M39" s="6">
        <f>(7658840/365)</f>
        <v>20983.123287671231</v>
      </c>
      <c r="N39" s="6">
        <f>(2904924/365)</f>
        <v>7958.6958904109588</v>
      </c>
      <c r="O39" s="6">
        <f>(3000000/6)/365</f>
        <v>1369.8630136986301</v>
      </c>
      <c r="P39" s="6">
        <f t="shared" ref="P39:P40" si="60">(350000/365)</f>
        <v>958.90410958904113</v>
      </c>
      <c r="Q39" s="6">
        <f>(180000000-110000000)/20/365</f>
        <v>9589.0410958904104</v>
      </c>
      <c r="R39" s="6">
        <f t="shared" ref="R39:R54" si="61">+(H39/150000)*400000</f>
        <v>400</v>
      </c>
      <c r="S39" s="6">
        <f t="shared" ref="S39:S54" si="62">(400000/150000)*H39</f>
        <v>400</v>
      </c>
      <c r="T39" s="6">
        <f t="shared" ref="T39:T54" si="63">+(H39/100000)*600000</f>
        <v>900</v>
      </c>
      <c r="U39" s="6">
        <f t="shared" ref="U39:U54" si="64">+(H39/45000)*600000</f>
        <v>2000.0000000000002</v>
      </c>
      <c r="V39" s="6">
        <f t="shared" ref="V39:V54" si="65">+(H39/40000)*1000000</f>
        <v>3750</v>
      </c>
      <c r="W39" s="6">
        <f t="shared" ref="W39:W54" si="66">+(H39/6000)*600000</f>
        <v>15000</v>
      </c>
      <c r="X39" s="6">
        <f t="shared" ref="X39:X54" si="67">+(H39/90000)*3900000</f>
        <v>6500</v>
      </c>
      <c r="Y39" s="6">
        <f>+(H39/50000)*930000</f>
        <v>2790</v>
      </c>
      <c r="Z39" s="6">
        <f t="shared" ref="Z39:Z47" si="68">+(H39/50000)*5200000</f>
        <v>15600</v>
      </c>
      <c r="AA39" s="6">
        <v>26666</v>
      </c>
      <c r="AB39" s="6">
        <f t="shared" si="59"/>
        <v>82482</v>
      </c>
      <c r="AC39" s="6">
        <f>3092909/30</f>
        <v>103096.96666666666</v>
      </c>
      <c r="AD39" s="16">
        <v>0.1</v>
      </c>
      <c r="AE39" s="7">
        <f>SUM(K39:AD39)</f>
        <v>303963.32420091319</v>
      </c>
      <c r="AF39" s="7">
        <f>+F39-AE39</f>
        <v>866033.32299908681</v>
      </c>
      <c r="AG39" s="8">
        <f>(F39-AE39)/F39</f>
        <v>0.74020154251864834</v>
      </c>
      <c r="AH39" s="15">
        <f>AE39+AF39</f>
        <v>1169996.6472</v>
      </c>
    </row>
    <row r="40" spans="1:34" x14ac:dyDescent="0.35">
      <c r="A40" s="23">
        <v>36</v>
      </c>
      <c r="B40" s="63" t="s">
        <v>71</v>
      </c>
      <c r="C40" s="64"/>
      <c r="D40" s="1">
        <v>1</v>
      </c>
      <c r="E40" s="24">
        <v>3244868</v>
      </c>
      <c r="F40" s="24">
        <v>1347269.1936000001</v>
      </c>
      <c r="G40" s="112">
        <f t="shared" si="5"/>
        <v>-1347269.1936000001</v>
      </c>
      <c r="H40" s="5">
        <v>150</v>
      </c>
      <c r="I40" s="5">
        <v>25</v>
      </c>
      <c r="J40" s="13">
        <v>6666.67</v>
      </c>
      <c r="K40" s="6">
        <f>(965300/365)</f>
        <v>2644.6575342465753</v>
      </c>
      <c r="L40" s="6">
        <f>(319000/365)</f>
        <v>873.97260273972597</v>
      </c>
      <c r="M40" s="6">
        <f>(7658840/365)</f>
        <v>20983.123287671231</v>
      </c>
      <c r="N40" s="6">
        <f>(2904924/365)</f>
        <v>7958.6958904109588</v>
      </c>
      <c r="O40" s="6">
        <f>(3000000/6)/365</f>
        <v>1369.8630136986301</v>
      </c>
      <c r="P40" s="6">
        <f t="shared" si="60"/>
        <v>958.90410958904113</v>
      </c>
      <c r="Q40" s="6">
        <f>(220000000-110000000)/20/365</f>
        <v>15068.493150684932</v>
      </c>
      <c r="R40" s="6">
        <f t="shared" si="61"/>
        <v>400</v>
      </c>
      <c r="S40" s="6">
        <f t="shared" si="62"/>
        <v>400</v>
      </c>
      <c r="T40" s="6">
        <f t="shared" si="63"/>
        <v>900</v>
      </c>
      <c r="U40" s="6">
        <f t="shared" si="64"/>
        <v>2000.0000000000002</v>
      </c>
      <c r="V40" s="6">
        <f t="shared" si="65"/>
        <v>3750</v>
      </c>
      <c r="W40" s="6">
        <f t="shared" si="66"/>
        <v>15000</v>
      </c>
      <c r="X40" s="6">
        <f t="shared" si="67"/>
        <v>6500</v>
      </c>
      <c r="Y40" s="6">
        <f>+(H40/50000)*930000</f>
        <v>2790</v>
      </c>
      <c r="Z40" s="6">
        <f t="shared" si="68"/>
        <v>15600</v>
      </c>
      <c r="AA40" s="6">
        <v>26666</v>
      </c>
      <c r="AB40" s="6">
        <f t="shared" si="59"/>
        <v>82482</v>
      </c>
      <c r="AC40" s="6">
        <v>114600</v>
      </c>
      <c r="AD40" s="16">
        <v>0.1</v>
      </c>
      <c r="AE40" s="7">
        <f>SUM(K40:AD40)</f>
        <v>320945.80958904105</v>
      </c>
      <c r="AF40" s="7">
        <f>+F40-AE40</f>
        <v>1026323.3840109591</v>
      </c>
      <c r="AG40" s="8">
        <f>(F40-AE40)/F40</f>
        <v>0.76178048818035338</v>
      </c>
      <c r="AH40" s="15">
        <f>AE40+AF40</f>
        <v>1347269.1936000001</v>
      </c>
    </row>
    <row r="41" spans="1:34" x14ac:dyDescent="0.35">
      <c r="A41" s="14">
        <v>37</v>
      </c>
      <c r="B41" s="63" t="s">
        <v>72</v>
      </c>
      <c r="C41" s="64"/>
      <c r="D41" s="1">
        <v>1</v>
      </c>
      <c r="E41" s="24">
        <v>939304</v>
      </c>
      <c r="F41" s="24">
        <v>389999.02080000006</v>
      </c>
      <c r="G41" s="112">
        <f t="shared" si="5"/>
        <v>-389999.02080000006</v>
      </c>
      <c r="H41" s="5">
        <v>30</v>
      </c>
      <c r="I41" s="5">
        <v>25</v>
      </c>
      <c r="J41" s="13">
        <v>277.77999999999997</v>
      </c>
      <c r="K41" s="6">
        <f>(965300/365)/24</f>
        <v>110.19406392694064</v>
      </c>
      <c r="L41" s="6">
        <f>(319000/365)/24</f>
        <v>36.415525114155251</v>
      </c>
      <c r="M41" s="6">
        <f>(7658840/365)/24</f>
        <v>874.29680365296792</v>
      </c>
      <c r="N41" s="6">
        <f>(2904924/365)/24</f>
        <v>331.6123287671233</v>
      </c>
      <c r="O41" s="6">
        <f>(3000000/6)/1440</f>
        <v>347.22222222222223</v>
      </c>
      <c r="P41" s="6">
        <f>(350000/365)/24</f>
        <v>39.954337899543383</v>
      </c>
      <c r="Q41" s="6">
        <f>(220000000-110000000)/20/365/24</f>
        <v>627.85388127853878</v>
      </c>
      <c r="R41" s="6">
        <f t="shared" si="61"/>
        <v>80</v>
      </c>
      <c r="S41" s="6">
        <f t="shared" si="62"/>
        <v>80</v>
      </c>
      <c r="T41" s="6">
        <f t="shared" si="63"/>
        <v>179.99999999999997</v>
      </c>
      <c r="U41" s="6">
        <f t="shared" si="64"/>
        <v>400</v>
      </c>
      <c r="V41" s="6">
        <f t="shared" si="65"/>
        <v>750</v>
      </c>
      <c r="W41" s="6">
        <f t="shared" si="66"/>
        <v>3000</v>
      </c>
      <c r="X41" s="6">
        <f t="shared" si="67"/>
        <v>1300</v>
      </c>
      <c r="Y41" s="6">
        <f>+(H41/50000)*930000/8</f>
        <v>69.75</v>
      </c>
      <c r="Z41" s="6">
        <f t="shared" si="68"/>
        <v>3119.9999999999995</v>
      </c>
      <c r="AA41" s="6">
        <f>$AA$40/8</f>
        <v>3333.25</v>
      </c>
      <c r="AB41" s="6">
        <f t="shared" si="59"/>
        <v>16496.399999999998</v>
      </c>
      <c r="AC41" s="6">
        <f>(3092909/30)/8</f>
        <v>12887.120833333332</v>
      </c>
      <c r="AD41" s="16">
        <v>0.1</v>
      </c>
      <c r="AE41" s="7">
        <f>SUM(J41:AD41)</f>
        <v>44341.949996194824</v>
      </c>
      <c r="AF41" s="7">
        <f>+F41-AE41</f>
        <v>345657.07080380525</v>
      </c>
      <c r="AG41" s="8">
        <f>(F41-AE41)/F41</f>
        <v>0.88630240684903072</v>
      </c>
      <c r="AH41" s="15">
        <f t="shared" ref="AH41:AH44" si="69">AE41+AF41</f>
        <v>389999.02080000006</v>
      </c>
    </row>
    <row r="42" spans="1:34" x14ac:dyDescent="0.35">
      <c r="A42" s="14">
        <v>38</v>
      </c>
      <c r="B42" s="63" t="s">
        <v>73</v>
      </c>
      <c r="C42" s="64"/>
      <c r="D42" s="1">
        <v>1</v>
      </c>
      <c r="E42" s="24">
        <v>1110086</v>
      </c>
      <c r="F42" s="24">
        <v>460907.70720000006</v>
      </c>
      <c r="G42" s="112">
        <f t="shared" si="5"/>
        <v>-460907.70720000006</v>
      </c>
      <c r="H42" s="5">
        <v>30</v>
      </c>
      <c r="I42" s="5">
        <v>25</v>
      </c>
      <c r="J42" s="13">
        <v>277.77999999999997</v>
      </c>
      <c r="K42" s="6">
        <f>(965300/365)/24</f>
        <v>110.19406392694064</v>
      </c>
      <c r="L42" s="6">
        <f>(319000/365)/24</f>
        <v>36.415525114155251</v>
      </c>
      <c r="M42" s="6">
        <f>(7658840/365)/24</f>
        <v>874.29680365296792</v>
      </c>
      <c r="N42" s="6">
        <f>(2904924/365)/24</f>
        <v>331.6123287671233</v>
      </c>
      <c r="O42" s="6">
        <f>(3000000/6)/1440</f>
        <v>347.22222222222223</v>
      </c>
      <c r="P42" s="6">
        <f>(350000/365)/24</f>
        <v>39.954337899543383</v>
      </c>
      <c r="Q42" s="6">
        <f>(220000000-110000000)/20/365/24</f>
        <v>627.85388127853878</v>
      </c>
      <c r="R42" s="6">
        <f t="shared" si="61"/>
        <v>80</v>
      </c>
      <c r="S42" s="6">
        <f t="shared" si="62"/>
        <v>80</v>
      </c>
      <c r="T42" s="6">
        <f t="shared" si="63"/>
        <v>179.99999999999997</v>
      </c>
      <c r="U42" s="6">
        <f t="shared" si="64"/>
        <v>400</v>
      </c>
      <c r="V42" s="6">
        <f t="shared" si="65"/>
        <v>750</v>
      </c>
      <c r="W42" s="6">
        <f t="shared" si="66"/>
        <v>3000</v>
      </c>
      <c r="X42" s="6">
        <f t="shared" si="67"/>
        <v>1300</v>
      </c>
      <c r="Y42" s="6">
        <f>+(H42/50000)*930000/8</f>
        <v>69.75</v>
      </c>
      <c r="Z42" s="6">
        <f t="shared" si="68"/>
        <v>3119.9999999999995</v>
      </c>
      <c r="AA42" s="6">
        <f t="shared" ref="AA42:AA44" si="70">$AA$40/8</f>
        <v>3333.25</v>
      </c>
      <c r="AB42" s="6">
        <f t="shared" si="59"/>
        <v>16496.399999999998</v>
      </c>
      <c r="AC42" s="6">
        <v>14325</v>
      </c>
      <c r="AD42" s="16">
        <v>0.1</v>
      </c>
      <c r="AE42" s="7">
        <f>SUM(J42:AD42)</f>
        <v>45779.82916286149</v>
      </c>
      <c r="AF42" s="7">
        <f>+F42-AE42</f>
        <v>415127.87803713855</v>
      </c>
      <c r="AG42" s="8">
        <f>(F42-AE42)/F42</f>
        <v>0.90067462867789183</v>
      </c>
      <c r="AH42" s="15">
        <f t="shared" si="69"/>
        <v>460907.70720000006</v>
      </c>
    </row>
    <row r="43" spans="1:34" x14ac:dyDescent="0.35">
      <c r="A43" s="14">
        <v>39</v>
      </c>
      <c r="B43" s="63" t="s">
        <v>74</v>
      </c>
      <c r="C43" s="64"/>
      <c r="D43" s="1">
        <v>1</v>
      </c>
      <c r="E43" s="24">
        <v>1280869</v>
      </c>
      <c r="F43" s="24">
        <v>531816.8088</v>
      </c>
      <c r="G43" s="112">
        <f t="shared" si="5"/>
        <v>-531816.8088</v>
      </c>
      <c r="H43" s="5">
        <v>30</v>
      </c>
      <c r="I43" s="5">
        <v>25</v>
      </c>
      <c r="J43" s="13">
        <v>277.77999999999997</v>
      </c>
      <c r="K43" s="6">
        <f>(965300/365)/24</f>
        <v>110.19406392694064</v>
      </c>
      <c r="L43" s="6">
        <f>(319000/365)/24</f>
        <v>36.415525114155251</v>
      </c>
      <c r="M43" s="6">
        <f>(7658840/365)/24</f>
        <v>874.29680365296792</v>
      </c>
      <c r="N43" s="6">
        <f>(2904924/365)/24</f>
        <v>331.6123287671233</v>
      </c>
      <c r="O43" s="6">
        <f>(3000000/6)/1440</f>
        <v>347.22222222222223</v>
      </c>
      <c r="P43" s="6">
        <f>(350000/365)/24</f>
        <v>39.954337899543383</v>
      </c>
      <c r="Q43" s="6">
        <f>(220000000-110000000)/20/365/24</f>
        <v>627.85388127853878</v>
      </c>
      <c r="R43" s="6">
        <f t="shared" si="61"/>
        <v>80</v>
      </c>
      <c r="S43" s="6">
        <f t="shared" si="62"/>
        <v>80</v>
      </c>
      <c r="T43" s="6">
        <f t="shared" si="63"/>
        <v>179.99999999999997</v>
      </c>
      <c r="U43" s="6">
        <f t="shared" si="64"/>
        <v>400</v>
      </c>
      <c r="V43" s="6">
        <f t="shared" si="65"/>
        <v>750</v>
      </c>
      <c r="W43" s="6">
        <f t="shared" si="66"/>
        <v>3000</v>
      </c>
      <c r="X43" s="6">
        <f t="shared" si="67"/>
        <v>1300</v>
      </c>
      <c r="Y43" s="6">
        <f>+(H43/50000)*930000/8</f>
        <v>69.75</v>
      </c>
      <c r="Z43" s="6">
        <f t="shared" si="68"/>
        <v>3119.9999999999995</v>
      </c>
      <c r="AA43" s="6">
        <f t="shared" si="70"/>
        <v>3333.25</v>
      </c>
      <c r="AB43" s="6">
        <f t="shared" si="59"/>
        <v>16496.399999999998</v>
      </c>
      <c r="AC43" s="6">
        <f>(3092909/30)/8</f>
        <v>12887.120833333332</v>
      </c>
      <c r="AD43" s="16">
        <v>0.1</v>
      </c>
      <c r="AE43" s="7">
        <f>SUM(J43:AD43)</f>
        <v>44341.949996194824</v>
      </c>
      <c r="AF43" s="7">
        <f>+F43-AE43</f>
        <v>487474.8588038052</v>
      </c>
      <c r="AG43" s="8">
        <f>(F43-AE43)/F43</f>
        <v>0.91662175910489052</v>
      </c>
      <c r="AH43" s="15">
        <f t="shared" si="69"/>
        <v>531816.8088</v>
      </c>
    </row>
    <row r="44" spans="1:34" ht="15" thickBot="1" x14ac:dyDescent="0.4">
      <c r="A44" s="23">
        <v>40</v>
      </c>
      <c r="B44" s="65" t="s">
        <v>75</v>
      </c>
      <c r="C44" s="66"/>
      <c r="D44" s="1">
        <v>1</v>
      </c>
      <c r="E44" s="24">
        <v>1451651</v>
      </c>
      <c r="F44" s="24">
        <v>602725.4952</v>
      </c>
      <c r="G44" s="112">
        <f t="shared" si="5"/>
        <v>-602725.4952</v>
      </c>
      <c r="H44" s="5">
        <v>30</v>
      </c>
      <c r="I44" s="5">
        <v>25</v>
      </c>
      <c r="J44" s="13">
        <v>277.77999999999997</v>
      </c>
      <c r="K44" s="6">
        <f>(965300/365)/24</f>
        <v>110.19406392694064</v>
      </c>
      <c r="L44" s="6">
        <f>(319000/365)/24</f>
        <v>36.415525114155251</v>
      </c>
      <c r="M44" s="6">
        <f>(7658840/365)/24</f>
        <v>874.29680365296792</v>
      </c>
      <c r="N44" s="6">
        <f>(2904924/365)/24</f>
        <v>331.6123287671233</v>
      </c>
      <c r="O44" s="6">
        <f>(3000000/6)/1440</f>
        <v>347.22222222222223</v>
      </c>
      <c r="P44" s="6">
        <f>(350000/365)/24</f>
        <v>39.954337899543383</v>
      </c>
      <c r="Q44" s="6">
        <f>(220000000-110000000)/20/365/24</f>
        <v>627.85388127853878</v>
      </c>
      <c r="R44" s="6">
        <f t="shared" si="61"/>
        <v>80</v>
      </c>
      <c r="S44" s="6">
        <f t="shared" si="62"/>
        <v>80</v>
      </c>
      <c r="T44" s="6">
        <f t="shared" si="63"/>
        <v>179.99999999999997</v>
      </c>
      <c r="U44" s="6">
        <f t="shared" si="64"/>
        <v>400</v>
      </c>
      <c r="V44" s="6">
        <f t="shared" si="65"/>
        <v>750</v>
      </c>
      <c r="W44" s="6">
        <f t="shared" si="66"/>
        <v>3000</v>
      </c>
      <c r="X44" s="6">
        <f t="shared" si="67"/>
        <v>1300</v>
      </c>
      <c r="Y44" s="6">
        <f>+(H44/50000)*930000/8</f>
        <v>69.75</v>
      </c>
      <c r="Z44" s="6">
        <f t="shared" si="68"/>
        <v>3119.9999999999995</v>
      </c>
      <c r="AA44" s="6">
        <f t="shared" si="70"/>
        <v>3333.25</v>
      </c>
      <c r="AB44" s="6">
        <f t="shared" si="59"/>
        <v>16496.399999999998</v>
      </c>
      <c r="AC44" s="6">
        <v>14325</v>
      </c>
      <c r="AD44" s="16">
        <v>0.1</v>
      </c>
      <c r="AE44" s="7">
        <f>SUM(J44:AD44)</f>
        <v>45779.82916286149</v>
      </c>
      <c r="AF44" s="7">
        <f>+F44-AE44</f>
        <v>556945.66603713855</v>
      </c>
      <c r="AG44" s="8">
        <f>(F44-AE44)/F44</f>
        <v>0.92404530830793785</v>
      </c>
      <c r="AH44" s="15">
        <f t="shared" si="69"/>
        <v>602725.4952</v>
      </c>
    </row>
    <row r="45" spans="1:34" x14ac:dyDescent="0.35">
      <c r="A45" s="14">
        <v>41</v>
      </c>
      <c r="B45" s="81" t="s">
        <v>76</v>
      </c>
      <c r="C45" s="82"/>
      <c r="D45" s="1">
        <v>1</v>
      </c>
      <c r="E45" s="24">
        <v>3415650</v>
      </c>
      <c r="F45" s="24">
        <v>1418177.8800000001</v>
      </c>
      <c r="G45" s="112">
        <f t="shared" si="5"/>
        <v>-1418177.8800000001</v>
      </c>
      <c r="H45" s="5">
        <v>150</v>
      </c>
      <c r="I45" s="5">
        <v>25</v>
      </c>
      <c r="J45" s="13">
        <v>6666.67</v>
      </c>
      <c r="K45" s="6">
        <f>(965300/365)</f>
        <v>2644.6575342465753</v>
      </c>
      <c r="L45" s="6">
        <f>(319000/365)</f>
        <v>873.97260273972597</v>
      </c>
      <c r="M45" s="6">
        <f>(7658840/365)</f>
        <v>20983.123287671231</v>
      </c>
      <c r="N45" s="6">
        <f>(2904924/365)</f>
        <v>7958.6958904109588</v>
      </c>
      <c r="O45" s="6">
        <f>(3000000/6)/365</f>
        <v>1369.8630136986301</v>
      </c>
      <c r="P45" s="6">
        <f t="shared" ref="P45" si="71">(350000/365)</f>
        <v>958.90410958904113</v>
      </c>
      <c r="Q45" s="6">
        <f>(220000000-110000000)/20/365</f>
        <v>15068.493150684932</v>
      </c>
      <c r="R45" s="6">
        <f t="shared" si="61"/>
        <v>400</v>
      </c>
      <c r="S45" s="6">
        <f t="shared" si="62"/>
        <v>400</v>
      </c>
      <c r="T45" s="6">
        <f t="shared" si="63"/>
        <v>900</v>
      </c>
      <c r="U45" s="6">
        <f t="shared" si="64"/>
        <v>2000.0000000000002</v>
      </c>
      <c r="V45" s="6">
        <f t="shared" si="65"/>
        <v>3750</v>
      </c>
      <c r="W45" s="6">
        <f t="shared" si="66"/>
        <v>15000</v>
      </c>
      <c r="X45" s="6">
        <f t="shared" si="67"/>
        <v>6500</v>
      </c>
      <c r="Y45" s="6">
        <f>+(H45/50000)*930000</f>
        <v>2790</v>
      </c>
      <c r="Z45" s="6">
        <f t="shared" si="68"/>
        <v>15600</v>
      </c>
      <c r="AA45" s="6">
        <v>33333</v>
      </c>
      <c r="AB45" s="6">
        <f t="shared" si="59"/>
        <v>82482</v>
      </c>
      <c r="AC45" s="6">
        <f>3092909/30</f>
        <v>103096.96666666666</v>
      </c>
      <c r="AD45" s="16">
        <v>0.1</v>
      </c>
      <c r="AE45" s="7">
        <f>SUM(K45:AD45)</f>
        <v>316109.77625570772</v>
      </c>
      <c r="AF45" s="7">
        <f>+F45-AE45</f>
        <v>1102068.1037442924</v>
      </c>
      <c r="AG45" s="8">
        <f>(F45-AE45)/F45</f>
        <v>0.77710146187324003</v>
      </c>
      <c r="AH45" s="15">
        <f>AE45+AF45</f>
        <v>1418177.8800000001</v>
      </c>
    </row>
    <row r="46" spans="1:34" x14ac:dyDescent="0.35">
      <c r="A46" s="14">
        <v>42</v>
      </c>
      <c r="B46" s="73" t="s">
        <v>77</v>
      </c>
      <c r="C46" s="80"/>
      <c r="D46" s="1">
        <v>1</v>
      </c>
      <c r="E46" s="25">
        <v>1100000</v>
      </c>
      <c r="F46" s="25">
        <v>456720</v>
      </c>
      <c r="G46" s="112">
        <f t="shared" si="5"/>
        <v>-456720</v>
      </c>
      <c r="H46" s="5">
        <v>30</v>
      </c>
      <c r="I46" s="5">
        <v>25</v>
      </c>
      <c r="J46" s="13">
        <v>277.77999999999997</v>
      </c>
      <c r="K46" s="6">
        <f>(965300/365)/24</f>
        <v>110.19406392694064</v>
      </c>
      <c r="L46" s="6">
        <f>(319000/365)/24</f>
        <v>36.415525114155251</v>
      </c>
      <c r="M46" s="6">
        <f>(7658840/365)/24</f>
        <v>874.29680365296792</v>
      </c>
      <c r="N46" s="6">
        <f>(2904924/365)/24</f>
        <v>331.6123287671233</v>
      </c>
      <c r="O46" s="6">
        <f>(3000000/6)/1440</f>
        <v>347.22222222222223</v>
      </c>
      <c r="P46" s="6">
        <f>(350000/365)/24</f>
        <v>39.954337899543383</v>
      </c>
      <c r="Q46" s="6">
        <f>(220000000-110000000)/20/365/24</f>
        <v>627.85388127853878</v>
      </c>
      <c r="R46" s="6">
        <f t="shared" si="61"/>
        <v>80</v>
      </c>
      <c r="S46" s="6">
        <f t="shared" si="62"/>
        <v>80</v>
      </c>
      <c r="T46" s="6">
        <f t="shared" si="63"/>
        <v>179.99999999999997</v>
      </c>
      <c r="U46" s="6">
        <f t="shared" si="64"/>
        <v>400</v>
      </c>
      <c r="V46" s="6">
        <f t="shared" si="65"/>
        <v>750</v>
      </c>
      <c r="W46" s="6">
        <f t="shared" si="66"/>
        <v>3000</v>
      </c>
      <c r="X46" s="6">
        <f t="shared" si="67"/>
        <v>1300</v>
      </c>
      <c r="Y46" s="6">
        <f>+(H46/50000)*930000/8</f>
        <v>69.75</v>
      </c>
      <c r="Z46" s="6">
        <f t="shared" si="68"/>
        <v>3119.9999999999995</v>
      </c>
      <c r="AA46" s="6">
        <f>AA45/8</f>
        <v>4166.625</v>
      </c>
      <c r="AB46" s="6">
        <f t="shared" si="59"/>
        <v>16496.399999999998</v>
      </c>
      <c r="AC46" s="6">
        <f>(3092909/30)/8</f>
        <v>12887.120833333332</v>
      </c>
      <c r="AD46" s="16">
        <v>0.1</v>
      </c>
      <c r="AE46" s="7">
        <f>SUM(J46:AD46)</f>
        <v>45175.324996194824</v>
      </c>
      <c r="AF46" s="7">
        <f>+F46-AE46</f>
        <v>411544.6750038052</v>
      </c>
      <c r="AG46" s="8">
        <f>(F46-AE46)/F46</f>
        <v>0.90108748249212911</v>
      </c>
      <c r="AH46" s="15">
        <f t="shared" ref="AH46" si="72">AE46+AF46</f>
        <v>456720</v>
      </c>
    </row>
    <row r="47" spans="1:34" x14ac:dyDescent="0.35">
      <c r="A47" s="14">
        <v>43</v>
      </c>
      <c r="B47" s="79" t="s">
        <v>78</v>
      </c>
      <c r="C47" s="80"/>
      <c r="D47" s="1">
        <v>1</v>
      </c>
      <c r="E47" s="24">
        <v>5123475</v>
      </c>
      <c r="F47" s="24">
        <v>2127266.8200000003</v>
      </c>
      <c r="G47" s="112">
        <f t="shared" si="5"/>
        <v>-2127266.8200000003</v>
      </c>
      <c r="H47" s="5">
        <v>150</v>
      </c>
      <c r="I47" s="5">
        <v>25</v>
      </c>
      <c r="J47" s="13">
        <v>6666.67</v>
      </c>
      <c r="K47" s="6">
        <f>(965300/365)</f>
        <v>2644.6575342465753</v>
      </c>
      <c r="L47" s="6">
        <f>(319000/365)</f>
        <v>873.97260273972597</v>
      </c>
      <c r="M47" s="6">
        <f>(7658840/365)</f>
        <v>20983.123287671231</v>
      </c>
      <c r="N47" s="6">
        <f>(2904924/365)</f>
        <v>7958.6958904109588</v>
      </c>
      <c r="O47" s="6">
        <f>(3000000/6)/365</f>
        <v>1369.8630136986301</v>
      </c>
      <c r="P47" s="6">
        <f t="shared" ref="P47" si="73">(350000/365)</f>
        <v>958.90410958904113</v>
      </c>
      <c r="Q47" s="6">
        <f>(220000000-110000000)/20/365</f>
        <v>15068.493150684932</v>
      </c>
      <c r="R47" s="6">
        <f t="shared" si="61"/>
        <v>400</v>
      </c>
      <c r="S47" s="6">
        <f t="shared" si="62"/>
        <v>400</v>
      </c>
      <c r="T47" s="6">
        <f t="shared" si="63"/>
        <v>900</v>
      </c>
      <c r="U47" s="6">
        <f t="shared" si="64"/>
        <v>2000.0000000000002</v>
      </c>
      <c r="V47" s="6">
        <f t="shared" si="65"/>
        <v>3750</v>
      </c>
      <c r="W47" s="6">
        <f t="shared" si="66"/>
        <v>15000</v>
      </c>
      <c r="X47" s="6">
        <f t="shared" si="67"/>
        <v>6500</v>
      </c>
      <c r="Y47" s="6">
        <f>+(H47/50000)*930000</f>
        <v>2790</v>
      </c>
      <c r="Z47" s="6">
        <f t="shared" si="68"/>
        <v>15600</v>
      </c>
      <c r="AA47" s="6">
        <v>33333</v>
      </c>
      <c r="AB47" s="6">
        <f t="shared" si="59"/>
        <v>82482</v>
      </c>
      <c r="AC47" s="6">
        <f>3092909/30</f>
        <v>103096.96666666666</v>
      </c>
      <c r="AD47" s="16">
        <v>0.1</v>
      </c>
      <c r="AE47" s="7">
        <f>SUM(K47:AD47)</f>
        <v>316109.77625570772</v>
      </c>
      <c r="AF47" s="7">
        <f>+F47-AE47</f>
        <v>1811157.0437442926</v>
      </c>
      <c r="AG47" s="8">
        <f>(F47-AE47)/F47</f>
        <v>0.85140097458216002</v>
      </c>
      <c r="AH47" s="15">
        <f>AE47+AF47</f>
        <v>2127266.8200000003</v>
      </c>
    </row>
    <row r="48" spans="1:34" x14ac:dyDescent="0.35">
      <c r="A48" s="23">
        <v>44</v>
      </c>
      <c r="B48" s="79" t="s">
        <v>79</v>
      </c>
      <c r="C48" s="80"/>
      <c r="D48" s="1">
        <v>1</v>
      </c>
      <c r="E48" s="24">
        <v>1366260</v>
      </c>
      <c r="F48" s="24">
        <v>567271.152</v>
      </c>
      <c r="G48" s="112">
        <f t="shared" si="5"/>
        <v>-567271.152</v>
      </c>
      <c r="H48" s="5">
        <v>30</v>
      </c>
      <c r="I48" s="5">
        <v>25</v>
      </c>
      <c r="J48" s="13">
        <v>277.77999999999997</v>
      </c>
      <c r="K48" s="6">
        <f>(965300/365)/24</f>
        <v>110.19406392694064</v>
      </c>
      <c r="L48" s="6">
        <f>(319000/365)/24</f>
        <v>36.415525114155251</v>
      </c>
      <c r="M48" s="6">
        <f>(7658840/365)/24</f>
        <v>874.29680365296792</v>
      </c>
      <c r="N48" s="6">
        <f>(2904924/365)/24</f>
        <v>331.6123287671233</v>
      </c>
      <c r="O48" s="6">
        <f>(3000000/6)/1440</f>
        <v>347.22222222222223</v>
      </c>
      <c r="P48" s="6">
        <f>(350000/365)/24</f>
        <v>39.954337899543383</v>
      </c>
      <c r="Q48" s="6">
        <f>(220000000-110000000)/20/365/24</f>
        <v>627.85388127853878</v>
      </c>
      <c r="R48" s="6">
        <f t="shared" si="61"/>
        <v>80</v>
      </c>
      <c r="S48" s="6">
        <f t="shared" si="62"/>
        <v>80</v>
      </c>
      <c r="T48" s="6">
        <f t="shared" si="63"/>
        <v>179.99999999999997</v>
      </c>
      <c r="U48" s="6">
        <f t="shared" si="64"/>
        <v>400</v>
      </c>
      <c r="V48" s="6">
        <f t="shared" si="65"/>
        <v>750</v>
      </c>
      <c r="W48" s="6">
        <f t="shared" si="66"/>
        <v>3000</v>
      </c>
      <c r="X48" s="6">
        <f t="shared" si="67"/>
        <v>1300</v>
      </c>
      <c r="Y48" s="6">
        <f>+(H48/50000)*930000/8</f>
        <v>69.75</v>
      </c>
      <c r="Z48" s="6">
        <f>+(H48/50000)*4200000</f>
        <v>2520</v>
      </c>
      <c r="AA48" s="6">
        <f>AA47/8</f>
        <v>4166.625</v>
      </c>
      <c r="AB48" s="6">
        <f t="shared" si="59"/>
        <v>16496.399999999998</v>
      </c>
      <c r="AC48" s="6">
        <f>(3092909/30)/8</f>
        <v>12887.120833333332</v>
      </c>
      <c r="AD48" s="16">
        <v>0.1</v>
      </c>
      <c r="AE48" s="7">
        <f>SUM(J48:AD48)</f>
        <v>44575.324996194824</v>
      </c>
      <c r="AF48" s="7">
        <f>+F48-AE48</f>
        <v>522695.8270038052</v>
      </c>
      <c r="AG48" s="8">
        <f>(F48-AE48)/F48</f>
        <v>0.92142148452457384</v>
      </c>
      <c r="AH48" s="15">
        <f t="shared" ref="AH48" si="74">AE48+AF48</f>
        <v>567271.152</v>
      </c>
    </row>
    <row r="49" spans="1:34" x14ac:dyDescent="0.35">
      <c r="A49" s="14">
        <v>45</v>
      </c>
      <c r="B49" s="73" t="s">
        <v>80</v>
      </c>
      <c r="C49" s="80"/>
      <c r="D49" s="1">
        <v>1</v>
      </c>
      <c r="E49" s="24">
        <v>5977388</v>
      </c>
      <c r="F49" s="24">
        <v>2481811.4975999999</v>
      </c>
      <c r="G49" s="112">
        <f t="shared" si="5"/>
        <v>-2481811.4975999999</v>
      </c>
      <c r="H49" s="5">
        <v>150</v>
      </c>
      <c r="I49" s="5">
        <v>25</v>
      </c>
      <c r="J49" s="13">
        <v>6666.67</v>
      </c>
      <c r="K49" s="6">
        <f>(965300/365)</f>
        <v>2644.6575342465753</v>
      </c>
      <c r="L49" s="6">
        <f>(319000/365)</f>
        <v>873.97260273972597</v>
      </c>
      <c r="M49" s="6">
        <f>(7658840/365)</f>
        <v>20983.123287671231</v>
      </c>
      <c r="N49" s="6">
        <f>(2904924/365)</f>
        <v>7958.6958904109588</v>
      </c>
      <c r="O49" s="6">
        <f>(3000000/6)/365</f>
        <v>1369.8630136986301</v>
      </c>
      <c r="P49" s="6">
        <f t="shared" ref="P49" si="75">(350000/365)</f>
        <v>958.90410958904113</v>
      </c>
      <c r="Q49" s="6">
        <f>(220000000-110000000)/20/365</f>
        <v>15068.493150684932</v>
      </c>
      <c r="R49" s="6">
        <f t="shared" si="61"/>
        <v>400</v>
      </c>
      <c r="S49" s="6">
        <f t="shared" si="62"/>
        <v>400</v>
      </c>
      <c r="T49" s="6">
        <f t="shared" si="63"/>
        <v>900</v>
      </c>
      <c r="U49" s="6">
        <f t="shared" si="64"/>
        <v>2000.0000000000002</v>
      </c>
      <c r="V49" s="6">
        <f t="shared" si="65"/>
        <v>3750</v>
      </c>
      <c r="W49" s="6">
        <f t="shared" si="66"/>
        <v>15000</v>
      </c>
      <c r="X49" s="6">
        <f t="shared" si="67"/>
        <v>6500</v>
      </c>
      <c r="Y49" s="6">
        <f>+(H49/50000)*930000</f>
        <v>2790</v>
      </c>
      <c r="Z49" s="6">
        <f t="shared" ref="Z49:Z54" si="76">+(H49/50000)*5200000</f>
        <v>15600</v>
      </c>
      <c r="AA49" s="6">
        <v>33333</v>
      </c>
      <c r="AB49" s="6">
        <f t="shared" si="59"/>
        <v>82482</v>
      </c>
      <c r="AC49" s="6">
        <f>3092909/30</f>
        <v>103096.96666666666</v>
      </c>
      <c r="AD49" s="16">
        <v>0.1</v>
      </c>
      <c r="AE49" s="7">
        <f>SUM(K49:AD49)</f>
        <v>316109.77625570772</v>
      </c>
      <c r="AF49" s="7">
        <f>+F49-AE49</f>
        <v>2165701.7213442922</v>
      </c>
      <c r="AG49" s="8">
        <f>(F49-AE49)/F49</f>
        <v>0.8726294174390774</v>
      </c>
      <c r="AH49" s="15">
        <f>AE49+AF49</f>
        <v>2481811.4975999999</v>
      </c>
    </row>
    <row r="50" spans="1:34" x14ac:dyDescent="0.35">
      <c r="A50" s="14">
        <v>46</v>
      </c>
      <c r="B50" s="73" t="s">
        <v>81</v>
      </c>
      <c r="C50" s="80"/>
      <c r="D50" s="1">
        <v>1</v>
      </c>
      <c r="E50" s="24">
        <v>1707825</v>
      </c>
      <c r="F50" s="24">
        <v>709088.94000000006</v>
      </c>
      <c r="G50" s="112">
        <f t="shared" si="5"/>
        <v>-709088.94000000006</v>
      </c>
      <c r="H50" s="5">
        <v>30</v>
      </c>
      <c r="I50" s="5">
        <v>25</v>
      </c>
      <c r="J50" s="13">
        <v>277.77999999999997</v>
      </c>
      <c r="K50" s="6">
        <f>(965300/365)/24</f>
        <v>110.19406392694064</v>
      </c>
      <c r="L50" s="6">
        <f>(319000/365)/24</f>
        <v>36.415525114155251</v>
      </c>
      <c r="M50" s="6">
        <f>(7658840/365)/24</f>
        <v>874.29680365296792</v>
      </c>
      <c r="N50" s="6">
        <f>(2904924/365)/24</f>
        <v>331.6123287671233</v>
      </c>
      <c r="O50" s="6">
        <f>(3000000/6)/1440</f>
        <v>347.22222222222223</v>
      </c>
      <c r="P50" s="6">
        <f>(350000/365)/24</f>
        <v>39.954337899543383</v>
      </c>
      <c r="Q50" s="6">
        <f>(220000000-110000000)/20/365/24</f>
        <v>627.85388127853878</v>
      </c>
      <c r="R50" s="6">
        <f t="shared" si="61"/>
        <v>80</v>
      </c>
      <c r="S50" s="6">
        <f t="shared" si="62"/>
        <v>80</v>
      </c>
      <c r="T50" s="6">
        <f t="shared" si="63"/>
        <v>179.99999999999997</v>
      </c>
      <c r="U50" s="6">
        <f t="shared" si="64"/>
        <v>400</v>
      </c>
      <c r="V50" s="6">
        <f t="shared" si="65"/>
        <v>750</v>
      </c>
      <c r="W50" s="6">
        <f t="shared" si="66"/>
        <v>3000</v>
      </c>
      <c r="X50" s="6">
        <f t="shared" si="67"/>
        <v>1300</v>
      </c>
      <c r="Y50" s="6">
        <f>+(H50/50000)*930000/8</f>
        <v>69.75</v>
      </c>
      <c r="Z50" s="6">
        <f t="shared" si="76"/>
        <v>3119.9999999999995</v>
      </c>
      <c r="AA50" s="6">
        <f>AA49/8</f>
        <v>4166.625</v>
      </c>
      <c r="AB50" s="6">
        <f t="shared" si="59"/>
        <v>16496.399999999998</v>
      </c>
      <c r="AC50" s="6">
        <f>(3092909/30)/8</f>
        <v>12887.120833333332</v>
      </c>
      <c r="AD50" s="16">
        <v>0.1</v>
      </c>
      <c r="AE50" s="7">
        <f>SUM(J50:AD50)</f>
        <v>45175.324996194824</v>
      </c>
      <c r="AF50" s="7">
        <f>+F50-AE50</f>
        <v>663913.61500380526</v>
      </c>
      <c r="AG50" s="8">
        <f>(F50-AE50)/F50</f>
        <v>0.93629103142379455</v>
      </c>
      <c r="AH50" s="15">
        <f t="shared" ref="AH50" si="77">AE50+AF50</f>
        <v>709088.94000000006</v>
      </c>
    </row>
    <row r="51" spans="1:34" x14ac:dyDescent="0.35">
      <c r="A51" s="14">
        <v>47</v>
      </c>
      <c r="B51" s="79" t="s">
        <v>82</v>
      </c>
      <c r="C51" s="80"/>
      <c r="D51" s="1">
        <v>1</v>
      </c>
      <c r="E51" s="24">
        <v>6831301</v>
      </c>
      <c r="F51" s="24">
        <v>2836356.1751999999</v>
      </c>
      <c r="G51" s="112">
        <f t="shared" si="5"/>
        <v>-2836356.1751999999</v>
      </c>
      <c r="H51" s="5">
        <v>150</v>
      </c>
      <c r="I51" s="5">
        <v>25</v>
      </c>
      <c r="J51" s="13">
        <v>6666.67</v>
      </c>
      <c r="K51" s="6">
        <f>(965300/365)</f>
        <v>2644.6575342465753</v>
      </c>
      <c r="L51" s="6">
        <f>(319000/365)</f>
        <v>873.97260273972597</v>
      </c>
      <c r="M51" s="6">
        <f>(7658840/365)</f>
        <v>20983.123287671231</v>
      </c>
      <c r="N51" s="6">
        <f>(2904924/365)</f>
        <v>7958.6958904109588</v>
      </c>
      <c r="O51" s="6">
        <f>(3000000/6)/365</f>
        <v>1369.8630136986301</v>
      </c>
      <c r="P51" s="6">
        <f t="shared" ref="P51" si="78">(350000/365)</f>
        <v>958.90410958904113</v>
      </c>
      <c r="Q51" s="6">
        <f>(220000000-110000000)/20/365</f>
        <v>15068.493150684932</v>
      </c>
      <c r="R51" s="6">
        <f t="shared" si="61"/>
        <v>400</v>
      </c>
      <c r="S51" s="6">
        <f t="shared" si="62"/>
        <v>400</v>
      </c>
      <c r="T51" s="6">
        <f t="shared" si="63"/>
        <v>900</v>
      </c>
      <c r="U51" s="6">
        <f t="shared" si="64"/>
        <v>2000.0000000000002</v>
      </c>
      <c r="V51" s="6">
        <f t="shared" si="65"/>
        <v>3750</v>
      </c>
      <c r="W51" s="6">
        <f t="shared" si="66"/>
        <v>15000</v>
      </c>
      <c r="X51" s="6">
        <f t="shared" si="67"/>
        <v>6500</v>
      </c>
      <c r="Y51" s="6">
        <f>+(H51/50000)*930000</f>
        <v>2790</v>
      </c>
      <c r="Z51" s="6">
        <f t="shared" si="76"/>
        <v>15600</v>
      </c>
      <c r="AA51" s="6">
        <v>33333</v>
      </c>
      <c r="AB51" s="6">
        <f t="shared" si="59"/>
        <v>82482</v>
      </c>
      <c r="AC51" s="6">
        <f>3092909/30</f>
        <v>103096.96666666666</v>
      </c>
      <c r="AD51" s="16">
        <v>0.1</v>
      </c>
      <c r="AE51" s="7">
        <f>SUM(K51:AD51)</f>
        <v>316109.77625570772</v>
      </c>
      <c r="AF51" s="7">
        <f>+F51-AE51</f>
        <v>2520246.3989442922</v>
      </c>
      <c r="AG51" s="8">
        <f>(F51-AE51)/F51</f>
        <v>0.88855074725112126</v>
      </c>
      <c r="AH51" s="15">
        <f>AE51+AF51</f>
        <v>2836356.1751999999</v>
      </c>
    </row>
    <row r="52" spans="1:34" x14ac:dyDescent="0.35">
      <c r="A52" s="23">
        <v>48</v>
      </c>
      <c r="B52" s="79" t="s">
        <v>83</v>
      </c>
      <c r="C52" s="80"/>
      <c r="D52" s="1">
        <v>1</v>
      </c>
      <c r="E52" s="24">
        <v>1878608</v>
      </c>
      <c r="F52" s="24">
        <v>779998.04160000011</v>
      </c>
      <c r="G52" s="112">
        <f t="shared" si="5"/>
        <v>-779998.04160000011</v>
      </c>
      <c r="H52" s="5">
        <v>30</v>
      </c>
      <c r="I52" s="5">
        <v>25</v>
      </c>
      <c r="J52" s="13">
        <v>277.77999999999997</v>
      </c>
      <c r="K52" s="6">
        <f>(965300/365)/24</f>
        <v>110.19406392694064</v>
      </c>
      <c r="L52" s="6">
        <f>(319000/365)/24</f>
        <v>36.415525114155251</v>
      </c>
      <c r="M52" s="6">
        <f>(7658840/365)/24</f>
        <v>874.29680365296792</v>
      </c>
      <c r="N52" s="6">
        <f>(2904924/365)/24</f>
        <v>331.6123287671233</v>
      </c>
      <c r="O52" s="6">
        <f>(3000000/6)/1440</f>
        <v>347.22222222222223</v>
      </c>
      <c r="P52" s="6">
        <f>(350000/365)/24</f>
        <v>39.954337899543383</v>
      </c>
      <c r="Q52" s="6">
        <f>(220000000-110000000)/20/365/24</f>
        <v>627.85388127853878</v>
      </c>
      <c r="R52" s="6">
        <f t="shared" si="61"/>
        <v>80</v>
      </c>
      <c r="S52" s="6">
        <f t="shared" si="62"/>
        <v>80</v>
      </c>
      <c r="T52" s="6">
        <f t="shared" si="63"/>
        <v>179.99999999999997</v>
      </c>
      <c r="U52" s="6">
        <f t="shared" si="64"/>
        <v>400</v>
      </c>
      <c r="V52" s="6">
        <f t="shared" si="65"/>
        <v>750</v>
      </c>
      <c r="W52" s="6">
        <f t="shared" si="66"/>
        <v>3000</v>
      </c>
      <c r="X52" s="6">
        <f t="shared" si="67"/>
        <v>1300</v>
      </c>
      <c r="Y52" s="6">
        <f>+(H52/50000)*930000/8</f>
        <v>69.75</v>
      </c>
      <c r="Z52" s="6">
        <f t="shared" si="76"/>
        <v>3119.9999999999995</v>
      </c>
      <c r="AA52" s="6">
        <f>AA51/8</f>
        <v>4166.625</v>
      </c>
      <c r="AB52" s="6">
        <f t="shared" si="59"/>
        <v>16496.399999999998</v>
      </c>
      <c r="AC52" s="6">
        <f>(3092909/30)/8</f>
        <v>12887.120833333332</v>
      </c>
      <c r="AD52" s="16">
        <v>0.1</v>
      </c>
      <c r="AE52" s="7">
        <f>SUM(J52:AD52)</f>
        <v>45175.324996194824</v>
      </c>
      <c r="AF52" s="7">
        <f>+F52-AE52</f>
        <v>734822.71660380531</v>
      </c>
      <c r="AG52" s="8">
        <f>(F52-AE52)/F52</f>
        <v>0.94208277125474926</v>
      </c>
      <c r="AH52" s="15">
        <f t="shared" ref="AH52" si="79">AE52+AF52</f>
        <v>779998.04160000011</v>
      </c>
    </row>
    <row r="53" spans="1:34" x14ac:dyDescent="0.35">
      <c r="A53" s="14">
        <v>49</v>
      </c>
      <c r="B53" s="73" t="s">
        <v>84</v>
      </c>
      <c r="C53" s="80"/>
      <c r="D53" s="1">
        <v>1</v>
      </c>
      <c r="E53" s="24">
        <v>5123475</v>
      </c>
      <c r="F53" s="24">
        <v>2127266.8200000003</v>
      </c>
      <c r="G53" s="112">
        <f t="shared" si="5"/>
        <v>-2127266.8200000003</v>
      </c>
      <c r="H53" s="5">
        <v>150</v>
      </c>
      <c r="I53" s="5">
        <v>25</v>
      </c>
      <c r="J53" s="13">
        <v>6666.67</v>
      </c>
      <c r="K53" s="6">
        <f>(965300/365)</f>
        <v>2644.6575342465753</v>
      </c>
      <c r="L53" s="6">
        <f>(319000/365)</f>
        <v>873.97260273972597</v>
      </c>
      <c r="M53" s="6">
        <f>(7658840/365)</f>
        <v>20983.123287671231</v>
      </c>
      <c r="N53" s="6">
        <f>(2904924/365)</f>
        <v>7958.6958904109588</v>
      </c>
      <c r="O53" s="6">
        <f>(3000000/6)/365</f>
        <v>1369.8630136986301</v>
      </c>
      <c r="P53" s="6">
        <f t="shared" ref="P53" si="80">(350000/365)</f>
        <v>958.90410958904113</v>
      </c>
      <c r="Q53" s="6">
        <f>(220000000-110000000)/20/365</f>
        <v>15068.493150684932</v>
      </c>
      <c r="R53" s="6">
        <f t="shared" si="61"/>
        <v>400</v>
      </c>
      <c r="S53" s="6">
        <f t="shared" si="62"/>
        <v>400</v>
      </c>
      <c r="T53" s="6">
        <f t="shared" si="63"/>
        <v>900</v>
      </c>
      <c r="U53" s="6">
        <f t="shared" si="64"/>
        <v>2000.0000000000002</v>
      </c>
      <c r="V53" s="6">
        <f t="shared" si="65"/>
        <v>3750</v>
      </c>
      <c r="W53" s="6">
        <f t="shared" si="66"/>
        <v>15000</v>
      </c>
      <c r="X53" s="6">
        <f t="shared" si="67"/>
        <v>6500</v>
      </c>
      <c r="Y53" s="6">
        <f>+(H53/50000)*930000</f>
        <v>2790</v>
      </c>
      <c r="Z53" s="6">
        <f t="shared" si="76"/>
        <v>15600</v>
      </c>
      <c r="AA53" s="6">
        <v>33333</v>
      </c>
      <c r="AB53" s="6">
        <f t="shared" si="59"/>
        <v>82482</v>
      </c>
      <c r="AC53" s="6">
        <f>3092909/30</f>
        <v>103096.96666666666</v>
      </c>
      <c r="AD53" s="16">
        <v>0.1</v>
      </c>
      <c r="AE53" s="7">
        <f>SUM(K53:AD53)</f>
        <v>316109.77625570772</v>
      </c>
      <c r="AF53" s="7">
        <f>+F53-AE53</f>
        <v>1811157.0437442926</v>
      </c>
      <c r="AG53" s="8">
        <f>(F53-AE53)/F53</f>
        <v>0.85140097458216002</v>
      </c>
      <c r="AH53" s="15">
        <f>AE53+AF53</f>
        <v>2127266.8200000003</v>
      </c>
    </row>
    <row r="54" spans="1:34" ht="15" thickBot="1" x14ac:dyDescent="0.4">
      <c r="A54" s="14">
        <v>50</v>
      </c>
      <c r="B54" s="58" t="s">
        <v>85</v>
      </c>
      <c r="C54" s="66"/>
      <c r="D54" s="1">
        <v>1</v>
      </c>
      <c r="E54" s="24">
        <v>1366260</v>
      </c>
      <c r="F54" s="24">
        <v>567271.152</v>
      </c>
      <c r="G54" s="112">
        <f t="shared" si="5"/>
        <v>-567271.152</v>
      </c>
      <c r="H54" s="5">
        <v>30</v>
      </c>
      <c r="I54" s="5">
        <v>25</v>
      </c>
      <c r="J54" s="13">
        <v>277.77999999999997</v>
      </c>
      <c r="K54" s="6">
        <f>(965300/365)/24</f>
        <v>110.19406392694064</v>
      </c>
      <c r="L54" s="6">
        <f>(319000/365)/24</f>
        <v>36.415525114155251</v>
      </c>
      <c r="M54" s="6">
        <f>(7658840/365)/24</f>
        <v>874.29680365296792</v>
      </c>
      <c r="N54" s="6">
        <f>(2904924/365)/24</f>
        <v>331.6123287671233</v>
      </c>
      <c r="O54" s="6">
        <f>(3000000/6)/1440</f>
        <v>347.22222222222223</v>
      </c>
      <c r="P54" s="6">
        <f>(350000/365)/24</f>
        <v>39.954337899543383</v>
      </c>
      <c r="Q54" s="6">
        <f>(220000000-110000000)/20/365/24</f>
        <v>627.85388127853878</v>
      </c>
      <c r="R54" s="6">
        <f t="shared" si="61"/>
        <v>80</v>
      </c>
      <c r="S54" s="6">
        <f t="shared" si="62"/>
        <v>80</v>
      </c>
      <c r="T54" s="6">
        <f t="shared" si="63"/>
        <v>179.99999999999997</v>
      </c>
      <c r="U54" s="6">
        <f t="shared" si="64"/>
        <v>400</v>
      </c>
      <c r="V54" s="6">
        <f t="shared" si="65"/>
        <v>750</v>
      </c>
      <c r="W54" s="6">
        <f t="shared" si="66"/>
        <v>3000</v>
      </c>
      <c r="X54" s="6">
        <f t="shared" si="67"/>
        <v>1300</v>
      </c>
      <c r="Y54" s="6">
        <f>+(H54/50000)*930000/8</f>
        <v>69.75</v>
      </c>
      <c r="Z54" s="6">
        <f t="shared" si="76"/>
        <v>3119.9999999999995</v>
      </c>
      <c r="AA54" s="6">
        <f>AA53/8</f>
        <v>4166.625</v>
      </c>
      <c r="AB54" s="6">
        <f t="shared" si="59"/>
        <v>16496.399999999998</v>
      </c>
      <c r="AC54" s="6">
        <f>(3092909/30)/8</f>
        <v>12887.120833333332</v>
      </c>
      <c r="AD54" s="16">
        <v>0.1</v>
      </c>
      <c r="AE54" s="7">
        <f>SUM(J54:AD54)</f>
        <v>45175.324996194824</v>
      </c>
      <c r="AF54" s="7">
        <f>+F54-AE54</f>
        <v>522095.8270038052</v>
      </c>
      <c r="AG54" s="8">
        <f>(F54-AE54)/F54</f>
        <v>0.92036378927974327</v>
      </c>
      <c r="AH54" s="15">
        <f t="shared" ref="AH54" si="81">AE54+AF54</f>
        <v>567271.152</v>
      </c>
    </row>
    <row r="55" spans="1:34" x14ac:dyDescent="0.35">
      <c r="A55" s="52" t="s">
        <v>0</v>
      </c>
      <c r="B55" s="86" t="s">
        <v>1</v>
      </c>
      <c r="C55" s="87"/>
      <c r="D55" s="52" t="s">
        <v>2</v>
      </c>
      <c r="E55" s="46" t="s">
        <v>31</v>
      </c>
      <c r="F55" s="46" t="s">
        <v>32</v>
      </c>
      <c r="G55" s="112" t="e">
        <f t="shared" si="5"/>
        <v>#VALUE!</v>
      </c>
      <c r="H55" s="47" t="s">
        <v>4</v>
      </c>
      <c r="I55" s="47" t="s">
        <v>5</v>
      </c>
      <c r="J55" s="48" t="s">
        <v>6</v>
      </c>
      <c r="K55" s="48"/>
      <c r="L55" s="48"/>
      <c r="M55" s="48"/>
      <c r="N55" s="48"/>
      <c r="O55" s="48"/>
      <c r="P55" s="49" t="s">
        <v>7</v>
      </c>
      <c r="Q55" s="49" t="s">
        <v>8</v>
      </c>
      <c r="R55" s="48" t="s">
        <v>9</v>
      </c>
      <c r="S55" s="48"/>
      <c r="T55" s="48"/>
      <c r="U55" s="48"/>
      <c r="V55" s="48"/>
      <c r="W55" s="48"/>
      <c r="X55" s="48"/>
      <c r="Y55" s="48"/>
      <c r="Z55" s="48"/>
      <c r="AA55" s="49" t="s">
        <v>10</v>
      </c>
      <c r="AB55" s="49" t="s">
        <v>11</v>
      </c>
      <c r="AC55" s="53" t="s">
        <v>107</v>
      </c>
      <c r="AD55" s="53" t="s">
        <v>108</v>
      </c>
      <c r="AE55" s="54" t="s">
        <v>13</v>
      </c>
      <c r="AF55" s="53" t="s">
        <v>14</v>
      </c>
      <c r="AG55" s="55"/>
      <c r="AH55" s="55" t="s">
        <v>34</v>
      </c>
    </row>
    <row r="56" spans="1:34" ht="39.5" thickBot="1" x14ac:dyDescent="0.4">
      <c r="A56" s="52"/>
      <c r="B56" s="88"/>
      <c r="C56" s="89"/>
      <c r="D56" s="52"/>
      <c r="E56" s="46"/>
      <c r="F56" s="46"/>
      <c r="G56" s="112">
        <f t="shared" si="5"/>
        <v>0</v>
      </c>
      <c r="H56" s="47"/>
      <c r="I56" s="47"/>
      <c r="J56" s="4" t="s">
        <v>16</v>
      </c>
      <c r="K56" s="3" t="s">
        <v>17</v>
      </c>
      <c r="L56" s="4" t="s">
        <v>18</v>
      </c>
      <c r="M56" s="4" t="s">
        <v>19</v>
      </c>
      <c r="N56" s="4" t="s">
        <v>20</v>
      </c>
      <c r="O56" s="4" t="s">
        <v>21</v>
      </c>
      <c r="P56" s="49"/>
      <c r="Q56" s="49"/>
      <c r="R56" s="4" t="s">
        <v>22</v>
      </c>
      <c r="S56" s="4" t="s">
        <v>23</v>
      </c>
      <c r="T56" s="4" t="s">
        <v>24</v>
      </c>
      <c r="U56" s="4" t="s">
        <v>25</v>
      </c>
      <c r="V56" s="4" t="s">
        <v>26</v>
      </c>
      <c r="W56" s="4" t="s">
        <v>27</v>
      </c>
      <c r="X56" s="4" t="s">
        <v>28</v>
      </c>
      <c r="Y56" s="4" t="s">
        <v>29</v>
      </c>
      <c r="Z56" s="4" t="s">
        <v>30</v>
      </c>
      <c r="AA56" s="49"/>
      <c r="AB56" s="49"/>
      <c r="AC56" s="53"/>
      <c r="AD56" s="53"/>
      <c r="AE56" s="54"/>
      <c r="AF56" s="53"/>
      <c r="AG56" s="55"/>
      <c r="AH56" s="55" t="s">
        <v>35</v>
      </c>
    </row>
    <row r="57" spans="1:34" ht="15" customHeight="1" x14ac:dyDescent="0.35">
      <c r="A57" s="14">
        <v>51</v>
      </c>
      <c r="B57" s="75" t="s">
        <v>86</v>
      </c>
      <c r="C57" s="91"/>
      <c r="D57" s="1">
        <v>1</v>
      </c>
      <c r="E57" s="24">
        <v>76852131</v>
      </c>
      <c r="F57" s="24">
        <v>31909004.791200005</v>
      </c>
      <c r="G57" s="112">
        <f t="shared" si="5"/>
        <v>-31909004.791200005</v>
      </c>
      <c r="H57" s="26" t="s">
        <v>33</v>
      </c>
      <c r="I57" s="26" t="s">
        <v>33</v>
      </c>
      <c r="J57" s="26" t="s">
        <v>33</v>
      </c>
      <c r="K57" s="26" t="s">
        <v>33</v>
      </c>
      <c r="L57" s="26" t="s">
        <v>33</v>
      </c>
      <c r="M57" s="26" t="s">
        <v>33</v>
      </c>
      <c r="N57" s="26" t="s">
        <v>33</v>
      </c>
      <c r="O57" s="26" t="s">
        <v>33</v>
      </c>
      <c r="P57" s="26" t="s">
        <v>33</v>
      </c>
      <c r="Q57" s="26" t="s">
        <v>33</v>
      </c>
      <c r="R57" s="26" t="s">
        <v>33</v>
      </c>
      <c r="S57" s="26" t="s">
        <v>33</v>
      </c>
      <c r="T57" s="26" t="s">
        <v>33</v>
      </c>
      <c r="U57" s="26" t="s">
        <v>33</v>
      </c>
      <c r="V57" s="26" t="s">
        <v>33</v>
      </c>
      <c r="W57" s="26" t="s">
        <v>33</v>
      </c>
      <c r="X57" s="26" t="s">
        <v>33</v>
      </c>
      <c r="Y57" s="26" t="s">
        <v>33</v>
      </c>
      <c r="Z57" s="26" t="s">
        <v>33</v>
      </c>
      <c r="AA57" s="26" t="s">
        <v>33</v>
      </c>
      <c r="AB57" s="26" t="s">
        <v>33</v>
      </c>
      <c r="AC57" s="31">
        <v>20000000</v>
      </c>
      <c r="AD57" s="16">
        <v>0.1</v>
      </c>
      <c r="AE57" s="31">
        <f>SUM(H57:AD57)</f>
        <v>20000000.100000001</v>
      </c>
      <c r="AF57" s="27">
        <f>F57-AE57</f>
        <v>11909004.691200003</v>
      </c>
      <c r="AG57" s="8">
        <f>(F57-AE57)/F57</f>
        <v>0.37321767849319815</v>
      </c>
      <c r="AH57" s="15">
        <f>AE57+AF57</f>
        <v>31909004.791200005</v>
      </c>
    </row>
    <row r="58" spans="1:34" x14ac:dyDescent="0.35">
      <c r="A58" s="23">
        <v>52</v>
      </c>
      <c r="B58" s="79" t="s">
        <v>87</v>
      </c>
      <c r="C58" s="80"/>
      <c r="D58" s="1">
        <v>1</v>
      </c>
      <c r="E58" s="24">
        <v>12808688</v>
      </c>
      <c r="F58" s="24">
        <v>5318167.2576000001</v>
      </c>
      <c r="G58" s="112">
        <f t="shared" si="5"/>
        <v>-5318167.2576000001</v>
      </c>
      <c r="H58" s="26" t="s">
        <v>33</v>
      </c>
      <c r="I58" s="26" t="s">
        <v>33</v>
      </c>
      <c r="J58" s="26" t="s">
        <v>33</v>
      </c>
      <c r="K58" s="26" t="s">
        <v>33</v>
      </c>
      <c r="L58" s="26" t="s">
        <v>33</v>
      </c>
      <c r="M58" s="26" t="s">
        <v>33</v>
      </c>
      <c r="N58" s="26" t="s">
        <v>33</v>
      </c>
      <c r="O58" s="26" t="s">
        <v>33</v>
      </c>
      <c r="P58" s="26" t="s">
        <v>33</v>
      </c>
      <c r="Q58" s="26" t="s">
        <v>33</v>
      </c>
      <c r="R58" s="26" t="s">
        <v>33</v>
      </c>
      <c r="S58" s="26" t="s">
        <v>33</v>
      </c>
      <c r="T58" s="26" t="s">
        <v>33</v>
      </c>
      <c r="U58" s="26" t="s">
        <v>33</v>
      </c>
      <c r="V58" s="26" t="s">
        <v>33</v>
      </c>
      <c r="W58" s="26" t="s">
        <v>33</v>
      </c>
      <c r="X58" s="26" t="s">
        <v>33</v>
      </c>
      <c r="Y58" s="26" t="s">
        <v>33</v>
      </c>
      <c r="Z58" s="26" t="s">
        <v>33</v>
      </c>
      <c r="AA58" s="26" t="s">
        <v>33</v>
      </c>
      <c r="AB58" s="26" t="s">
        <v>33</v>
      </c>
      <c r="AC58" s="32">
        <f>AC57/5</f>
        <v>4000000</v>
      </c>
      <c r="AD58" s="16">
        <v>0.1</v>
      </c>
      <c r="AE58" s="31">
        <f t="shared" ref="AE58:AE77" si="82">SUM(H58:AD58)</f>
        <v>4000000.1</v>
      </c>
      <c r="AF58" s="27">
        <f>F58-AE58</f>
        <v>1318167.1576</v>
      </c>
      <c r="AG58" s="8">
        <f>(F58-AE58)/F58</f>
        <v>0.24786116978856862</v>
      </c>
      <c r="AH58" s="15">
        <f>AE58+AF58</f>
        <v>5318167.2576000001</v>
      </c>
    </row>
    <row r="59" spans="1:34" x14ac:dyDescent="0.35">
      <c r="A59" s="14">
        <v>53</v>
      </c>
      <c r="B59" s="79" t="s">
        <v>88</v>
      </c>
      <c r="C59" s="80"/>
      <c r="D59" s="1">
        <v>1</v>
      </c>
      <c r="E59" s="24">
        <v>2561738</v>
      </c>
      <c r="F59" s="24">
        <v>1063633.6176</v>
      </c>
      <c r="G59" s="112">
        <f t="shared" si="5"/>
        <v>-1063633.6176</v>
      </c>
      <c r="H59" s="26" t="s">
        <v>33</v>
      </c>
      <c r="I59" s="26" t="s">
        <v>33</v>
      </c>
      <c r="J59" s="26" t="s">
        <v>33</v>
      </c>
      <c r="K59" s="26" t="s">
        <v>33</v>
      </c>
      <c r="L59" s="26" t="s">
        <v>33</v>
      </c>
      <c r="M59" s="26" t="s">
        <v>33</v>
      </c>
      <c r="N59" s="26" t="s">
        <v>33</v>
      </c>
      <c r="O59" s="26" t="s">
        <v>33</v>
      </c>
      <c r="P59" s="26" t="s">
        <v>33</v>
      </c>
      <c r="Q59" s="26" t="s">
        <v>33</v>
      </c>
      <c r="R59" s="26" t="s">
        <v>33</v>
      </c>
      <c r="S59" s="26" t="s">
        <v>33</v>
      </c>
      <c r="T59" s="26" t="s">
        <v>33</v>
      </c>
      <c r="U59" s="26" t="s">
        <v>33</v>
      </c>
      <c r="V59" s="26" t="s">
        <v>33</v>
      </c>
      <c r="W59" s="26" t="s">
        <v>33</v>
      </c>
      <c r="X59" s="26" t="s">
        <v>33</v>
      </c>
      <c r="Y59" s="26" t="s">
        <v>33</v>
      </c>
      <c r="Z59" s="26" t="s">
        <v>33</v>
      </c>
      <c r="AA59" s="26" t="s">
        <v>33</v>
      </c>
      <c r="AB59" s="26" t="s">
        <v>33</v>
      </c>
      <c r="AC59" s="32">
        <f>AC58/8</f>
        <v>500000</v>
      </c>
      <c r="AD59" s="16">
        <v>0.1</v>
      </c>
      <c r="AE59" s="31">
        <f t="shared" si="82"/>
        <v>500000.1</v>
      </c>
      <c r="AF59" s="27">
        <f>F59-AE59</f>
        <v>563633.51760000002</v>
      </c>
      <c r="AG59" s="8">
        <f>(F59-AE59)/F59</f>
        <v>0.5299132222539108</v>
      </c>
      <c r="AH59" s="15">
        <f t="shared" ref="AH59:AH60" si="83">AE59+AF59</f>
        <v>1063633.6176</v>
      </c>
    </row>
    <row r="60" spans="1:34" x14ac:dyDescent="0.35">
      <c r="A60" s="14">
        <v>54</v>
      </c>
      <c r="B60" s="73" t="s">
        <v>89</v>
      </c>
      <c r="C60" s="80"/>
      <c r="D60" s="1">
        <v>1</v>
      </c>
      <c r="E60" s="24">
        <v>42695628</v>
      </c>
      <c r="F60" s="24">
        <v>17727224.7456</v>
      </c>
      <c r="G60" s="112">
        <f t="shared" si="5"/>
        <v>-17727224.7456</v>
      </c>
      <c r="H60" s="26" t="s">
        <v>33</v>
      </c>
      <c r="I60" s="26" t="s">
        <v>33</v>
      </c>
      <c r="J60" s="26" t="s">
        <v>33</v>
      </c>
      <c r="K60" s="26" t="s">
        <v>33</v>
      </c>
      <c r="L60" s="26" t="s">
        <v>33</v>
      </c>
      <c r="M60" s="26" t="s">
        <v>33</v>
      </c>
      <c r="N60" s="26" t="s">
        <v>33</v>
      </c>
      <c r="O60" s="26" t="s">
        <v>33</v>
      </c>
      <c r="P60" s="26" t="s">
        <v>33</v>
      </c>
      <c r="Q60" s="26" t="s">
        <v>33</v>
      </c>
      <c r="R60" s="26" t="s">
        <v>33</v>
      </c>
      <c r="S60" s="26" t="s">
        <v>33</v>
      </c>
      <c r="T60" s="26" t="s">
        <v>33</v>
      </c>
      <c r="U60" s="26" t="s">
        <v>33</v>
      </c>
      <c r="V60" s="26" t="s">
        <v>33</v>
      </c>
      <c r="W60" s="26" t="s">
        <v>33</v>
      </c>
      <c r="X60" s="26" t="s">
        <v>33</v>
      </c>
      <c r="Y60" s="26" t="s">
        <v>33</v>
      </c>
      <c r="Z60" s="26" t="s">
        <v>33</v>
      </c>
      <c r="AA60" s="26" t="s">
        <v>33</v>
      </c>
      <c r="AB60" s="26" t="s">
        <v>33</v>
      </c>
      <c r="AC60" s="31">
        <v>10000000</v>
      </c>
      <c r="AD60" s="16">
        <v>0.1</v>
      </c>
      <c r="AE60" s="31">
        <f t="shared" si="82"/>
        <v>10000000.1</v>
      </c>
      <c r="AF60" s="27">
        <f>F60-AE60</f>
        <v>7727224.6456000004</v>
      </c>
      <c r="AG60" s="8">
        <f>(F60-AE60)/F60</f>
        <v>0.43589590341928408</v>
      </c>
      <c r="AH60" s="15">
        <f t="shared" si="83"/>
        <v>17727224.7456</v>
      </c>
    </row>
    <row r="61" spans="1:34" x14ac:dyDescent="0.35">
      <c r="A61" s="14">
        <v>55</v>
      </c>
      <c r="B61" s="73" t="s">
        <v>90</v>
      </c>
      <c r="C61" s="80"/>
      <c r="D61" s="1">
        <v>1</v>
      </c>
      <c r="E61" s="24">
        <v>8539126</v>
      </c>
      <c r="F61" s="24">
        <v>3545445.1151999999</v>
      </c>
      <c r="G61" s="112">
        <f t="shared" si="5"/>
        <v>-3545445.1151999999</v>
      </c>
      <c r="H61" s="26" t="s">
        <v>33</v>
      </c>
      <c r="I61" s="26" t="s">
        <v>33</v>
      </c>
      <c r="J61" s="26" t="s">
        <v>33</v>
      </c>
      <c r="K61" s="26" t="s">
        <v>33</v>
      </c>
      <c r="L61" s="26" t="s">
        <v>33</v>
      </c>
      <c r="M61" s="26" t="s">
        <v>33</v>
      </c>
      <c r="N61" s="26" t="s">
        <v>33</v>
      </c>
      <c r="O61" s="26" t="s">
        <v>33</v>
      </c>
      <c r="P61" s="26" t="s">
        <v>33</v>
      </c>
      <c r="Q61" s="26" t="s">
        <v>33</v>
      </c>
      <c r="R61" s="26" t="s">
        <v>33</v>
      </c>
      <c r="S61" s="26" t="s">
        <v>33</v>
      </c>
      <c r="T61" s="26" t="s">
        <v>33</v>
      </c>
      <c r="U61" s="26" t="s">
        <v>33</v>
      </c>
      <c r="V61" s="26" t="s">
        <v>33</v>
      </c>
      <c r="W61" s="26" t="s">
        <v>33</v>
      </c>
      <c r="X61" s="26" t="s">
        <v>33</v>
      </c>
      <c r="Y61" s="26" t="s">
        <v>33</v>
      </c>
      <c r="Z61" s="26" t="s">
        <v>33</v>
      </c>
      <c r="AA61" s="26" t="s">
        <v>33</v>
      </c>
      <c r="AB61" s="26" t="s">
        <v>33</v>
      </c>
      <c r="AC61" s="32">
        <f>AC60/5</f>
        <v>2000000</v>
      </c>
      <c r="AD61" s="16">
        <v>0.1</v>
      </c>
      <c r="AE61" s="31">
        <f t="shared" si="82"/>
        <v>2000000.1</v>
      </c>
      <c r="AF61" s="27">
        <f>F61-AE61</f>
        <v>1545445.0151999998</v>
      </c>
      <c r="AG61" s="8">
        <f>(F61-AE61)/F61</f>
        <v>0.43589590727956329</v>
      </c>
      <c r="AH61" s="15">
        <f>AE61+AF61</f>
        <v>3545445.1151999999</v>
      </c>
    </row>
    <row r="62" spans="1:34" ht="15" thickBot="1" x14ac:dyDescent="0.4">
      <c r="A62" s="23">
        <v>56</v>
      </c>
      <c r="B62" s="58" t="s">
        <v>91</v>
      </c>
      <c r="C62" s="66"/>
      <c r="D62" s="1">
        <v>1</v>
      </c>
      <c r="E62" s="24">
        <v>1707825</v>
      </c>
      <c r="F62" s="24">
        <v>709088.94000000006</v>
      </c>
      <c r="G62" s="112">
        <f t="shared" si="5"/>
        <v>-709088.94000000006</v>
      </c>
      <c r="H62" s="26" t="s">
        <v>33</v>
      </c>
      <c r="I62" s="26" t="s">
        <v>33</v>
      </c>
      <c r="J62" s="26" t="s">
        <v>33</v>
      </c>
      <c r="K62" s="26" t="s">
        <v>33</v>
      </c>
      <c r="L62" s="26" t="s">
        <v>33</v>
      </c>
      <c r="M62" s="26" t="s">
        <v>33</v>
      </c>
      <c r="N62" s="26" t="s">
        <v>33</v>
      </c>
      <c r="O62" s="26" t="s">
        <v>33</v>
      </c>
      <c r="P62" s="26" t="s">
        <v>33</v>
      </c>
      <c r="Q62" s="26" t="s">
        <v>33</v>
      </c>
      <c r="R62" s="26" t="s">
        <v>33</v>
      </c>
      <c r="S62" s="26" t="s">
        <v>33</v>
      </c>
      <c r="T62" s="26" t="s">
        <v>33</v>
      </c>
      <c r="U62" s="26" t="s">
        <v>33</v>
      </c>
      <c r="V62" s="26" t="s">
        <v>33</v>
      </c>
      <c r="W62" s="26" t="s">
        <v>33</v>
      </c>
      <c r="X62" s="26" t="s">
        <v>33</v>
      </c>
      <c r="Y62" s="26" t="s">
        <v>33</v>
      </c>
      <c r="Z62" s="26" t="s">
        <v>33</v>
      </c>
      <c r="AA62" s="26" t="s">
        <v>33</v>
      </c>
      <c r="AB62" s="26" t="s">
        <v>33</v>
      </c>
      <c r="AC62" s="32">
        <f>AC61/8</f>
        <v>250000</v>
      </c>
      <c r="AD62" s="16">
        <v>0.1</v>
      </c>
      <c r="AE62" s="31">
        <f t="shared" si="82"/>
        <v>250000.1</v>
      </c>
      <c r="AF62" s="27">
        <f>F62-AE62</f>
        <v>459088.84000000008</v>
      </c>
      <c r="AG62" s="8">
        <f>(F62-AE62)/F62</f>
        <v>0.64743477736375366</v>
      </c>
      <c r="AH62" s="15">
        <f t="shared" ref="AH62:AH63" si="84">AE62+AF62</f>
        <v>709088.94000000006</v>
      </c>
    </row>
    <row r="63" spans="1:34" x14ac:dyDescent="0.35">
      <c r="A63" s="14">
        <v>57</v>
      </c>
      <c r="B63" s="90" t="s">
        <v>106</v>
      </c>
      <c r="C63" s="82"/>
      <c r="D63" s="1">
        <v>1</v>
      </c>
      <c r="E63" s="24">
        <v>26898246</v>
      </c>
      <c r="F63" s="24">
        <v>11168151.7392</v>
      </c>
      <c r="G63" s="112">
        <f t="shared" si="5"/>
        <v>-11168151.7392</v>
      </c>
      <c r="H63" s="26" t="s">
        <v>33</v>
      </c>
      <c r="I63" s="26" t="s">
        <v>33</v>
      </c>
      <c r="J63" s="26" t="s">
        <v>33</v>
      </c>
      <c r="K63" s="26" t="s">
        <v>33</v>
      </c>
      <c r="L63" s="26" t="s">
        <v>33</v>
      </c>
      <c r="M63" s="26" t="s">
        <v>33</v>
      </c>
      <c r="N63" s="26" t="s">
        <v>33</v>
      </c>
      <c r="O63" s="26" t="s">
        <v>33</v>
      </c>
      <c r="P63" s="26" t="s">
        <v>33</v>
      </c>
      <c r="Q63" s="26" t="s">
        <v>33</v>
      </c>
      <c r="R63" s="26" t="s">
        <v>33</v>
      </c>
      <c r="S63" s="26" t="s">
        <v>33</v>
      </c>
      <c r="T63" s="26" t="s">
        <v>33</v>
      </c>
      <c r="U63" s="26" t="s">
        <v>33</v>
      </c>
      <c r="V63" s="26" t="s">
        <v>33</v>
      </c>
      <c r="W63" s="26" t="s">
        <v>33</v>
      </c>
      <c r="X63" s="26" t="s">
        <v>33</v>
      </c>
      <c r="Y63" s="26" t="s">
        <v>33</v>
      </c>
      <c r="Z63" s="26" t="s">
        <v>33</v>
      </c>
      <c r="AA63" s="26" t="s">
        <v>33</v>
      </c>
      <c r="AB63" s="26" t="s">
        <v>33</v>
      </c>
      <c r="AC63" s="31">
        <v>7000000</v>
      </c>
      <c r="AD63" s="16">
        <v>0.1</v>
      </c>
      <c r="AE63" s="31">
        <f t="shared" si="82"/>
        <v>7000000.0999999996</v>
      </c>
      <c r="AF63" s="27">
        <f>F63-AE63</f>
        <v>4168151.6392000001</v>
      </c>
      <c r="AG63" s="8">
        <f>(F63-AE63)/F63</f>
        <v>0.37321767616837326</v>
      </c>
      <c r="AH63" s="15">
        <f t="shared" si="84"/>
        <v>11168151.7392</v>
      </c>
    </row>
    <row r="64" spans="1:34" x14ac:dyDescent="0.35">
      <c r="A64" s="14">
        <v>58</v>
      </c>
      <c r="B64" s="79" t="s">
        <v>92</v>
      </c>
      <c r="C64" s="80"/>
      <c r="D64" s="1">
        <v>1</v>
      </c>
      <c r="E64" s="24">
        <v>3842607</v>
      </c>
      <c r="F64" s="24">
        <v>1595450.4264000002</v>
      </c>
      <c r="G64" s="112">
        <f t="shared" si="5"/>
        <v>-1595450.4264000002</v>
      </c>
      <c r="H64" s="26" t="s">
        <v>33</v>
      </c>
      <c r="I64" s="26" t="s">
        <v>33</v>
      </c>
      <c r="J64" s="26" t="s">
        <v>33</v>
      </c>
      <c r="K64" s="26" t="s">
        <v>33</v>
      </c>
      <c r="L64" s="26" t="s">
        <v>33</v>
      </c>
      <c r="M64" s="26" t="s">
        <v>33</v>
      </c>
      <c r="N64" s="26" t="s">
        <v>33</v>
      </c>
      <c r="O64" s="26" t="s">
        <v>33</v>
      </c>
      <c r="P64" s="26" t="s">
        <v>33</v>
      </c>
      <c r="Q64" s="26" t="s">
        <v>33</v>
      </c>
      <c r="R64" s="26" t="s">
        <v>33</v>
      </c>
      <c r="S64" s="26" t="s">
        <v>33</v>
      </c>
      <c r="T64" s="26" t="s">
        <v>33</v>
      </c>
      <c r="U64" s="26" t="s">
        <v>33</v>
      </c>
      <c r="V64" s="26" t="s">
        <v>33</v>
      </c>
      <c r="W64" s="26" t="s">
        <v>33</v>
      </c>
      <c r="X64" s="26" t="s">
        <v>33</v>
      </c>
      <c r="Y64" s="26" t="s">
        <v>33</v>
      </c>
      <c r="Z64" s="26" t="s">
        <v>33</v>
      </c>
      <c r="AA64" s="26" t="s">
        <v>33</v>
      </c>
      <c r="AB64" s="26" t="s">
        <v>33</v>
      </c>
      <c r="AC64" s="32">
        <f>AC63/5</f>
        <v>1400000</v>
      </c>
      <c r="AD64" s="16">
        <v>0.1</v>
      </c>
      <c r="AE64" s="31">
        <f t="shared" si="82"/>
        <v>1400000.1</v>
      </c>
      <c r="AF64" s="27">
        <f>F64-AE64</f>
        <v>195450.32640000014</v>
      </c>
      <c r="AG64" s="8">
        <f>(F64-AE64)/F64</f>
        <v>0.12250479436143771</v>
      </c>
      <c r="AH64" s="15">
        <f>AE64+AF64</f>
        <v>1595450.4264000002</v>
      </c>
    </row>
    <row r="65" spans="1:34" x14ac:dyDescent="0.35">
      <c r="A65" s="14">
        <v>59</v>
      </c>
      <c r="B65" s="79" t="s">
        <v>93</v>
      </c>
      <c r="C65" s="80"/>
      <c r="D65" s="1">
        <v>1</v>
      </c>
      <c r="E65" s="24">
        <v>768521</v>
      </c>
      <c r="F65" s="24">
        <v>319089.9192</v>
      </c>
      <c r="G65" s="112">
        <f t="shared" si="5"/>
        <v>-319089.9192</v>
      </c>
      <c r="H65" s="26" t="s">
        <v>33</v>
      </c>
      <c r="I65" s="26" t="s">
        <v>33</v>
      </c>
      <c r="J65" s="26" t="s">
        <v>33</v>
      </c>
      <c r="K65" s="26" t="s">
        <v>33</v>
      </c>
      <c r="L65" s="26" t="s">
        <v>33</v>
      </c>
      <c r="M65" s="26" t="s">
        <v>33</v>
      </c>
      <c r="N65" s="26" t="s">
        <v>33</v>
      </c>
      <c r="O65" s="26" t="s">
        <v>33</v>
      </c>
      <c r="P65" s="26" t="s">
        <v>33</v>
      </c>
      <c r="Q65" s="26" t="s">
        <v>33</v>
      </c>
      <c r="R65" s="26" t="s">
        <v>33</v>
      </c>
      <c r="S65" s="26" t="s">
        <v>33</v>
      </c>
      <c r="T65" s="26" t="s">
        <v>33</v>
      </c>
      <c r="U65" s="26" t="s">
        <v>33</v>
      </c>
      <c r="V65" s="26" t="s">
        <v>33</v>
      </c>
      <c r="W65" s="26" t="s">
        <v>33</v>
      </c>
      <c r="X65" s="26" t="s">
        <v>33</v>
      </c>
      <c r="Y65" s="26" t="s">
        <v>33</v>
      </c>
      <c r="Z65" s="26" t="s">
        <v>33</v>
      </c>
      <c r="AA65" s="26" t="s">
        <v>33</v>
      </c>
      <c r="AB65" s="26" t="s">
        <v>33</v>
      </c>
      <c r="AC65" s="32">
        <f>AC64/8</f>
        <v>175000</v>
      </c>
      <c r="AD65" s="16">
        <v>0.1</v>
      </c>
      <c r="AE65" s="31">
        <f t="shared" si="82"/>
        <v>175000.1</v>
      </c>
      <c r="AF65" s="27">
        <f>F65-AE65</f>
        <v>144089.8192</v>
      </c>
      <c r="AG65" s="8">
        <f>(F65-AE65)/F65</f>
        <v>0.45156493680919768</v>
      </c>
      <c r="AH65" s="15">
        <f t="shared" ref="AH65:AH66" si="85">AE65+AF65</f>
        <v>319089.9192</v>
      </c>
    </row>
    <row r="66" spans="1:34" x14ac:dyDescent="0.35">
      <c r="A66" s="23">
        <v>60</v>
      </c>
      <c r="B66" s="73" t="s">
        <v>94</v>
      </c>
      <c r="C66" s="80"/>
      <c r="D66" s="1">
        <v>1</v>
      </c>
      <c r="E66" s="24">
        <v>37572153</v>
      </c>
      <c r="F66" s="24">
        <v>15599957.9256</v>
      </c>
      <c r="G66" s="112">
        <f t="shared" si="5"/>
        <v>-15599957.9256</v>
      </c>
      <c r="H66" s="26" t="s">
        <v>33</v>
      </c>
      <c r="I66" s="26" t="s">
        <v>33</v>
      </c>
      <c r="J66" s="26" t="s">
        <v>33</v>
      </c>
      <c r="K66" s="26" t="s">
        <v>33</v>
      </c>
      <c r="L66" s="26" t="s">
        <v>33</v>
      </c>
      <c r="M66" s="26" t="s">
        <v>33</v>
      </c>
      <c r="N66" s="26" t="s">
        <v>33</v>
      </c>
      <c r="O66" s="26" t="s">
        <v>33</v>
      </c>
      <c r="P66" s="26" t="s">
        <v>33</v>
      </c>
      <c r="Q66" s="26" t="s">
        <v>33</v>
      </c>
      <c r="R66" s="26" t="s">
        <v>33</v>
      </c>
      <c r="S66" s="26" t="s">
        <v>33</v>
      </c>
      <c r="T66" s="26" t="s">
        <v>33</v>
      </c>
      <c r="U66" s="26" t="s">
        <v>33</v>
      </c>
      <c r="V66" s="26" t="s">
        <v>33</v>
      </c>
      <c r="W66" s="26" t="s">
        <v>33</v>
      </c>
      <c r="X66" s="26" t="s">
        <v>33</v>
      </c>
      <c r="Y66" s="26" t="s">
        <v>33</v>
      </c>
      <c r="Z66" s="26" t="s">
        <v>33</v>
      </c>
      <c r="AA66" s="26" t="s">
        <v>33</v>
      </c>
      <c r="AB66" s="26" t="s">
        <v>33</v>
      </c>
      <c r="AC66" s="31">
        <v>9000000</v>
      </c>
      <c r="AD66" s="16">
        <v>0.1</v>
      </c>
      <c r="AE66" s="31">
        <f t="shared" si="82"/>
        <v>9000000.0999999996</v>
      </c>
      <c r="AF66" s="27">
        <f>F66-AE66</f>
        <v>6599957.8256000001</v>
      </c>
      <c r="AG66" s="8">
        <f>(F66-AE66)/F66</f>
        <v>0.42307536065653556</v>
      </c>
      <c r="AH66" s="15">
        <f t="shared" si="85"/>
        <v>15599957.9256</v>
      </c>
    </row>
    <row r="67" spans="1:34" x14ac:dyDescent="0.35">
      <c r="A67" s="14">
        <v>61</v>
      </c>
      <c r="B67" s="73" t="s">
        <v>95</v>
      </c>
      <c r="C67" s="80"/>
      <c r="D67" s="1">
        <v>1</v>
      </c>
      <c r="E67" s="24">
        <v>8539126</v>
      </c>
      <c r="F67" s="24">
        <v>3545445.1151999999</v>
      </c>
      <c r="G67" s="112">
        <f t="shared" si="5"/>
        <v>-3545445.1151999999</v>
      </c>
      <c r="H67" s="26" t="s">
        <v>33</v>
      </c>
      <c r="I67" s="26" t="s">
        <v>33</v>
      </c>
      <c r="J67" s="26" t="s">
        <v>33</v>
      </c>
      <c r="K67" s="26" t="s">
        <v>33</v>
      </c>
      <c r="L67" s="26" t="s">
        <v>33</v>
      </c>
      <c r="M67" s="26" t="s">
        <v>33</v>
      </c>
      <c r="N67" s="26" t="s">
        <v>33</v>
      </c>
      <c r="O67" s="26" t="s">
        <v>33</v>
      </c>
      <c r="P67" s="26" t="s">
        <v>33</v>
      </c>
      <c r="Q67" s="26" t="s">
        <v>33</v>
      </c>
      <c r="R67" s="26" t="s">
        <v>33</v>
      </c>
      <c r="S67" s="26" t="s">
        <v>33</v>
      </c>
      <c r="T67" s="26" t="s">
        <v>33</v>
      </c>
      <c r="U67" s="26" t="s">
        <v>33</v>
      </c>
      <c r="V67" s="26" t="s">
        <v>33</v>
      </c>
      <c r="W67" s="26" t="s">
        <v>33</v>
      </c>
      <c r="X67" s="26" t="s">
        <v>33</v>
      </c>
      <c r="Y67" s="26" t="s">
        <v>33</v>
      </c>
      <c r="Z67" s="26" t="s">
        <v>33</v>
      </c>
      <c r="AA67" s="26" t="s">
        <v>33</v>
      </c>
      <c r="AB67" s="26" t="s">
        <v>33</v>
      </c>
      <c r="AC67" s="32">
        <f>AC66/5</f>
        <v>1800000</v>
      </c>
      <c r="AD67" s="16">
        <v>0.1</v>
      </c>
      <c r="AE67" s="31">
        <f t="shared" si="82"/>
        <v>1800000.1</v>
      </c>
      <c r="AF67" s="27">
        <f>F67-AE67</f>
        <v>1745445.0151999998</v>
      </c>
      <c r="AG67" s="8">
        <f>(F67-AE67)/F67</f>
        <v>0.49230631373108663</v>
      </c>
      <c r="AH67" s="15">
        <f>AE67+AF67</f>
        <v>3545445.1151999999</v>
      </c>
    </row>
    <row r="68" spans="1:34" ht="15" thickBot="1" x14ac:dyDescent="0.4">
      <c r="A68" s="14">
        <v>62</v>
      </c>
      <c r="B68" s="58" t="s">
        <v>96</v>
      </c>
      <c r="C68" s="66"/>
      <c r="D68" s="1">
        <v>1</v>
      </c>
      <c r="E68" s="24">
        <v>1537043</v>
      </c>
      <c r="F68" s="24">
        <v>638180.25360000005</v>
      </c>
      <c r="G68" s="112">
        <f t="shared" si="5"/>
        <v>-638180.25360000005</v>
      </c>
      <c r="H68" s="26" t="s">
        <v>33</v>
      </c>
      <c r="I68" s="26" t="s">
        <v>33</v>
      </c>
      <c r="J68" s="26" t="s">
        <v>33</v>
      </c>
      <c r="K68" s="26" t="s">
        <v>33</v>
      </c>
      <c r="L68" s="26" t="s">
        <v>33</v>
      </c>
      <c r="M68" s="26" t="s">
        <v>33</v>
      </c>
      <c r="N68" s="26" t="s">
        <v>33</v>
      </c>
      <c r="O68" s="26" t="s">
        <v>33</v>
      </c>
      <c r="P68" s="26" t="s">
        <v>33</v>
      </c>
      <c r="Q68" s="26" t="s">
        <v>33</v>
      </c>
      <c r="R68" s="26" t="s">
        <v>33</v>
      </c>
      <c r="S68" s="26" t="s">
        <v>33</v>
      </c>
      <c r="T68" s="26" t="s">
        <v>33</v>
      </c>
      <c r="U68" s="26" t="s">
        <v>33</v>
      </c>
      <c r="V68" s="26" t="s">
        <v>33</v>
      </c>
      <c r="W68" s="26" t="s">
        <v>33</v>
      </c>
      <c r="X68" s="26" t="s">
        <v>33</v>
      </c>
      <c r="Y68" s="26" t="s">
        <v>33</v>
      </c>
      <c r="Z68" s="26" t="s">
        <v>33</v>
      </c>
      <c r="AA68" s="26" t="s">
        <v>33</v>
      </c>
      <c r="AB68" s="26" t="s">
        <v>33</v>
      </c>
      <c r="AC68" s="32">
        <f>AC67/8</f>
        <v>225000</v>
      </c>
      <c r="AD68" s="16">
        <v>0.1</v>
      </c>
      <c r="AE68" s="31">
        <f t="shared" si="82"/>
        <v>225000.1</v>
      </c>
      <c r="AF68" s="27">
        <f>F68-AE68</f>
        <v>413180.15360000008</v>
      </c>
      <c r="AG68" s="8">
        <f>(F68-AE68)/F68</f>
        <v>0.64743487638364627</v>
      </c>
      <c r="AH68" s="15">
        <f t="shared" ref="AH68" si="86">AE68+AF68</f>
        <v>638180.25360000005</v>
      </c>
    </row>
    <row r="69" spans="1:34" x14ac:dyDescent="0.35">
      <c r="A69" s="14">
        <v>63</v>
      </c>
      <c r="B69" s="90" t="s">
        <v>97</v>
      </c>
      <c r="C69" s="82"/>
      <c r="D69" s="1">
        <v>1</v>
      </c>
      <c r="E69" s="24">
        <v>4098780</v>
      </c>
      <c r="F69" s="24">
        <v>1701813.4560000002</v>
      </c>
      <c r="G69" s="112">
        <f t="shared" si="5"/>
        <v>-1701813.4560000002</v>
      </c>
      <c r="H69" s="26" t="s">
        <v>33</v>
      </c>
      <c r="I69" s="26" t="s">
        <v>33</v>
      </c>
      <c r="J69" s="26" t="s">
        <v>33</v>
      </c>
      <c r="K69" s="26" t="s">
        <v>33</v>
      </c>
      <c r="L69" s="26" t="s">
        <v>33</v>
      </c>
      <c r="M69" s="26" t="s">
        <v>33</v>
      </c>
      <c r="N69" s="26" t="s">
        <v>33</v>
      </c>
      <c r="O69" s="26" t="s">
        <v>33</v>
      </c>
      <c r="P69" s="26" t="s">
        <v>33</v>
      </c>
      <c r="Q69" s="26" t="s">
        <v>33</v>
      </c>
      <c r="R69" s="26" t="s">
        <v>33</v>
      </c>
      <c r="S69" s="26" t="s">
        <v>33</v>
      </c>
      <c r="T69" s="26" t="s">
        <v>33</v>
      </c>
      <c r="U69" s="26" t="s">
        <v>33</v>
      </c>
      <c r="V69" s="26" t="s">
        <v>33</v>
      </c>
      <c r="W69" s="26" t="s">
        <v>33</v>
      </c>
      <c r="X69" s="26" t="s">
        <v>33</v>
      </c>
      <c r="Y69" s="26" t="s">
        <v>33</v>
      </c>
      <c r="Z69" s="26" t="s">
        <v>33</v>
      </c>
      <c r="AA69" s="26" t="s">
        <v>33</v>
      </c>
      <c r="AB69" s="26" t="s">
        <v>33</v>
      </c>
      <c r="AC69" s="32">
        <v>1200000</v>
      </c>
      <c r="AD69" s="16">
        <v>0.1</v>
      </c>
      <c r="AE69" s="31">
        <f t="shared" si="82"/>
        <v>1200000.1000000001</v>
      </c>
      <c r="AF69" s="27">
        <f>F69-AE69</f>
        <v>501813.35600000015</v>
      </c>
      <c r="AG69" s="8">
        <f>(F69-AE69)/F69</f>
        <v>0.29486977801872549</v>
      </c>
      <c r="AH69" s="15">
        <f>AE69+AF69</f>
        <v>1701813.4560000002</v>
      </c>
    </row>
    <row r="70" spans="1:34" x14ac:dyDescent="0.35">
      <c r="A70" s="23">
        <v>64</v>
      </c>
      <c r="B70" s="79" t="s">
        <v>98</v>
      </c>
      <c r="C70" s="80"/>
      <c r="D70" s="1">
        <v>1</v>
      </c>
      <c r="E70" s="24">
        <v>512348</v>
      </c>
      <c r="F70" s="24">
        <v>212726.88959999999</v>
      </c>
      <c r="G70" s="112">
        <f t="shared" si="5"/>
        <v>-212726.88959999999</v>
      </c>
      <c r="H70" s="26" t="s">
        <v>33</v>
      </c>
      <c r="I70" s="26" t="s">
        <v>33</v>
      </c>
      <c r="J70" s="26" t="s">
        <v>33</v>
      </c>
      <c r="K70" s="26" t="s">
        <v>33</v>
      </c>
      <c r="L70" s="26" t="s">
        <v>33</v>
      </c>
      <c r="M70" s="26" t="s">
        <v>33</v>
      </c>
      <c r="N70" s="26" t="s">
        <v>33</v>
      </c>
      <c r="O70" s="26" t="s">
        <v>33</v>
      </c>
      <c r="P70" s="26" t="s">
        <v>33</v>
      </c>
      <c r="Q70" s="26" t="s">
        <v>33</v>
      </c>
      <c r="R70" s="26" t="s">
        <v>33</v>
      </c>
      <c r="S70" s="26" t="s">
        <v>33</v>
      </c>
      <c r="T70" s="26" t="s">
        <v>33</v>
      </c>
      <c r="U70" s="26" t="s">
        <v>33</v>
      </c>
      <c r="V70" s="26" t="s">
        <v>33</v>
      </c>
      <c r="W70" s="26" t="s">
        <v>33</v>
      </c>
      <c r="X70" s="26" t="s">
        <v>33</v>
      </c>
      <c r="Y70" s="26" t="s">
        <v>33</v>
      </c>
      <c r="Z70" s="26" t="s">
        <v>33</v>
      </c>
      <c r="AA70" s="26" t="s">
        <v>33</v>
      </c>
      <c r="AB70" s="26" t="s">
        <v>33</v>
      </c>
      <c r="AC70" s="32">
        <f>AC69/8</f>
        <v>150000</v>
      </c>
      <c r="AD70" s="16">
        <v>0.1</v>
      </c>
      <c r="AE70" s="31">
        <f t="shared" si="82"/>
        <v>150000.1</v>
      </c>
      <c r="AF70" s="27">
        <f>F70-AE70</f>
        <v>62726.789599999989</v>
      </c>
      <c r="AG70" s="8">
        <f>(F70-AE70)/F70</f>
        <v>0.29487005482921325</v>
      </c>
      <c r="AH70" s="15">
        <f t="shared" ref="AH70" si="87">AE70+AF70</f>
        <v>212726.88959999999</v>
      </c>
    </row>
    <row r="71" spans="1:34" x14ac:dyDescent="0.35">
      <c r="A71" s="14">
        <v>65</v>
      </c>
      <c r="B71" s="73" t="s">
        <v>99</v>
      </c>
      <c r="C71" s="80"/>
      <c r="D71" s="1">
        <v>1</v>
      </c>
      <c r="E71" s="24">
        <v>5465040</v>
      </c>
      <c r="F71" s="24">
        <v>2269084.608</v>
      </c>
      <c r="G71" s="112">
        <f t="shared" ref="G71:G77" si="88">(E71*58.48%)-E71</f>
        <v>-2269084.608</v>
      </c>
      <c r="H71" s="26" t="s">
        <v>33</v>
      </c>
      <c r="I71" s="26" t="s">
        <v>33</v>
      </c>
      <c r="J71" s="26" t="s">
        <v>33</v>
      </c>
      <c r="K71" s="26" t="s">
        <v>33</v>
      </c>
      <c r="L71" s="26" t="s">
        <v>33</v>
      </c>
      <c r="M71" s="26" t="s">
        <v>33</v>
      </c>
      <c r="N71" s="26" t="s">
        <v>33</v>
      </c>
      <c r="O71" s="26" t="s">
        <v>33</v>
      </c>
      <c r="P71" s="26" t="s">
        <v>33</v>
      </c>
      <c r="Q71" s="26" t="s">
        <v>33</v>
      </c>
      <c r="R71" s="26" t="s">
        <v>33</v>
      </c>
      <c r="S71" s="26" t="s">
        <v>33</v>
      </c>
      <c r="T71" s="26" t="s">
        <v>33</v>
      </c>
      <c r="U71" s="26" t="s">
        <v>33</v>
      </c>
      <c r="V71" s="26" t="s">
        <v>33</v>
      </c>
      <c r="W71" s="26" t="s">
        <v>33</v>
      </c>
      <c r="X71" s="26" t="s">
        <v>33</v>
      </c>
      <c r="Y71" s="26" t="s">
        <v>33</v>
      </c>
      <c r="Z71" s="26" t="s">
        <v>33</v>
      </c>
      <c r="AA71" s="26" t="s">
        <v>33</v>
      </c>
      <c r="AB71" s="26" t="s">
        <v>33</v>
      </c>
      <c r="AC71" s="32">
        <v>1800000</v>
      </c>
      <c r="AD71" s="16">
        <v>0.1</v>
      </c>
      <c r="AE71" s="31">
        <f t="shared" si="82"/>
        <v>1800000.1</v>
      </c>
      <c r="AF71" s="27">
        <f>F71-AE71</f>
        <v>469084.50799999991</v>
      </c>
      <c r="AG71" s="8">
        <f>(F71-AE71)/F71</f>
        <v>0.20672852230638369</v>
      </c>
      <c r="AH71" s="15">
        <f>AE71+AF71</f>
        <v>2269084.608</v>
      </c>
    </row>
    <row r="72" spans="1:34" ht="15" thickBot="1" x14ac:dyDescent="0.4">
      <c r="A72" s="14">
        <v>66</v>
      </c>
      <c r="B72" s="58" t="s">
        <v>100</v>
      </c>
      <c r="C72" s="66"/>
      <c r="D72" s="1">
        <v>1</v>
      </c>
      <c r="E72" s="24">
        <v>683130</v>
      </c>
      <c r="F72" s="24">
        <v>283635.576</v>
      </c>
      <c r="G72" s="112">
        <f t="shared" si="88"/>
        <v>-283635.576</v>
      </c>
      <c r="H72" s="26" t="s">
        <v>33</v>
      </c>
      <c r="I72" s="26" t="s">
        <v>33</v>
      </c>
      <c r="J72" s="26" t="s">
        <v>33</v>
      </c>
      <c r="K72" s="26" t="s">
        <v>33</v>
      </c>
      <c r="L72" s="26" t="s">
        <v>33</v>
      </c>
      <c r="M72" s="26" t="s">
        <v>33</v>
      </c>
      <c r="N72" s="26" t="s">
        <v>33</v>
      </c>
      <c r="O72" s="26" t="s">
        <v>33</v>
      </c>
      <c r="P72" s="26" t="s">
        <v>33</v>
      </c>
      <c r="Q72" s="26" t="s">
        <v>33</v>
      </c>
      <c r="R72" s="26" t="s">
        <v>33</v>
      </c>
      <c r="S72" s="26" t="s">
        <v>33</v>
      </c>
      <c r="T72" s="26" t="s">
        <v>33</v>
      </c>
      <c r="U72" s="26" t="s">
        <v>33</v>
      </c>
      <c r="V72" s="26" t="s">
        <v>33</v>
      </c>
      <c r="W72" s="26" t="s">
        <v>33</v>
      </c>
      <c r="X72" s="26" t="s">
        <v>33</v>
      </c>
      <c r="Y72" s="26" t="s">
        <v>33</v>
      </c>
      <c r="Z72" s="26" t="s">
        <v>33</v>
      </c>
      <c r="AA72" s="26" t="s">
        <v>33</v>
      </c>
      <c r="AB72" s="26" t="s">
        <v>33</v>
      </c>
      <c r="AC72" s="32">
        <f>AC71/8</f>
        <v>225000</v>
      </c>
      <c r="AD72" s="16">
        <v>0.1</v>
      </c>
      <c r="AE72" s="31">
        <f t="shared" si="82"/>
        <v>225000.1</v>
      </c>
      <c r="AF72" s="27">
        <f>F72-AE72</f>
        <v>58635.475999999995</v>
      </c>
      <c r="AG72" s="8">
        <f>(F72-AE72)/F72</f>
        <v>0.20672821381193732</v>
      </c>
      <c r="AH72" s="15">
        <f t="shared" ref="AH72" si="89">AE72+AF72</f>
        <v>283635.576</v>
      </c>
    </row>
    <row r="73" spans="1:34" x14ac:dyDescent="0.35">
      <c r="A73" s="14">
        <v>67</v>
      </c>
      <c r="B73" s="90" t="s">
        <v>101</v>
      </c>
      <c r="C73" s="82"/>
      <c r="D73" s="1">
        <v>1</v>
      </c>
      <c r="E73" s="24">
        <v>1093008</v>
      </c>
      <c r="F73" s="24">
        <v>453816.9216</v>
      </c>
      <c r="G73" s="112">
        <f t="shared" si="88"/>
        <v>-453816.9216</v>
      </c>
      <c r="H73" s="26" t="s">
        <v>33</v>
      </c>
      <c r="I73" s="26" t="s">
        <v>33</v>
      </c>
      <c r="J73" s="26" t="s">
        <v>33</v>
      </c>
      <c r="K73" s="26" t="s">
        <v>33</v>
      </c>
      <c r="L73" s="26" t="s">
        <v>33</v>
      </c>
      <c r="M73" s="26" t="s">
        <v>33</v>
      </c>
      <c r="N73" s="26" t="s">
        <v>33</v>
      </c>
      <c r="O73" s="26" t="s">
        <v>33</v>
      </c>
      <c r="P73" s="26" t="s">
        <v>33</v>
      </c>
      <c r="Q73" s="26" t="s">
        <v>33</v>
      </c>
      <c r="R73" s="26" t="s">
        <v>33</v>
      </c>
      <c r="S73" s="26" t="s">
        <v>33</v>
      </c>
      <c r="T73" s="26" t="s">
        <v>33</v>
      </c>
      <c r="U73" s="26" t="s">
        <v>33</v>
      </c>
      <c r="V73" s="26" t="s">
        <v>33</v>
      </c>
      <c r="W73" s="26" t="s">
        <v>33</v>
      </c>
      <c r="X73" s="26" t="s">
        <v>33</v>
      </c>
      <c r="Y73" s="26" t="s">
        <v>33</v>
      </c>
      <c r="Z73" s="26" t="s">
        <v>33</v>
      </c>
      <c r="AA73" s="26" t="s">
        <v>33</v>
      </c>
      <c r="AB73" s="26" t="s">
        <v>33</v>
      </c>
      <c r="AC73" s="32">
        <v>300000</v>
      </c>
      <c r="AD73" s="16">
        <v>0.1</v>
      </c>
      <c r="AE73" s="31">
        <f t="shared" si="82"/>
        <v>300000.09999999998</v>
      </c>
      <c r="AF73" s="27">
        <f>F73-AE73</f>
        <v>153816.82160000002</v>
      </c>
      <c r="AG73" s="8">
        <f>(F73-AE73)/F73</f>
        <v>0.33894025162767316</v>
      </c>
      <c r="AH73" s="15">
        <f>AE73+AF73</f>
        <v>453816.9216</v>
      </c>
    </row>
    <row r="74" spans="1:34" ht="15" thickBot="1" x14ac:dyDescent="0.4">
      <c r="A74" s="23">
        <v>68</v>
      </c>
      <c r="B74" s="65" t="s">
        <v>102</v>
      </c>
      <c r="C74" s="66"/>
      <c r="D74" s="1">
        <v>1</v>
      </c>
      <c r="E74" s="24">
        <v>136626</v>
      </c>
      <c r="F74" s="24">
        <v>56727.1152</v>
      </c>
      <c r="G74" s="112">
        <f t="shared" si="88"/>
        <v>-56727.1152</v>
      </c>
      <c r="H74" s="26" t="s">
        <v>33</v>
      </c>
      <c r="I74" s="26" t="s">
        <v>33</v>
      </c>
      <c r="J74" s="26" t="s">
        <v>33</v>
      </c>
      <c r="K74" s="26" t="s">
        <v>33</v>
      </c>
      <c r="L74" s="26" t="s">
        <v>33</v>
      </c>
      <c r="M74" s="26" t="s">
        <v>33</v>
      </c>
      <c r="N74" s="26" t="s">
        <v>33</v>
      </c>
      <c r="O74" s="26" t="s">
        <v>33</v>
      </c>
      <c r="P74" s="26" t="s">
        <v>33</v>
      </c>
      <c r="Q74" s="26" t="s">
        <v>33</v>
      </c>
      <c r="R74" s="26" t="s">
        <v>33</v>
      </c>
      <c r="S74" s="26" t="s">
        <v>33</v>
      </c>
      <c r="T74" s="26" t="s">
        <v>33</v>
      </c>
      <c r="U74" s="26" t="s">
        <v>33</v>
      </c>
      <c r="V74" s="26" t="s">
        <v>33</v>
      </c>
      <c r="W74" s="26" t="s">
        <v>33</v>
      </c>
      <c r="X74" s="26" t="s">
        <v>33</v>
      </c>
      <c r="Y74" s="26" t="s">
        <v>33</v>
      </c>
      <c r="Z74" s="26" t="s">
        <v>33</v>
      </c>
      <c r="AA74" s="26" t="s">
        <v>33</v>
      </c>
      <c r="AB74" s="26" t="s">
        <v>33</v>
      </c>
      <c r="AC74" s="32">
        <f>AC73/8</f>
        <v>37500</v>
      </c>
      <c r="AD74" s="16">
        <v>0.1</v>
      </c>
      <c r="AE74" s="31">
        <f t="shared" si="82"/>
        <v>37500.1</v>
      </c>
      <c r="AF74" s="27">
        <f>F74-AE74</f>
        <v>19227.015200000002</v>
      </c>
      <c r="AG74" s="8">
        <f>(F74-AE74)/F74</f>
        <v>0.33893870915544111</v>
      </c>
      <c r="AH74" s="15">
        <f t="shared" ref="AH74" si="90">AE74+AF74</f>
        <v>56727.1152</v>
      </c>
    </row>
    <row r="75" spans="1:34" x14ac:dyDescent="0.35">
      <c r="A75" s="14">
        <v>69</v>
      </c>
      <c r="B75" s="81" t="s">
        <v>103</v>
      </c>
      <c r="C75" s="82"/>
      <c r="D75" s="1">
        <v>1</v>
      </c>
      <c r="E75" s="24">
        <v>1366260</v>
      </c>
      <c r="F75" s="24">
        <v>567271.152</v>
      </c>
      <c r="G75" s="112">
        <f t="shared" si="88"/>
        <v>-567271.152</v>
      </c>
      <c r="H75" s="26" t="s">
        <v>33</v>
      </c>
      <c r="I75" s="26" t="s">
        <v>33</v>
      </c>
      <c r="J75" s="26" t="s">
        <v>33</v>
      </c>
      <c r="K75" s="26" t="s">
        <v>33</v>
      </c>
      <c r="L75" s="26" t="s">
        <v>33</v>
      </c>
      <c r="M75" s="26" t="s">
        <v>33</v>
      </c>
      <c r="N75" s="26" t="s">
        <v>33</v>
      </c>
      <c r="O75" s="26" t="s">
        <v>33</v>
      </c>
      <c r="P75" s="26" t="s">
        <v>33</v>
      </c>
      <c r="Q75" s="26" t="s">
        <v>33</v>
      </c>
      <c r="R75" s="26" t="s">
        <v>33</v>
      </c>
      <c r="S75" s="26" t="s">
        <v>33</v>
      </c>
      <c r="T75" s="26" t="s">
        <v>33</v>
      </c>
      <c r="U75" s="26" t="s">
        <v>33</v>
      </c>
      <c r="V75" s="26" t="s">
        <v>33</v>
      </c>
      <c r="W75" s="26" t="s">
        <v>33</v>
      </c>
      <c r="X75" s="26" t="s">
        <v>33</v>
      </c>
      <c r="Y75" s="26" t="s">
        <v>33</v>
      </c>
      <c r="Z75" s="26" t="s">
        <v>33</v>
      </c>
      <c r="AA75" s="26" t="s">
        <v>33</v>
      </c>
      <c r="AB75" s="26" t="s">
        <v>33</v>
      </c>
      <c r="AC75" s="32">
        <v>400000</v>
      </c>
      <c r="AD75" s="16">
        <v>0.1</v>
      </c>
      <c r="AE75" s="31">
        <f t="shared" si="82"/>
        <v>400000.1</v>
      </c>
      <c r="AF75" s="27">
        <f>F75-AE75</f>
        <v>167271.05200000003</v>
      </c>
      <c r="AG75" s="8">
        <f>(F75-AE75)/F75</f>
        <v>0.29486966049703162</v>
      </c>
      <c r="AH75" s="15">
        <f>AE75+AF75</f>
        <v>567271.152</v>
      </c>
    </row>
    <row r="76" spans="1:34" ht="15" thickBot="1" x14ac:dyDescent="0.4">
      <c r="A76" s="14">
        <v>70</v>
      </c>
      <c r="B76" s="58" t="s">
        <v>104</v>
      </c>
      <c r="C76" s="66"/>
      <c r="D76" s="1">
        <v>1</v>
      </c>
      <c r="E76" s="24">
        <v>170783</v>
      </c>
      <c r="F76" s="24">
        <v>70909.101600000009</v>
      </c>
      <c r="G76" s="112">
        <f t="shared" si="88"/>
        <v>-70909.101600000009</v>
      </c>
      <c r="H76" s="26" t="s">
        <v>33</v>
      </c>
      <c r="I76" s="26" t="s">
        <v>33</v>
      </c>
      <c r="J76" s="26" t="s">
        <v>33</v>
      </c>
      <c r="K76" s="26" t="s">
        <v>33</v>
      </c>
      <c r="L76" s="26" t="s">
        <v>33</v>
      </c>
      <c r="M76" s="26" t="s">
        <v>33</v>
      </c>
      <c r="N76" s="26" t="s">
        <v>33</v>
      </c>
      <c r="O76" s="26" t="s">
        <v>33</v>
      </c>
      <c r="P76" s="26" t="s">
        <v>33</v>
      </c>
      <c r="Q76" s="26" t="s">
        <v>33</v>
      </c>
      <c r="R76" s="26" t="s">
        <v>33</v>
      </c>
      <c r="S76" s="26" t="s">
        <v>33</v>
      </c>
      <c r="T76" s="26" t="s">
        <v>33</v>
      </c>
      <c r="U76" s="26" t="s">
        <v>33</v>
      </c>
      <c r="V76" s="26" t="s">
        <v>33</v>
      </c>
      <c r="W76" s="26" t="s">
        <v>33</v>
      </c>
      <c r="X76" s="26" t="s">
        <v>33</v>
      </c>
      <c r="Y76" s="26" t="s">
        <v>33</v>
      </c>
      <c r="Z76" s="26" t="s">
        <v>33</v>
      </c>
      <c r="AA76" s="26" t="s">
        <v>33</v>
      </c>
      <c r="AB76" s="26" t="s">
        <v>33</v>
      </c>
      <c r="AC76" s="32">
        <f>AC75/8</f>
        <v>50000</v>
      </c>
      <c r="AD76" s="16">
        <v>0.1</v>
      </c>
      <c r="AE76" s="31">
        <f t="shared" si="82"/>
        <v>50000.1</v>
      </c>
      <c r="AF76" s="27">
        <f>F76-AE76</f>
        <v>20909.001600000011</v>
      </c>
      <c r="AG76" s="8">
        <f>(F76-AE76)/F76</f>
        <v>0.2948704909272184</v>
      </c>
      <c r="AH76" s="15">
        <f t="shared" ref="AH76:AH77" si="91">AE76+AF76</f>
        <v>70909.101600000009</v>
      </c>
    </row>
    <row r="77" spans="1:34" x14ac:dyDescent="0.35">
      <c r="A77" s="14">
        <v>71</v>
      </c>
      <c r="B77" s="83" t="s">
        <v>105</v>
      </c>
      <c r="C77" s="84"/>
      <c r="D77" s="1">
        <v>1</v>
      </c>
      <c r="E77" s="24">
        <v>153704</v>
      </c>
      <c r="F77" s="24">
        <v>63817.900800000003</v>
      </c>
      <c r="G77" s="112">
        <f t="shared" si="88"/>
        <v>-63817.900800000003</v>
      </c>
      <c r="H77" s="26" t="s">
        <v>33</v>
      </c>
      <c r="I77" s="26" t="s">
        <v>33</v>
      </c>
      <c r="J77" s="26" t="s">
        <v>33</v>
      </c>
      <c r="K77" s="26" t="s">
        <v>33</v>
      </c>
      <c r="L77" s="26" t="s">
        <v>33</v>
      </c>
      <c r="M77" s="26" t="s">
        <v>33</v>
      </c>
      <c r="N77" s="26" t="s">
        <v>33</v>
      </c>
      <c r="O77" s="26" t="s">
        <v>33</v>
      </c>
      <c r="P77" s="26" t="s">
        <v>33</v>
      </c>
      <c r="Q77" s="26" t="s">
        <v>33</v>
      </c>
      <c r="R77" s="26" t="s">
        <v>33</v>
      </c>
      <c r="S77" s="26" t="s">
        <v>33</v>
      </c>
      <c r="T77" s="26" t="s">
        <v>33</v>
      </c>
      <c r="U77" s="26" t="s">
        <v>33</v>
      </c>
      <c r="V77" s="26" t="s">
        <v>33</v>
      </c>
      <c r="W77" s="26" t="s">
        <v>33</v>
      </c>
      <c r="X77" s="26" t="s">
        <v>33</v>
      </c>
      <c r="Y77" s="26" t="s">
        <v>33</v>
      </c>
      <c r="Z77" s="26" t="s">
        <v>33</v>
      </c>
      <c r="AA77" s="26" t="s">
        <v>33</v>
      </c>
      <c r="AB77" s="26" t="s">
        <v>33</v>
      </c>
      <c r="AC77" s="31">
        <v>42000</v>
      </c>
      <c r="AD77" s="16">
        <v>0.1</v>
      </c>
      <c r="AE77" s="31">
        <f t="shared" si="82"/>
        <v>42000.1</v>
      </c>
      <c r="AF77" s="27">
        <f>F77-AE77</f>
        <v>21817.800800000005</v>
      </c>
      <c r="AG77" s="8">
        <f>(F77-AE77)/F77</f>
        <v>0.34187587693263649</v>
      </c>
      <c r="AH77" s="15">
        <f t="shared" si="91"/>
        <v>63817.900800000003</v>
      </c>
    </row>
    <row r="79" spans="1:34" x14ac:dyDescent="0.35">
      <c r="AF79" s="43" t="s">
        <v>109</v>
      </c>
      <c r="AG79" s="42">
        <f>AVERAGE(AG5:AG77)</f>
        <v>0.63131268023127718</v>
      </c>
    </row>
  </sheetData>
  <mergeCells count="111">
    <mergeCell ref="AH55:AH56"/>
    <mergeCell ref="AD55:AD56"/>
    <mergeCell ref="AE55:AE56"/>
    <mergeCell ref="AF55:AF56"/>
    <mergeCell ref="AG55:AG56"/>
    <mergeCell ref="A55:A56"/>
    <mergeCell ref="B55:C56"/>
    <mergeCell ref="I55:I56"/>
    <mergeCell ref="J55:O55"/>
    <mergeCell ref="P55:P56"/>
    <mergeCell ref="AA55:AA56"/>
    <mergeCell ref="AB55:AB56"/>
    <mergeCell ref="AC55:AC56"/>
    <mergeCell ref="Q55:Q56"/>
    <mergeCell ref="R55:Z55"/>
    <mergeCell ref="D55:D56"/>
    <mergeCell ref="E55:E56"/>
    <mergeCell ref="F55:F56"/>
    <mergeCell ref="H55:H56"/>
    <mergeCell ref="B74:C74"/>
    <mergeCell ref="B75:C75"/>
    <mergeCell ref="B76:C76"/>
    <mergeCell ref="B77:C77"/>
    <mergeCell ref="B5:C5"/>
    <mergeCell ref="B3:C4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4:C54"/>
    <mergeCell ref="B57:C57"/>
    <mergeCell ref="B58:C58"/>
    <mergeCell ref="B59:C59"/>
    <mergeCell ref="B60:C60"/>
    <mergeCell ref="B61:C61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6:C6"/>
    <mergeCell ref="B7:C7"/>
    <mergeCell ref="B8:C8"/>
    <mergeCell ref="B9:C9"/>
    <mergeCell ref="B10:C10"/>
    <mergeCell ref="B11:C11"/>
    <mergeCell ref="AD3:AD4"/>
    <mergeCell ref="AE3:AE4"/>
    <mergeCell ref="AF3:AF4"/>
    <mergeCell ref="AG3:AG4"/>
    <mergeCell ref="AH3:AH4"/>
    <mergeCell ref="Q3:Q4"/>
    <mergeCell ref="R3:Z3"/>
    <mergeCell ref="AA3:AA4"/>
    <mergeCell ref="AB3:AB4"/>
    <mergeCell ref="AC3:AC4"/>
    <mergeCell ref="E3:E4"/>
    <mergeCell ref="F3:F4"/>
    <mergeCell ref="H3:H4"/>
    <mergeCell ref="I3:I4"/>
    <mergeCell ref="J3:O3"/>
    <mergeCell ref="P3:P4"/>
    <mergeCell ref="A1:D1"/>
    <mergeCell ref="A3:A4"/>
    <mergeCell ref="D3:D4"/>
    <mergeCell ref="G3:G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1.</vt:lpstr>
      <vt:lpstr>LOTE 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Maria Carolina Castro Riveros</cp:lastModifiedBy>
  <cp:lastPrinted>2026-02-27T00:21:56Z</cp:lastPrinted>
  <dcterms:created xsi:type="dcterms:W3CDTF">2024-04-10T02:46:12Z</dcterms:created>
  <dcterms:modified xsi:type="dcterms:W3CDTF">2026-03-24T15:10:44Z</dcterms:modified>
</cp:coreProperties>
</file>